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beisgov.sharepoint.com/sites/UKETSDelivery/Shared Documents/UK ETS Data Strategy/1. Data Landscape/FAR2/"/>
    </mc:Choice>
  </mc:AlternateContent>
  <xr:revisionPtr revIDLastSave="1415" documentId="13_ncr:1_{7D2F10B6-685A-4FF3-8ABC-A67D428D63AA}" xr6:coauthVersionLast="47" xr6:coauthVersionMax="47" xr10:uidLastSave="{E464442E-5DCB-4DB2-B5FD-34AEDE701A6E}"/>
  <workbookProtection lockStructure="1"/>
  <bookViews>
    <workbookView xWindow="-108" yWindow="-108" windowWidth="30936" windowHeight="17496" tabRatio="822" xr2:uid="{8BDE6DC5-012E-43EF-B4DB-8A14FAAC5A2F}"/>
  </bookViews>
  <sheets>
    <sheet name="a_Contents" sheetId="9" r:id="rId1"/>
    <sheet name="b_Guidelines &amp; conditions" sheetId="10" r:id="rId2"/>
    <sheet name="A_InstallationData" sheetId="43" r:id="rId3"/>
    <sheet name="D_Emissions" sheetId="49" r:id="rId4"/>
    <sheet name="E_EnergyFlows" sheetId="41" r:id="rId5"/>
    <sheet name="F_ProductBM" sheetId="37" r:id="rId6"/>
    <sheet name="G_Fall-back" sheetId="42" r:id="rId7"/>
    <sheet name="H_SpecialBM" sheetId="47" r:id="rId8"/>
    <sheet name="I_Specific" sheetId="53" r:id="rId9"/>
    <sheet name="J_Comments" sheetId="51" r:id="rId10"/>
    <sheet name="K_Summary" sheetId="50" r:id="rId11"/>
    <sheet name="EUwideConstants" sheetId="34" state="hidden" r:id="rId12"/>
    <sheet name="MSParameters" sheetId="38" state="hidden" r:id="rId13"/>
    <sheet name="Translations" sheetId="33" state="hidden" r:id="rId14"/>
    <sheet name="VersionDocumentation" sheetId="25" state="hidden" r:id="rId15"/>
    <sheet name="B+C_Emissions_Y1" sheetId="55" r:id="rId16"/>
    <sheet name="B+C_Emissions_Y2" sheetId="56" r:id="rId17"/>
    <sheet name="B+C_Emissions_Y3" sheetId="57" r:id="rId18"/>
    <sheet name="B+C_Emissions_Y4" sheetId="58" r:id="rId19"/>
    <sheet name="B+C_Emissions_Y5" sheetId="59" r:id="rId20"/>
  </sheets>
  <externalReferences>
    <externalReference r:id="rId21"/>
  </externalReferences>
  <definedNames>
    <definedName name="_xlnm._FilterDatabase" localSheetId="11" hidden="1">EUwideConstants!$A$1:$AF$266</definedName>
    <definedName name="_xlnm._FilterDatabase" localSheetId="13" hidden="1">Translations!$A$1:$E$1541</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EUwideConstants!$B$173:$B$200</definedName>
    <definedName name="EUconst_BaselinePeriods">EUwideConstants!$B$5:$C$5</definedName>
    <definedName name="EUconst_BM">EUwideConstants!$B$14</definedName>
    <definedName name="EUconst_BM_ARR_Range">EUwideConstants!$B$55:$C$55</definedName>
    <definedName name="EUconst_BMlist107">EUwideConstants!$E$260:$E$262</definedName>
    <definedName name="EUconst_BMlistARR">EUwideConstants!$P$204:$P$255</definedName>
    <definedName name="EUconst_BMlistBMARRvaluesMatrix">EUwideConstants!$N$204:$P$255</definedName>
    <definedName name="EUconst_BMlistBMmaxvalues">EUwideConstants!$Q$204:$Q$255</definedName>
    <definedName name="EUconst_BMlistBMminvalues">EUwideConstants!$R$204:$R$255</definedName>
    <definedName name="EUconst_BMlistBMvalues">EUwideConstants!$S$204:$S$255</definedName>
    <definedName name="EUconst_BMlistBMvaluesMatrix">EUwideConstants!$Q$204:$S$255</definedName>
    <definedName name="EUconst_BMlistCLstatus">EUwideConstants!$G$204:$G$255</definedName>
    <definedName name="EUconst_BMlistElExchangability">EUwideConstants!$H$204:$H$255</definedName>
    <definedName name="EUconst_BMlistMatrix">EUwideConstants!$E$204:$H$255</definedName>
    <definedName name="EUconst_BMlistNames">EUwideConstants!$E$204:$E$255</definedName>
    <definedName name="EUconst_BMlistNotCWT">EUwideConstants!$K$204:$K$255</definedName>
    <definedName name="EUconst_BMlistNumberOfActivity">EUwideConstants!$B$204:$B$255</definedName>
    <definedName name="EUconst_BMlistNumberOfBM">EUwideConstants!$C$204:$C$255</definedName>
    <definedName name="EUconst_BMlistPulp">EUwideConstants!$L$204:$L$255</definedName>
    <definedName name="EUconst_BMlistSpecialJumpTable">EUwideConstants!$J$204:$J$255</definedName>
    <definedName name="EUconst_BMlistSpecialReporting">EUwideConstants!$I$204:$I$255</definedName>
    <definedName name="EUconst_BMlistUnits">EUwideConstants!$F$204:$F$255</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EUwideConstants!$B$173</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EUwideConstants!$P$259:$P$265</definedName>
    <definedName name="EUconst_FallBackListBMARRvaluesMatrix">EUwideConstants!$N$259:$P$265</definedName>
    <definedName name="EUconst_FallBackListBMvalues">EUwideConstants!$S$259:$S$265</definedName>
    <definedName name="EUconst_FallBackListBMvaluesMatrix">EUwideConstants!$Q$259:$S$265</definedName>
    <definedName name="EUconst_FallBackListCLstatus">EUwideConstants!$G$259:$G$265</definedName>
    <definedName name="EUconst_FallBackListMatrix">EUwideConstants!$E$259:$H$265</definedName>
    <definedName name="EUconst_FallbackListMissing">EUwideConstants!$I$259:$I$265</definedName>
    <definedName name="EUconst_FallBackListNames">EUwideConstants!$E$259:$E$265</definedName>
    <definedName name="EUconst_FallBackListNumber">EUwideConstants!$C$259:$C$265</definedName>
    <definedName name="EUconst_FallBackListUnits">EUwideConstants!$F$259:$F$265</definedName>
    <definedName name="EUconst_FBSubinst">EUwideConstants!$B$16</definedName>
    <definedName name="EUconst_Fuel">EUwideConstants!$B$13</definedName>
    <definedName name="EUconst_FuelBMvalue">EUwideConstants!$B$54</definedName>
    <definedName name="EUconst_FuelBMvalueForBM">EUwideConstants!$B$166</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EUwideConstants!$B$165</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conditions'!$B$91</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I_Specific!$C$137</definedName>
    <definedName name="JUMP_I_MSspecific">I_Specific!$C$16</definedName>
    <definedName name="JUMP_I_Top">I_Specific!$B$5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A_InstallationData!$C$5:$O$321</definedName>
    <definedName name="_xlnm.Print_Area" localSheetId="1">'b_Guidelines &amp; conditions'!$A$4:$K$90</definedName>
    <definedName name="_xlnm.Print_Area" localSheetId="15">'B+C_Emissions_Y1'!$C$5:$AY$132</definedName>
    <definedName name="_xlnm.Print_Area" localSheetId="16">'B+C_Emissions_Y2'!$C$5:$AY$132</definedName>
    <definedName name="_xlnm.Print_Area" localSheetId="17">'B+C_Emissions_Y3'!$C$5:$AY$132</definedName>
    <definedName name="_xlnm.Print_Area" localSheetId="18">'B+C_Emissions_Y4'!$C$5:$AY$132</definedName>
    <definedName name="_xlnm.Print_Area" localSheetId="19">'B+C_Emissions_Y5'!$C$5:$AY$132</definedName>
    <definedName name="_xlnm.Print_Area" localSheetId="3">D_Emissions!$C$5:$N$299</definedName>
    <definedName name="_xlnm.Print_Area" localSheetId="4">E_EnergyFlows!$B$5:$N$370</definedName>
    <definedName name="_xlnm.Print_Area" localSheetId="5">F_ProductBM!$B$6:$O$251</definedName>
    <definedName name="_xlnm.Print_Area" localSheetId="6">'G_Fall-back'!$B$5:$N$550</definedName>
    <definedName name="_xlnm.Print_Area" localSheetId="7">H_SpecialBM!$B$6:$N$381</definedName>
    <definedName name="_xlnm.Print_Area" localSheetId="8">I_Specific!$A$4:$M$127</definedName>
    <definedName name="_xlnm.Print_Area" localSheetId="9">J_Comments!$A$4:$M$69</definedName>
    <definedName name="_xlnm.Print_Area" localSheetId="10">K_Summary!$C$5:$N$1388</definedName>
    <definedName name="_xlnm.Print_Area" localSheetId="14">VersionDocumentation!$A$1:$E$86</definedName>
    <definedName name="UK_ETS_CL_FactorForDistrictHeating">EUwideConstants!$B$169:$F$169</definedName>
    <definedName name="UK_ETS_CL_FactorForNonCLSectors">EUwideConstants!$B$168:$F$168</definedName>
    <definedName name="UK_ETS_Linear_Factors">EUwideConstants!$B$167:$F$167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5" l="1"/>
  <c r="P198" i="43"/>
  <c r="P192" i="43"/>
  <c r="T178" i="43"/>
  <c r="P178" i="43"/>
  <c r="B69" i="10" l="1"/>
  <c r="B70" i="10"/>
  <c r="B72" i="10"/>
  <c r="B73" i="10"/>
  <c r="B77" i="10"/>
  <c r="F169" i="34"/>
  <c r="F167" i="34"/>
  <c r="S204" i="34"/>
  <c r="F168" i="34"/>
  <c r="E169" i="34"/>
  <c r="D169" i="34"/>
  <c r="C169" i="34"/>
  <c r="B169" i="34"/>
  <c r="E168" i="34"/>
  <c r="D168" i="34"/>
  <c r="C168" i="34"/>
  <c r="B168" i="34"/>
  <c r="E167" i="34"/>
  <c r="D167" i="34"/>
  <c r="C167" i="34"/>
  <c r="B167" i="34"/>
  <c r="T164" i="9" l="1"/>
  <c r="G123" i="53"/>
  <c r="E123" i="53"/>
  <c r="T121" i="9" l="1"/>
  <c r="T166" i="9" l="1"/>
  <c r="T165" i="9"/>
  <c r="T163" i="9"/>
  <c r="T157" i="9"/>
  <c r="T156" i="9"/>
  <c r="T155" i="9"/>
  <c r="T154" i="9"/>
  <c r="T133" i="9"/>
  <c r="T132" i="9"/>
  <c r="T131" i="9"/>
  <c r="T130" i="9"/>
  <c r="T129" i="9"/>
  <c r="T128" i="9"/>
  <c r="T127" i="9"/>
  <c r="T126" i="9"/>
  <c r="T125" i="9"/>
  <c r="T124" i="9"/>
  <c r="T123" i="9"/>
  <c r="T122" i="9"/>
  <c r="T120" i="9"/>
  <c r="T119" i="9"/>
  <c r="T118" i="9"/>
  <c r="T117" i="9"/>
  <c r="T116" i="9"/>
  <c r="T115" i="9"/>
  <c r="T114" i="9"/>
  <c r="T113" i="9"/>
  <c r="T112" i="9"/>
  <c r="T111" i="9"/>
  <c r="T110" i="9"/>
  <c r="T109" i="9"/>
  <c r="T108" i="9"/>
  <c r="T107" i="9"/>
  <c r="T106" i="9"/>
  <c r="T105" i="9"/>
  <c r="T104" i="9"/>
  <c r="T103" i="9"/>
  <c r="T102" i="9"/>
  <c r="T161" i="9"/>
  <c r="T159" i="9"/>
  <c r="I97" i="53" l="1"/>
  <c r="T135" i="9" s="1"/>
  <c r="J97" i="53"/>
  <c r="T136" i="9" s="1"/>
  <c r="K97" i="53"/>
  <c r="T137" i="9" s="1"/>
  <c r="L97" i="53"/>
  <c r="T138" i="9" s="1"/>
  <c r="H97" i="53"/>
  <c r="T134" i="9" s="1"/>
  <c r="I99" i="53"/>
  <c r="T145" i="9" s="1"/>
  <c r="J99" i="53"/>
  <c r="T146" i="9" s="1"/>
  <c r="K99" i="53"/>
  <c r="T147" i="9" s="1"/>
  <c r="L99" i="53"/>
  <c r="T148" i="9" s="1"/>
  <c r="H99" i="53"/>
  <c r="T144" i="9" s="1"/>
  <c r="J29" i="43"/>
  <c r="H98" i="53" l="1"/>
  <c r="T139" i="9" s="1"/>
  <c r="I98" i="53"/>
  <c r="T140" i="9" s="1"/>
  <c r="J98" i="53"/>
  <c r="T141" i="9" s="1"/>
  <c r="K98" i="53"/>
  <c r="T142" i="9" s="1"/>
  <c r="L98" i="53"/>
  <c r="T143" i="9" s="1"/>
  <c r="M99" i="53" l="1"/>
  <c r="H162" i="34"/>
  <c r="T151" i="9" l="1"/>
  <c r="M98" i="53"/>
  <c r="K101" i="53" s="1"/>
  <c r="M97" i="53"/>
  <c r="D16" i="59"/>
  <c r="D15" i="59"/>
  <c r="D16" i="58"/>
  <c r="D15" i="58"/>
  <c r="D16" i="57"/>
  <c r="D15" i="57"/>
  <c r="D16" i="56"/>
  <c r="D15" i="56"/>
  <c r="S263" i="34"/>
  <c r="S262" i="34"/>
  <c r="B54" i="34" s="1"/>
  <c r="S261" i="34"/>
  <c r="S260" i="34"/>
  <c r="S259" i="34"/>
  <c r="B52" i="34" s="1"/>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S213" i="34"/>
  <c r="S212" i="34"/>
  <c r="S211" i="34"/>
  <c r="S210" i="34"/>
  <c r="S209" i="34"/>
  <c r="S208" i="34"/>
  <c r="S207" i="34"/>
  <c r="S206" i="34"/>
  <c r="S205" i="34"/>
  <c r="W456" i="42"/>
  <c r="V456" i="42"/>
  <c r="U456" i="42"/>
  <c r="T456" i="42"/>
  <c r="S456" i="42"/>
  <c r="E1063" i="50"/>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302" i="42"/>
  <c r="V302" i="42"/>
  <c r="U302" i="42"/>
  <c r="T302" i="42"/>
  <c r="S302" i="42"/>
  <c r="W227" i="42"/>
  <c r="V227" i="42"/>
  <c r="U227" i="42"/>
  <c r="T227" i="42"/>
  <c r="S227" i="42"/>
  <c r="W223" i="42"/>
  <c r="V223" i="42"/>
  <c r="U223" i="42"/>
  <c r="T223" i="42"/>
  <c r="S223" i="42"/>
  <c r="W219" i="42"/>
  <c r="V219" i="42"/>
  <c r="U219" i="42"/>
  <c r="T219" i="42"/>
  <c r="S219" i="42"/>
  <c r="W215" i="42"/>
  <c r="V215" i="42"/>
  <c r="U215" i="42"/>
  <c r="T215" i="42"/>
  <c r="S215" i="42"/>
  <c r="W211" i="42"/>
  <c r="V211" i="42"/>
  <c r="U211" i="42"/>
  <c r="T211" i="42"/>
  <c r="S211" i="42"/>
  <c r="W136" i="42"/>
  <c r="V136" i="42"/>
  <c r="U136" i="42"/>
  <c r="T136" i="42"/>
  <c r="S136" i="42"/>
  <c r="W132" i="42"/>
  <c r="V132" i="42"/>
  <c r="U132" i="42"/>
  <c r="T132" i="42"/>
  <c r="S132" i="42"/>
  <c r="W128" i="42"/>
  <c r="V128" i="42"/>
  <c r="U128" i="42"/>
  <c r="T128" i="42"/>
  <c r="S128" i="42"/>
  <c r="W124" i="42"/>
  <c r="V124" i="42"/>
  <c r="U124" i="42"/>
  <c r="T124" i="42"/>
  <c r="S124" i="42"/>
  <c r="W120" i="42"/>
  <c r="V120" i="42"/>
  <c r="U120" i="42"/>
  <c r="T120" i="42"/>
  <c r="S120" i="42"/>
  <c r="W386" i="42"/>
  <c r="V386" i="42"/>
  <c r="U386" i="42"/>
  <c r="T386" i="42"/>
  <c r="H35" i="51"/>
  <c r="E265" i="34"/>
  <c r="E109" i="50" s="1"/>
  <c r="P109" i="50" s="1"/>
  <c r="E264" i="34"/>
  <c r="E263" i="34"/>
  <c r="I398" i="42" s="1"/>
  <c r="E262" i="34"/>
  <c r="I325" i="42" s="1"/>
  <c r="I392" i="41"/>
  <c r="E261" i="34"/>
  <c r="I234" i="42" s="1"/>
  <c r="E260" i="34"/>
  <c r="E310" i="41" s="1"/>
  <c r="E404" i="50" s="1"/>
  <c r="E259" i="34"/>
  <c r="E387" i="41" s="1"/>
  <c r="E341" i="50" s="1"/>
  <c r="S258" i="34"/>
  <c r="R258" i="34"/>
  <c r="Q258" i="34"/>
  <c r="M258" i="34"/>
  <c r="I258" i="34"/>
  <c r="H258" i="34"/>
  <c r="G258" i="34"/>
  <c r="F258" i="34"/>
  <c r="E258" i="34"/>
  <c r="D258" i="34"/>
  <c r="C258" i="34"/>
  <c r="A257" i="34"/>
  <c r="E255" i="34"/>
  <c r="I254" i="34"/>
  <c r="E254" i="34"/>
  <c r="I253" i="34"/>
  <c r="E253" i="34"/>
  <c r="E252" i="34"/>
  <c r="E251" i="34"/>
  <c r="I250" i="34"/>
  <c r="E250" i="34"/>
  <c r="P372" i="47" s="1"/>
  <c r="I249" i="34"/>
  <c r="E249" i="34"/>
  <c r="E248" i="34"/>
  <c r="E247" i="34"/>
  <c r="I246" i="34"/>
  <c r="F246" i="34"/>
  <c r="E246" i="34"/>
  <c r="I245" i="34"/>
  <c r="E245" i="34"/>
  <c r="E244" i="34"/>
  <c r="E243" i="34"/>
  <c r="I242" i="34"/>
  <c r="E242" i="34"/>
  <c r="E241" i="34"/>
  <c r="F240" i="34"/>
  <c r="E240" i="34"/>
  <c r="F239" i="34"/>
  <c r="E239" i="34"/>
  <c r="F238" i="34"/>
  <c r="E238" i="34"/>
  <c r="E237" i="34"/>
  <c r="F236" i="34"/>
  <c r="E236" i="34"/>
  <c r="F235" i="34"/>
  <c r="E235" i="34"/>
  <c r="F234" i="34"/>
  <c r="E234" i="34"/>
  <c r="F233" i="34"/>
  <c r="E233" i="34"/>
  <c r="I232" i="34"/>
  <c r="F232" i="34"/>
  <c r="E232" i="34"/>
  <c r="I231" i="34"/>
  <c r="F231" i="34"/>
  <c r="E231" i="34"/>
  <c r="I230" i="34"/>
  <c r="F230" i="34"/>
  <c r="E230" i="34"/>
  <c r="E229" i="34"/>
  <c r="E228" i="34"/>
  <c r="E227" i="34"/>
  <c r="E226" i="34"/>
  <c r="E225" i="34"/>
  <c r="E224" i="34"/>
  <c r="E223" i="34"/>
  <c r="E222" i="34"/>
  <c r="E221" i="34"/>
  <c r="E220" i="34"/>
  <c r="E219" i="34"/>
  <c r="E218" i="34"/>
  <c r="E217" i="34"/>
  <c r="I216" i="34"/>
  <c r="E216" i="34"/>
  <c r="I215" i="34"/>
  <c r="E215" i="34"/>
  <c r="E214" i="34"/>
  <c r="E213" i="34"/>
  <c r="E212" i="34"/>
  <c r="E211" i="34"/>
  <c r="E210" i="34"/>
  <c r="E209" i="34"/>
  <c r="E208" i="34"/>
  <c r="E207" i="34"/>
  <c r="E206" i="34"/>
  <c r="E205" i="34"/>
  <c r="I204" i="34"/>
  <c r="F204" i="34"/>
  <c r="E204" i="34"/>
  <c r="S203" i="34"/>
  <c r="R203" i="34"/>
  <c r="Q203" i="34"/>
  <c r="M203" i="34"/>
  <c r="L203" i="34"/>
  <c r="K203" i="34"/>
  <c r="J203" i="34"/>
  <c r="I203" i="34"/>
  <c r="H203" i="34"/>
  <c r="G203" i="34"/>
  <c r="F203" i="34"/>
  <c r="E203" i="34"/>
  <c r="D203" i="34"/>
  <c r="C203" i="34"/>
  <c r="B203" i="34"/>
  <c r="A203" i="34"/>
  <c r="A202" i="34"/>
  <c r="H200" i="34"/>
  <c r="B200" i="34" s="1"/>
  <c r="H199" i="34"/>
  <c r="B199" i="34" s="1"/>
  <c r="H198" i="34"/>
  <c r="B198" i="34" s="1"/>
  <c r="H197" i="34"/>
  <c r="B197" i="34" s="1"/>
  <c r="H196" i="34"/>
  <c r="B196" i="34" s="1"/>
  <c r="H195" i="34"/>
  <c r="B195" i="34" s="1"/>
  <c r="A245" i="34" s="1"/>
  <c r="H194" i="34"/>
  <c r="B194" i="34" s="1"/>
  <c r="H193" i="34"/>
  <c r="B193" i="34" s="1"/>
  <c r="H192" i="34"/>
  <c r="B192" i="34" s="1"/>
  <c r="H191" i="34"/>
  <c r="B191" i="34" s="1"/>
  <c r="A242" i="34" s="1"/>
  <c r="H190" i="34"/>
  <c r="B190" i="34" s="1"/>
  <c r="H189" i="34"/>
  <c r="B189" i="34" s="1"/>
  <c r="H188" i="34"/>
  <c r="B188" i="34" s="1"/>
  <c r="A233" i="34" s="1"/>
  <c r="H187" i="34"/>
  <c r="B187" i="34" s="1"/>
  <c r="A228" i="34" s="1"/>
  <c r="H186" i="34"/>
  <c r="B186" i="34" s="1"/>
  <c r="H185" i="34"/>
  <c r="B185" i="34" s="1"/>
  <c r="H184" i="34"/>
  <c r="B184" i="34" s="1"/>
  <c r="H183" i="34"/>
  <c r="B183" i="34" s="1"/>
  <c r="A215" i="34" s="1"/>
  <c r="H182" i="34"/>
  <c r="B182" i="34" s="1"/>
  <c r="H181" i="34"/>
  <c r="B181" i="34" s="1"/>
  <c r="H180" i="34"/>
  <c r="B180" i="34" s="1"/>
  <c r="H179" i="34"/>
  <c r="B179" i="34" s="1"/>
  <c r="A212" i="34" s="1"/>
  <c r="H178" i="34"/>
  <c r="B178" i="34" s="1"/>
  <c r="A210" i="34" s="1"/>
  <c r="H177" i="34"/>
  <c r="B177" i="34" s="1"/>
  <c r="H176" i="34"/>
  <c r="B176" i="34" s="1"/>
  <c r="A206" i="34" s="1"/>
  <c r="H175" i="34"/>
  <c r="B175" i="34" s="1"/>
  <c r="A205" i="34" s="1"/>
  <c r="H174" i="34"/>
  <c r="B174" i="34" s="1"/>
  <c r="H173" i="34"/>
  <c r="B173" i="34" s="1"/>
  <c r="P115" i="43" s="1"/>
  <c r="B172" i="34"/>
  <c r="A172" i="34"/>
  <c r="A171" i="34"/>
  <c r="D164" i="34"/>
  <c r="C164" i="34"/>
  <c r="B164" i="34"/>
  <c r="B125" i="34"/>
  <c r="B124" i="34"/>
  <c r="B123" i="34"/>
  <c r="B122" i="34"/>
  <c r="B121" i="34"/>
  <c r="E242" i="41" s="1"/>
  <c r="B120" i="34"/>
  <c r="B119" i="34"/>
  <c r="B118" i="34"/>
  <c r="B117" i="34"/>
  <c r="B116" i="34"/>
  <c r="B115" i="34"/>
  <c r="B114" i="34"/>
  <c r="B113" i="34"/>
  <c r="B112" i="34"/>
  <c r="E72" i="49" s="1"/>
  <c r="B111" i="34"/>
  <c r="E1515" i="37" s="1"/>
  <c r="B110" i="34"/>
  <c r="B109" i="34"/>
  <c r="B108" i="34"/>
  <c r="B107" i="34"/>
  <c r="B106" i="34"/>
  <c r="B105" i="34"/>
  <c r="B104" i="34"/>
  <c r="B103" i="34"/>
  <c r="B102" i="34"/>
  <c r="B101" i="34"/>
  <c r="B100"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P278" i="37" s="1"/>
  <c r="B93" i="34"/>
  <c r="B92" i="34"/>
  <c r="B91" i="34"/>
  <c r="B90" i="34"/>
  <c r="B89" i="34"/>
  <c r="B71" i="34"/>
  <c r="E208" i="43" s="1"/>
  <c r="E52" i="50" s="1"/>
  <c r="B68" i="34"/>
  <c r="H215" i="47" s="1"/>
  <c r="C62" i="34"/>
  <c r="C59" i="34"/>
  <c r="B59" i="34"/>
  <c r="B57" i="34"/>
  <c r="C58" i="34" s="1"/>
  <c r="B56" i="34"/>
  <c r="M325" i="42" s="1"/>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F214" i="34" s="1"/>
  <c r="B17" i="34"/>
  <c r="B36" i="34" s="1"/>
  <c r="B16" i="34"/>
  <c r="B15" i="34"/>
  <c r="D13" i="37" s="1"/>
  <c r="B14" i="34"/>
  <c r="B13" i="34"/>
  <c r="B12" i="34"/>
  <c r="B11" i="34"/>
  <c r="H95" i="42" s="1"/>
  <c r="B9" i="34"/>
  <c r="P243" i="43" s="1"/>
  <c r="R243" i="43" s="1"/>
  <c r="C8" i="34"/>
  <c r="B8" i="34"/>
  <c r="C1" i="34"/>
  <c r="B1" i="34"/>
  <c r="A1" i="34"/>
  <c r="E1387" i="50"/>
  <c r="D1385" i="50"/>
  <c r="D1367" i="50"/>
  <c r="E1362" i="50"/>
  <c r="E1358" i="50"/>
  <c r="E1356" i="50"/>
  <c r="E1355" i="50"/>
  <c r="E1349" i="50"/>
  <c r="D1344" i="50"/>
  <c r="D1342" i="50"/>
  <c r="D1324" i="50"/>
  <c r="E1322" i="50"/>
  <c r="E1320" i="50"/>
  <c r="E1319" i="50"/>
  <c r="E1318" i="50"/>
  <c r="E1316" i="50"/>
  <c r="E1314" i="50"/>
  <c r="E1313" i="50"/>
  <c r="E1312" i="50"/>
  <c r="E1311" i="50"/>
  <c r="E1309" i="50"/>
  <c r="D1307" i="50"/>
  <c r="F1303" i="50"/>
  <c r="F1299" i="50"/>
  <c r="F1297" i="50"/>
  <c r="E1296" i="50"/>
  <c r="F1295" i="50"/>
  <c r="F1294" i="50"/>
  <c r="F1293" i="50"/>
  <c r="D1290" i="50"/>
  <c r="C48"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D465" i="50"/>
  <c r="F464" i="50"/>
  <c r="D464" i="50"/>
  <c r="F463" i="50"/>
  <c r="F462" i="50"/>
  <c r="D462" i="50"/>
  <c r="F461" i="50"/>
  <c r="D461" i="50"/>
  <c r="F460" i="50"/>
  <c r="F459" i="50"/>
  <c r="F458" i="50"/>
  <c r="D458" i="50"/>
  <c r="F457" i="50"/>
  <c r="D457" i="50"/>
  <c r="F456" i="50"/>
  <c r="F455" i="50"/>
  <c r="F454" i="50"/>
  <c r="D454" i="50"/>
  <c r="F453" i="50"/>
  <c r="D453" i="50"/>
  <c r="D452" i="50"/>
  <c r="F451" i="50"/>
  <c r="D451" i="50"/>
  <c r="F450" i="50"/>
  <c r="D450" i="50"/>
  <c r="F449" i="50"/>
  <c r="D449" i="50"/>
  <c r="D448" i="50"/>
  <c r="D446" i="50"/>
  <c r="D444" i="50"/>
  <c r="C47"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s="1"/>
  <c r="E92" i="50"/>
  <c r="E112" i="50" s="1"/>
  <c r="E91" i="50"/>
  <c r="E90" i="50"/>
  <c r="F89" i="50"/>
  <c r="F88" i="50"/>
  <c r="E87" i="50"/>
  <c r="F86" i="50"/>
  <c r="F85" i="50"/>
  <c r="F80" i="50"/>
  <c r="F79" i="50"/>
  <c r="F78" i="50"/>
  <c r="E77" i="50"/>
  <c r="E76" i="50"/>
  <c r="D74" i="50"/>
  <c r="D62" i="50"/>
  <c r="D60" i="50"/>
  <c r="C46" i="9" s="1"/>
  <c r="E58" i="50"/>
  <c r="D56" i="50"/>
  <c r="K49" i="50"/>
  <c r="K48" i="50"/>
  <c r="E48" i="50"/>
  <c r="D46" i="50"/>
  <c r="D44" i="50"/>
  <c r="C45" i="9" s="1"/>
  <c r="L32" i="50"/>
  <c r="I32" i="50"/>
  <c r="E32" i="50"/>
  <c r="D31" i="50"/>
  <c r="K21" i="50"/>
  <c r="E21" i="50"/>
  <c r="K20" i="50"/>
  <c r="E19" i="50"/>
  <c r="K18" i="50"/>
  <c r="E18" i="50"/>
  <c r="E15" i="50"/>
  <c r="E14" i="50"/>
  <c r="E13" i="50"/>
  <c r="D10" i="50"/>
  <c r="D8" i="50"/>
  <c r="C44" i="9" s="1"/>
  <c r="D6" i="50"/>
  <c r="C43" i="9" s="1"/>
  <c r="G4" i="50"/>
  <c r="E4" i="50"/>
  <c r="M3" i="50"/>
  <c r="K3" i="50"/>
  <c r="I3" i="50"/>
  <c r="G3" i="50"/>
  <c r="E3" i="50"/>
  <c r="I2" i="50"/>
  <c r="G2" i="50"/>
  <c r="E2" i="50"/>
  <c r="B2" i="50"/>
  <c r="C57" i="51"/>
  <c r="C42" i="9" s="1"/>
  <c r="F46" i="51"/>
  <c r="D46" i="51"/>
  <c r="C44" i="51"/>
  <c r="C43" i="51"/>
  <c r="K35" i="51"/>
  <c r="I35" i="51"/>
  <c r="F35" i="51"/>
  <c r="D35" i="51"/>
  <c r="C35" i="51"/>
  <c r="C33" i="51"/>
  <c r="C32" i="51"/>
  <c r="F27" i="51"/>
  <c r="D27" i="51"/>
  <c r="C25" i="51"/>
  <c r="C24" i="51"/>
  <c r="F19" i="51"/>
  <c r="D19" i="51"/>
  <c r="C17" i="51"/>
  <c r="C16" i="51"/>
  <c r="C14" i="51"/>
  <c r="C13" i="51"/>
  <c r="C11" i="51"/>
  <c r="C10" i="51"/>
  <c r="C9" i="51"/>
  <c r="C7" i="51"/>
  <c r="C41" i="9" s="1"/>
  <c r="C5" i="51"/>
  <c r="C40" i="9" s="1"/>
  <c r="D3" i="51"/>
  <c r="D2" i="51"/>
  <c r="L1" i="51"/>
  <c r="J1" i="51"/>
  <c r="H1" i="51"/>
  <c r="F1" i="51"/>
  <c r="D1" i="51"/>
  <c r="A1" i="51"/>
  <c r="C137" i="53"/>
  <c r="C39" i="9"/>
  <c r="D3" i="53"/>
  <c r="D2" i="53"/>
  <c r="L1" i="53"/>
  <c r="J1" i="53"/>
  <c r="H1" i="53"/>
  <c r="F1" i="53"/>
  <c r="D1" i="53"/>
  <c r="D382" i="47"/>
  <c r="E376" i="47"/>
  <c r="E375" i="47"/>
  <c r="E374" i="47"/>
  <c r="E373" i="47"/>
  <c r="E372" i="47"/>
  <c r="E371" i="47"/>
  <c r="E370" i="47"/>
  <c r="E369" i="47"/>
  <c r="E366" i="47"/>
  <c r="E365" i="47"/>
  <c r="F363" i="47"/>
  <c r="F362" i="47"/>
  <c r="F361" i="47"/>
  <c r="F360" i="47"/>
  <c r="E359" i="47"/>
  <c r="D354" i="47"/>
  <c r="E350" i="47"/>
  <c r="E348" i="47"/>
  <c r="E346" i="47"/>
  <c r="E344" i="47"/>
  <c r="E343" i="47"/>
  <c r="E342" i="47"/>
  <c r="E341" i="47"/>
  <c r="E340" i="47"/>
  <c r="E338" i="47"/>
  <c r="E337" i="47"/>
  <c r="E336" i="47"/>
  <c r="E333" i="47"/>
  <c r="E332" i="47"/>
  <c r="E330" i="47"/>
  <c r="D327" i="47"/>
  <c r="D325" i="47"/>
  <c r="C36" i="9" s="1"/>
  <c r="E321" i="47"/>
  <c r="E319" i="47"/>
  <c r="E318" i="47"/>
  <c r="E316" i="47"/>
  <c r="E314" i="47"/>
  <c r="E312" i="47"/>
  <c r="E311" i="47"/>
  <c r="E310" i="47"/>
  <c r="E308" i="47"/>
  <c r="E306" i="47"/>
  <c r="E305" i="47"/>
  <c r="E304" i="47"/>
  <c r="E301" i="47"/>
  <c r="E300" i="47"/>
  <c r="E298" i="47"/>
  <c r="E297" i="47"/>
  <c r="D294" i="47"/>
  <c r="D292" i="47"/>
  <c r="C35" i="9" s="1"/>
  <c r="E288" i="47"/>
  <c r="E286" i="47"/>
  <c r="E285" i="47"/>
  <c r="E283" i="47"/>
  <c r="E281" i="47"/>
  <c r="E279" i="47"/>
  <c r="E278" i="47"/>
  <c r="E277" i="47"/>
  <c r="E275" i="47"/>
  <c r="E273" i="47"/>
  <c r="E272" i="47"/>
  <c r="E271" i="47"/>
  <c r="E268" i="47"/>
  <c r="E267" i="47"/>
  <c r="E265" i="47"/>
  <c r="E264" i="47"/>
  <c r="D261" i="47"/>
  <c r="D259" i="47"/>
  <c r="C34" i="9" s="1"/>
  <c r="E255" i="47"/>
  <c r="E253" i="47"/>
  <c r="E251" i="47"/>
  <c r="E249" i="47"/>
  <c r="E247" i="47"/>
  <c r="E246" i="47"/>
  <c r="E245" i="47"/>
  <c r="E244" i="47"/>
  <c r="E243" i="47"/>
  <c r="E242" i="47"/>
  <c r="E241" i="47"/>
  <c r="E240" i="47"/>
  <c r="H239" i="47"/>
  <c r="G239" i="47"/>
  <c r="E239" i="47"/>
  <c r="F236" i="47"/>
  <c r="F235" i="47"/>
  <c r="E234" i="47"/>
  <c r="E232" i="47"/>
  <c r="E231" i="47"/>
  <c r="E228" i="47"/>
  <c r="E227" i="47"/>
  <c r="E225" i="47"/>
  <c r="E224" i="47"/>
  <c r="D221" i="47"/>
  <c r="D219" i="47"/>
  <c r="C33" i="9" s="1"/>
  <c r="E215" i="47"/>
  <c r="E213" i="47"/>
  <c r="E212" i="47"/>
  <c r="E210" i="47"/>
  <c r="E209" i="47"/>
  <c r="E208" i="47"/>
  <c r="G207" i="47"/>
  <c r="E207" i="47"/>
  <c r="E205" i="47"/>
  <c r="E203" i="47"/>
  <c r="E202" i="47"/>
  <c r="E197" i="47"/>
  <c r="E195" i="47"/>
  <c r="E193" i="47"/>
  <c r="E191" i="47"/>
  <c r="E190" i="47"/>
  <c r="E189" i="47"/>
  <c r="E188" i="47"/>
  <c r="F187" i="47"/>
  <c r="F186" i="47"/>
  <c r="F185" i="47"/>
  <c r="E183" i="47"/>
  <c r="E181" i="47"/>
  <c r="E179" i="47"/>
  <c r="E178" i="47"/>
  <c r="E175" i="47"/>
  <c r="E174" i="47"/>
  <c r="E172" i="47"/>
  <c r="D169" i="47"/>
  <c r="D167" i="47"/>
  <c r="C32" i="9" s="1"/>
  <c r="E163" i="47"/>
  <c r="E161" i="47"/>
  <c r="E159" i="47"/>
  <c r="E157" i="47"/>
  <c r="E156" i="47"/>
  <c r="F154" i="47"/>
  <c r="F153" i="47"/>
  <c r="F152" i="47"/>
  <c r="F151" i="47"/>
  <c r="E149" i="47"/>
  <c r="E147" i="47"/>
  <c r="E145" i="47"/>
  <c r="E144" i="47"/>
  <c r="E141" i="47"/>
  <c r="E140" i="47"/>
  <c r="E138" i="47"/>
  <c r="D135" i="47"/>
  <c r="D133" i="47"/>
  <c r="K3" i="47" s="1"/>
  <c r="E129" i="47"/>
  <c r="E127" i="47"/>
  <c r="E125" i="47"/>
  <c r="E123" i="47"/>
  <c r="E122" i="47"/>
  <c r="F120" i="47"/>
  <c r="F119" i="47"/>
  <c r="F118" i="47"/>
  <c r="F117" i="47"/>
  <c r="E115" i="47"/>
  <c r="E113" i="47"/>
  <c r="E111" i="47"/>
  <c r="E110" i="47"/>
  <c r="E107" i="47"/>
  <c r="E106" i="47"/>
  <c r="E104" i="47"/>
  <c r="D101" i="47"/>
  <c r="D99" i="47"/>
  <c r="C30" i="9" s="1"/>
  <c r="E95" i="47"/>
  <c r="E93"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F28" i="47"/>
  <c r="F27" i="47"/>
  <c r="F26" i="47"/>
  <c r="F25" i="47"/>
  <c r="E24" i="47"/>
  <c r="E22" i="47"/>
  <c r="E21" i="47"/>
  <c r="E18" i="47"/>
  <c r="E17" i="47"/>
  <c r="E15" i="47"/>
  <c r="E14" i="47"/>
  <c r="D11" i="47"/>
  <c r="D9" i="47"/>
  <c r="C29" i="9" s="1"/>
  <c r="D7" i="47"/>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E440" i="42"/>
  <c r="E429" i="42"/>
  <c r="E427" i="42"/>
  <c r="G415" i="42"/>
  <c r="E415" i="42"/>
  <c r="F413" i="42"/>
  <c r="F412" i="42"/>
  <c r="E411" i="42"/>
  <c r="E410" i="42"/>
  <c r="D408" i="42"/>
  <c r="E405" i="42"/>
  <c r="E404" i="42"/>
  <c r="E403" i="42"/>
  <c r="E394" i="42"/>
  <c r="E392" i="42"/>
  <c r="E391" i="42"/>
  <c r="E389" i="42"/>
  <c r="E388" i="42"/>
  <c r="E386" i="42"/>
  <c r="E385" i="42"/>
  <c r="E383" i="42"/>
  <c r="E382" i="42"/>
  <c r="E381" i="42"/>
  <c r="E378" i="42"/>
  <c r="E377" i="42"/>
  <c r="E376" i="42"/>
  <c r="E374"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E182" i="42"/>
  <c r="E169" i="42"/>
  <c r="I157" i="42"/>
  <c r="E171" i="42" s="1"/>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F115" i="42"/>
  <c r="F114" i="42"/>
  <c r="F113" i="42"/>
  <c r="F112" i="42"/>
  <c r="F111" i="42"/>
  <c r="E110" i="42"/>
  <c r="E108" i="42"/>
  <c r="E105" i="42"/>
  <c r="E104" i="42"/>
  <c r="E102" i="42"/>
  <c r="E100" i="42"/>
  <c r="E99" i="42"/>
  <c r="E97" i="42"/>
  <c r="E96" i="42"/>
  <c r="E94" i="42"/>
  <c r="E93" i="42"/>
  <c r="E92" i="42"/>
  <c r="E91" i="42"/>
  <c r="E88" i="42"/>
  <c r="E85" i="42"/>
  <c r="F84" i="42"/>
  <c r="F83" i="42"/>
  <c r="F82" i="42"/>
  <c r="F81" i="42"/>
  <c r="F80" i="42"/>
  <c r="E79" i="42"/>
  <c r="E77" i="42"/>
  <c r="E75" i="42"/>
  <c r="E64" i="42"/>
  <c r="E51" i="42"/>
  <c r="I39" i="42"/>
  <c r="E53" i="42" s="1"/>
  <c r="G39" i="42"/>
  <c r="E39" i="42"/>
  <c r="E37" i="42"/>
  <c r="E36" i="42"/>
  <c r="E33" i="42"/>
  <c r="F32" i="42"/>
  <c r="F31" i="42"/>
  <c r="F30" i="42"/>
  <c r="E29" i="42"/>
  <c r="E28" i="42"/>
  <c r="D26" i="42"/>
  <c r="E23" i="42"/>
  <c r="E20" i="42"/>
  <c r="E19" i="42"/>
  <c r="F17" i="42"/>
  <c r="F16" i="42"/>
  <c r="E15" i="42"/>
  <c r="E14" i="42"/>
  <c r="D10" i="42"/>
  <c r="C27" i="9" s="1"/>
  <c r="E8" i="42"/>
  <c r="D6" i="42"/>
  <c r="C26" i="9" s="1"/>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E1741" i="37"/>
  <c r="F1730" i="37"/>
  <c r="E1728"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E1561" i="37"/>
  <c r="F1550" i="37"/>
  <c r="E1548"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E1381" i="37"/>
  <c r="F1370" i="37"/>
  <c r="E1368"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E1201" i="37"/>
  <c r="F1190" i="37"/>
  <c r="E1188"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E1021" i="37"/>
  <c r="F1010" i="37"/>
  <c r="E1008"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E841" i="37"/>
  <c r="F830" i="37"/>
  <c r="E828"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E661" i="37"/>
  <c r="F650" i="37"/>
  <c r="E648"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E481" i="37"/>
  <c r="F470" i="37"/>
  <c r="E468"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E301" i="37"/>
  <c r="F290" i="37"/>
  <c r="E288"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3" i="37"/>
  <c r="E230" i="37"/>
  <c r="E229" i="37"/>
  <c r="E227" i="37"/>
  <c r="E225" i="37"/>
  <c r="E221" i="37"/>
  <c r="E219" i="37"/>
  <c r="E218" i="37"/>
  <c r="E217" i="37"/>
  <c r="E216" i="37"/>
  <c r="E214" i="37"/>
  <c r="E212" i="37"/>
  <c r="E210" i="37"/>
  <c r="E209" i="37"/>
  <c r="E208" i="37"/>
  <c r="E207" i="37"/>
  <c r="E205"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3" i="37"/>
  <c r="E151" i="37"/>
  <c r="E149"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3" i="37"/>
  <c r="E111" i="37"/>
  <c r="E110" i="37"/>
  <c r="E108" i="37"/>
  <c r="E107" i="37"/>
  <c r="E104" i="37"/>
  <c r="E101" i="37"/>
  <c r="F100" i="37"/>
  <c r="F99" i="37"/>
  <c r="F98" i="37"/>
  <c r="F97" i="37"/>
  <c r="F96" i="37"/>
  <c r="F95" i="37"/>
  <c r="F94" i="37"/>
  <c r="E93" i="37"/>
  <c r="E91" i="37"/>
  <c r="E89" i="37"/>
  <c r="E77" i="37"/>
  <c r="F66" i="37"/>
  <c r="E64" i="37"/>
  <c r="E60" i="37"/>
  <c r="E58" i="37"/>
  <c r="D56" i="37"/>
  <c r="E54" i="37"/>
  <c r="E53" i="37"/>
  <c r="E52" i="37"/>
  <c r="E51" i="37"/>
  <c r="E50" i="37"/>
  <c r="E48" i="37"/>
  <c r="E46" i="37"/>
  <c r="E44" i="37"/>
  <c r="E43" i="37"/>
  <c r="E42" i="37"/>
  <c r="E41" i="37"/>
  <c r="E40" i="37"/>
  <c r="E39" i="37"/>
  <c r="E38" i="37"/>
  <c r="E36" i="37"/>
  <c r="E35" i="37"/>
  <c r="D33" i="37"/>
  <c r="E31" i="37"/>
  <c r="E30" i="37"/>
  <c r="E28" i="37"/>
  <c r="E27" i="37"/>
  <c r="E25" i="37"/>
  <c r="E22" i="37"/>
  <c r="E20" i="37"/>
  <c r="E19" i="37"/>
  <c r="F17" i="37"/>
  <c r="F16" i="37"/>
  <c r="E15" i="37"/>
  <c r="E14" i="37"/>
  <c r="D11" i="37"/>
  <c r="C25" i="9" s="1"/>
  <c r="E9" i="37"/>
  <c r="D7" i="37"/>
  <c r="C24" i="9" s="1"/>
  <c r="E4" i="37"/>
  <c r="E3" i="37"/>
  <c r="M2" i="37"/>
  <c r="K2" i="37"/>
  <c r="I2" i="37"/>
  <c r="G2" i="37"/>
  <c r="E2" i="37"/>
  <c r="B2" i="37"/>
  <c r="D371" i="41"/>
  <c r="E368" i="41"/>
  <c r="E367" i="41"/>
  <c r="E366" i="41"/>
  <c r="E364" i="41"/>
  <c r="E442" i="50" s="1"/>
  <c r="E363" i="41"/>
  <c r="E361" i="41"/>
  <c r="E441" i="50" s="1"/>
  <c r="E360" i="41"/>
  <c r="E358" i="41"/>
  <c r="E440" i="50" s="1"/>
  <c r="E357" i="41"/>
  <c r="E355" i="41"/>
  <c r="E439" i="50" s="1"/>
  <c r="E354" i="41"/>
  <c r="E352" i="41"/>
  <c r="E438" i="50" s="1"/>
  <c r="E351" i="41"/>
  <c r="E437" i="50" s="1"/>
  <c r="E349" i="41"/>
  <c r="E348" i="41"/>
  <c r="E345" i="41"/>
  <c r="E434" i="50" s="1"/>
  <c r="D343" i="41"/>
  <c r="D432" i="50" s="1"/>
  <c r="D341" i="41"/>
  <c r="C23" i="9" s="1"/>
  <c r="E339" i="41"/>
  <c r="E430" i="50" s="1"/>
  <c r="E338" i="41"/>
  <c r="E429" i="50" s="1"/>
  <c r="E337" i="41"/>
  <c r="E336" i="41"/>
  <c r="E428" i="50" s="1"/>
  <c r="E334" i="41"/>
  <c r="E426" i="50" s="1"/>
  <c r="E333" i="41"/>
  <c r="E425" i="50" s="1"/>
  <c r="E322" i="41"/>
  <c r="E414" i="50" s="1"/>
  <c r="E321" i="41"/>
  <c r="E320" i="41"/>
  <c r="E319" i="41"/>
  <c r="E413" i="50" s="1"/>
  <c r="E317" i="41"/>
  <c r="E411" i="50" s="1"/>
  <c r="E316" i="41"/>
  <c r="E410" i="50" s="1"/>
  <c r="E314" i="41"/>
  <c r="E408" i="50" s="1"/>
  <c r="E308" i="41"/>
  <c r="E402" i="50" s="1"/>
  <c r="E307" i="41"/>
  <c r="E306" i="41"/>
  <c r="E401" i="50" s="1"/>
  <c r="E304" i="41"/>
  <c r="E399" i="50" s="1"/>
  <c r="E293" i="41"/>
  <c r="E388" i="50" s="1"/>
  <c r="E292" i="41"/>
  <c r="E291" i="41"/>
  <c r="E387" i="50" s="1"/>
  <c r="E289" i="41"/>
  <c r="E385" i="50" s="1"/>
  <c r="E288" i="41"/>
  <c r="E384" i="50" s="1"/>
  <c r="E286" i="41"/>
  <c r="E382" i="50" s="1"/>
  <c r="E282" i="41"/>
  <c r="E378" i="50" s="1"/>
  <c r="E281" i="41"/>
  <c r="E280" i="41"/>
  <c r="E377" i="50" s="1"/>
  <c r="E278" i="41"/>
  <c r="E375" i="50" s="1"/>
  <c r="E274" i="41"/>
  <c r="E371" i="50" s="1"/>
  <c r="E273" i="41"/>
  <c r="E272" i="41"/>
  <c r="E271" i="41"/>
  <c r="E370" i="50" s="1"/>
  <c r="E269" i="41"/>
  <c r="E368" i="50" s="1"/>
  <c r="E268" i="41"/>
  <c r="E367" i="50" s="1"/>
  <c r="E266" i="41"/>
  <c r="E365" i="50" s="1"/>
  <c r="E265" i="41"/>
  <c r="E364" i="50" s="1"/>
  <c r="E264" i="41"/>
  <c r="E363" i="50" s="1"/>
  <c r="E263" i="41"/>
  <c r="E362" i="50" s="1"/>
  <c r="E262" i="41"/>
  <c r="E261" i="41"/>
  <c r="E260" i="41"/>
  <c r="E361" i="50" s="1"/>
  <c r="E258" i="41"/>
  <c r="E359" i="50" s="1"/>
  <c r="E247" i="41"/>
  <c r="E348" i="50" s="1"/>
  <c r="E246" i="41"/>
  <c r="E245" i="41"/>
  <c r="E347" i="50" s="1"/>
  <c r="E243" i="41"/>
  <c r="E241" i="41"/>
  <c r="D239" i="41"/>
  <c r="D238" i="41"/>
  <c r="D237" i="41"/>
  <c r="D345" i="50" s="1"/>
  <c r="D235" i="41"/>
  <c r="C22" i="9" s="1"/>
  <c r="E230" i="41"/>
  <c r="E226" i="41"/>
  <c r="E224" i="41"/>
  <c r="E223" i="41"/>
  <c r="E222" i="41"/>
  <c r="E221" i="41"/>
  <c r="E219" i="41"/>
  <c r="E218" i="41"/>
  <c r="E217" i="41"/>
  <c r="E215" i="41"/>
  <c r="E337" i="50" s="1"/>
  <c r="E213" i="41"/>
  <c r="E212" i="41"/>
  <c r="E211" i="41"/>
  <c r="E335" i="50" s="1"/>
  <c r="E209" i="41"/>
  <c r="E333" i="50" s="1"/>
  <c r="E208" i="41"/>
  <c r="E332" i="50" s="1"/>
  <c r="E206" i="41"/>
  <c r="E330" i="50" s="1"/>
  <c r="E205" i="41"/>
  <c r="E329" i="50" s="1"/>
  <c r="E203" i="41"/>
  <c r="E202" i="41"/>
  <c r="E201" i="41"/>
  <c r="E327" i="50" s="1"/>
  <c r="E199" i="41"/>
  <c r="E325" i="50" s="1"/>
  <c r="E193" i="41"/>
  <c r="E319" i="50" s="1"/>
  <c r="E191" i="41"/>
  <c r="E318" i="50"/>
  <c r="E188" i="41"/>
  <c r="E316" i="50" s="1"/>
  <c r="E187" i="41"/>
  <c r="E186" i="41"/>
  <c r="E315" i="50" s="1"/>
  <c r="E184" i="41"/>
  <c r="E313" i="50" s="1"/>
  <c r="E183" i="41"/>
  <c r="E312" i="50" s="1"/>
  <c r="E181" i="41"/>
  <c r="E310" i="50" s="1"/>
  <c r="E180" i="41"/>
  <c r="E309" i="50" s="1"/>
  <c r="E179" i="41"/>
  <c r="E178" i="41"/>
  <c r="E176" i="41"/>
  <c r="E307" i="50" s="1"/>
  <c r="E173" i="41"/>
  <c r="E304" i="50" s="1"/>
  <c r="E171" i="41"/>
  <c r="E169" i="41"/>
  <c r="E302" i="50" s="1"/>
  <c r="E163" i="41"/>
  <c r="E296" i="50" s="1"/>
  <c r="E162" i="41"/>
  <c r="E161" i="41"/>
  <c r="E160" i="41"/>
  <c r="E295" i="50" s="1"/>
  <c r="E158" i="41"/>
  <c r="E293" i="50" s="1"/>
  <c r="E157" i="41"/>
  <c r="E292" i="50" s="1"/>
  <c r="E155" i="41"/>
  <c r="E290" i="50" s="1"/>
  <c r="E154" i="41"/>
  <c r="E289" i="50" s="1"/>
  <c r="E152" i="41"/>
  <c r="E151" i="41"/>
  <c r="E150" i="41"/>
  <c r="E148" i="41"/>
  <c r="E287" i="50" s="1"/>
  <c r="E147" i="41"/>
  <c r="E286" i="50" s="1"/>
  <c r="E145" i="41"/>
  <c r="E284" i="50" s="1"/>
  <c r="E133" i="41"/>
  <c r="E132" i="41"/>
  <c r="E131" i="41"/>
  <c r="E272" i="50" s="1"/>
  <c r="E129" i="41"/>
  <c r="E270" i="50" s="1"/>
  <c r="E128" i="41"/>
  <c r="E269" i="50" s="1"/>
  <c r="E127" i="41"/>
  <c r="E268" i="50" s="1"/>
  <c r="E125" i="41"/>
  <c r="E124" i="41"/>
  <c r="E123" i="41"/>
  <c r="E266" i="50" s="1"/>
  <c r="E121" i="41"/>
  <c r="E120" i="41"/>
  <c r="E119" i="41"/>
  <c r="E118" i="41"/>
  <c r="E116" i="41"/>
  <c r="E264" i="50" s="1"/>
  <c r="E114" i="41"/>
  <c r="E113" i="41"/>
  <c r="E112" i="41"/>
  <c r="E263" i="50" s="1"/>
  <c r="E110" i="41"/>
  <c r="E261" i="50" s="1"/>
  <c r="E109" i="41"/>
  <c r="E260" i="50" s="1"/>
  <c r="E107" i="41"/>
  <c r="E258" i="50" s="1"/>
  <c r="E105" i="41"/>
  <c r="E257" i="50"/>
  <c r="E102" i="41"/>
  <c r="E255" i="50" s="1"/>
  <c r="E98" i="41"/>
  <c r="E251" i="50" s="1"/>
  <c r="E97" i="41"/>
  <c r="E96" i="41"/>
  <c r="E250" i="50"/>
  <c r="E93" i="41"/>
  <c r="E248" i="50" s="1"/>
  <c r="E89" i="41"/>
  <c r="E244" i="50" s="1"/>
  <c r="E87" i="41"/>
  <c r="E243" i="50"/>
  <c r="E84" i="41"/>
  <c r="E241" i="50" s="1"/>
  <c r="E82" i="41"/>
  <c r="E81" i="41"/>
  <c r="E80" i="41"/>
  <c r="E239" i="50" s="1"/>
  <c r="E78" i="41"/>
  <c r="E76" i="41"/>
  <c r="E75" i="41"/>
  <c r="E74" i="41"/>
  <c r="E72" i="41"/>
  <c r="E71" i="41"/>
  <c r="E70" i="41"/>
  <c r="D69" i="41"/>
  <c r="E67" i="41"/>
  <c r="D66" i="41"/>
  <c r="D64" i="41"/>
  <c r="D62" i="41"/>
  <c r="E59" i="41"/>
  <c r="E57" i="41"/>
  <c r="E56" i="41"/>
  <c r="E55" i="41"/>
  <c r="D53" i="41"/>
  <c r="D51" i="41"/>
  <c r="C21" i="9" s="1"/>
  <c r="E41" i="41"/>
  <c r="E39" i="41"/>
  <c r="E49" i="41" s="1"/>
  <c r="E218" i="50" s="1"/>
  <c r="E38" i="41"/>
  <c r="E48" i="41" s="1"/>
  <c r="E214" i="50" s="1"/>
  <c r="E35" i="41"/>
  <c r="E45" i="41" s="1"/>
  <c r="E213" i="50" s="1"/>
  <c r="E34" i="41"/>
  <c r="E44" i="41" s="1"/>
  <c r="E215" i="50" s="1"/>
  <c r="E33" i="41"/>
  <c r="E43" i="41" s="1"/>
  <c r="E212" i="50" s="1"/>
  <c r="E31" i="41"/>
  <c r="E29" i="41"/>
  <c r="E28" i="41"/>
  <c r="F27" i="41"/>
  <c r="F26" i="41"/>
  <c r="F25" i="41"/>
  <c r="F24" i="41"/>
  <c r="E23" i="41"/>
  <c r="E22" i="41"/>
  <c r="E20" i="41"/>
  <c r="E19" i="41"/>
  <c r="E18" i="41"/>
  <c r="E16" i="41"/>
  <c r="E13" i="41"/>
  <c r="D10" i="41"/>
  <c r="D8" i="41"/>
  <c r="C20" i="9" s="1"/>
  <c r="D6" i="41"/>
  <c r="C19" i="9" s="1"/>
  <c r="G4" i="41"/>
  <c r="E4" i="41"/>
  <c r="M3" i="41"/>
  <c r="K3" i="41"/>
  <c r="I3" i="41"/>
  <c r="G3" i="41"/>
  <c r="E3" i="41"/>
  <c r="M2" i="41"/>
  <c r="K2" i="41"/>
  <c r="I2" i="41"/>
  <c r="G2" i="41"/>
  <c r="E2" i="41"/>
  <c r="B2" i="41"/>
  <c r="D300" i="49"/>
  <c r="E298" i="49"/>
  <c r="E206" i="50" s="1"/>
  <c r="E295" i="49"/>
  <c r="E293" i="49"/>
  <c r="E292" i="49"/>
  <c r="E290" i="49"/>
  <c r="E288" i="49"/>
  <c r="M287" i="49"/>
  <c r="M208" i="50" s="1"/>
  <c r="J287" i="49"/>
  <c r="J208" i="50" s="1"/>
  <c r="E287" i="49"/>
  <c r="E208" i="50" s="1"/>
  <c r="E285" i="49"/>
  <c r="E283" i="49"/>
  <c r="E204" i="50" s="1"/>
  <c r="E281" i="49"/>
  <c r="E279" i="49"/>
  <c r="E278" i="49"/>
  <c r="E276" i="49"/>
  <c r="E274" i="49"/>
  <c r="E273" i="49"/>
  <c r="E271" i="49"/>
  <c r="E269" i="49"/>
  <c r="E201" i="50" s="1"/>
  <c r="E266" i="49"/>
  <c r="E261" i="49"/>
  <c r="E199" i="50" s="1"/>
  <c r="E259" i="49"/>
  <c r="E257" i="49"/>
  <c r="E198" i="50" s="1"/>
  <c r="D253" i="49"/>
  <c r="E250" i="49"/>
  <c r="E194" i="50" s="1"/>
  <c r="E248" i="49"/>
  <c r="E247" i="49"/>
  <c r="E246" i="49"/>
  <c r="E245" i="49"/>
  <c r="E243" i="49"/>
  <c r="E242" i="49"/>
  <c r="E240" i="49"/>
  <c r="E238" i="49"/>
  <c r="M237" i="49"/>
  <c r="M196" i="50" s="1"/>
  <c r="J237" i="49"/>
  <c r="J196" i="50" s="1"/>
  <c r="E237" i="49"/>
  <c r="E196" i="50" s="1"/>
  <c r="E236" i="49"/>
  <c r="E234" i="49"/>
  <c r="E192" i="50" s="1"/>
  <c r="E232" i="49"/>
  <c r="E231" i="49"/>
  <c r="E229" i="49"/>
  <c r="E228" i="49"/>
  <c r="E227" i="49"/>
  <c r="E226" i="49"/>
  <c r="E225" i="49"/>
  <c r="E224" i="49"/>
  <c r="E222" i="49"/>
  <c r="E221" i="49"/>
  <c r="E220" i="49"/>
  <c r="E219" i="49"/>
  <c r="E218" i="49"/>
  <c r="E216" i="49"/>
  <c r="E189" i="50" s="1"/>
  <c r="E214" i="49"/>
  <c r="E213" i="49"/>
  <c r="E209" i="49"/>
  <c r="E208" i="49"/>
  <c r="E207" i="49"/>
  <c r="E187" i="50" s="1"/>
  <c r="E205" i="49"/>
  <c r="E203" i="49"/>
  <c r="E202" i="49"/>
  <c r="E201" i="49"/>
  <c r="E186" i="50" s="1"/>
  <c r="D199" i="49"/>
  <c r="F196" i="49"/>
  <c r="F195" i="49"/>
  <c r="F194" i="49"/>
  <c r="F193" i="49"/>
  <c r="F192" i="49"/>
  <c r="E191" i="49"/>
  <c r="E190" i="49"/>
  <c r="E189" i="49"/>
  <c r="E187" i="49"/>
  <c r="D185" i="49"/>
  <c r="C18" i="9" s="1"/>
  <c r="E183" i="49"/>
  <c r="E182" i="50" s="1"/>
  <c r="E182" i="49"/>
  <c r="E181" i="50" s="1"/>
  <c r="E180" i="49"/>
  <c r="E178" i="49"/>
  <c r="E179" i="50" s="1"/>
  <c r="E177" i="49"/>
  <c r="E178" i="50" s="1"/>
  <c r="E175" i="49"/>
  <c r="E173" i="49"/>
  <c r="E172" i="49"/>
  <c r="E170" i="49"/>
  <c r="E168" i="49"/>
  <c r="E173" i="50" s="1"/>
  <c r="E167" i="49"/>
  <c r="E172" i="50" s="1"/>
  <c r="E165" i="49"/>
  <c r="L163" i="49"/>
  <c r="I163" i="49"/>
  <c r="E163" i="49"/>
  <c r="E161" i="49"/>
  <c r="E169" i="50" s="1"/>
  <c r="E160" i="49"/>
  <c r="E168" i="50" s="1"/>
  <c r="E159" i="49"/>
  <c r="E167" i="50" s="1"/>
  <c r="E157" i="49"/>
  <c r="E155" i="49"/>
  <c r="E164" i="50" s="1"/>
  <c r="E154" i="49"/>
  <c r="E152" i="49"/>
  <c r="E150" i="49"/>
  <c r="E163" i="50" s="1"/>
  <c r="E148" i="49"/>
  <c r="E146" i="49"/>
  <c r="E162" i="50" s="1"/>
  <c r="E144" i="49"/>
  <c r="D140" i="49"/>
  <c r="E138" i="49"/>
  <c r="E157" i="50" s="1"/>
  <c r="E137" i="49"/>
  <c r="E156" i="50" s="1"/>
  <c r="E135" i="49"/>
  <c r="E134" i="49"/>
  <c r="E132" i="49"/>
  <c r="E154" i="50" s="1"/>
  <c r="E131" i="49"/>
  <c r="E153" i="50" s="1"/>
  <c r="E128" i="49"/>
  <c r="E127" i="49"/>
  <c r="E126" i="49"/>
  <c r="E124" i="49"/>
  <c r="E123" i="49"/>
  <c r="E121" i="49"/>
  <c r="E118" i="49"/>
  <c r="E117" i="49"/>
  <c r="E115" i="49"/>
  <c r="E148" i="50" s="1"/>
  <c r="E114" i="49"/>
  <c r="E147" i="50" s="1"/>
  <c r="E112" i="49"/>
  <c r="E111" i="49"/>
  <c r="E110" i="49"/>
  <c r="L108" i="49"/>
  <c r="I108" i="49"/>
  <c r="E108" i="49"/>
  <c r="E106" i="49"/>
  <c r="E144" i="50" s="1"/>
  <c r="E105" i="49"/>
  <c r="E143" i="50" s="1"/>
  <c r="E104" i="49"/>
  <c r="E142" i="50" s="1"/>
  <c r="E102" i="49"/>
  <c r="E101" i="49"/>
  <c r="E99" i="49"/>
  <c r="E139" i="50" s="1"/>
  <c r="E98" i="49"/>
  <c r="E96" i="49"/>
  <c r="E95" i="49"/>
  <c r="E93" i="49"/>
  <c r="E138" i="50" s="1"/>
  <c r="E91" i="49"/>
  <c r="E90" i="49"/>
  <c r="E88" i="49"/>
  <c r="E137" i="50" s="1"/>
  <c r="E86" i="49"/>
  <c r="E85" i="49"/>
  <c r="D83" i="49"/>
  <c r="E80" i="49"/>
  <c r="E79" i="49"/>
  <c r="E78" i="49"/>
  <c r="E77" i="49"/>
  <c r="E76" i="49"/>
  <c r="D74" i="49"/>
  <c r="C17" i="9" s="1"/>
  <c r="E71" i="49"/>
  <c r="E70" i="49"/>
  <c r="D68" i="49"/>
  <c r="E66" i="49"/>
  <c r="E65" i="49"/>
  <c r="D63" i="49"/>
  <c r="D61" i="49"/>
  <c r="C16" i="9" s="1"/>
  <c r="E59" i="49"/>
  <c r="E72" i="50" s="1"/>
  <c r="E58" i="49"/>
  <c r="E71" i="50" s="1"/>
  <c r="E57" i="49"/>
  <c r="E70" i="50" s="1"/>
  <c r="E56" i="49"/>
  <c r="E69" i="50" s="1"/>
  <c r="E55" i="49"/>
  <c r="E68" i="50" s="1"/>
  <c r="E54" i="49"/>
  <c r="E67" i="50" s="1"/>
  <c r="E53" i="49"/>
  <c r="E66" i="50" s="1"/>
  <c r="E52" i="49"/>
  <c r="E65" i="50" s="1"/>
  <c r="E51" i="49"/>
  <c r="E64" i="50" s="1"/>
  <c r="E50" i="49"/>
  <c r="E49" i="49"/>
  <c r="E48" i="49"/>
  <c r="D47" i="49"/>
  <c r="E44" i="49"/>
  <c r="E43" i="49"/>
  <c r="E42" i="49"/>
  <c r="E41" i="49"/>
  <c r="E40" i="49"/>
  <c r="E39" i="49"/>
  <c r="E38" i="49"/>
  <c r="E37" i="49"/>
  <c r="E36" i="49"/>
  <c r="F34" i="49"/>
  <c r="F33" i="49"/>
  <c r="F32" i="49"/>
  <c r="F31" i="49"/>
  <c r="F30" i="49"/>
  <c r="F29" i="49"/>
  <c r="E24" i="49"/>
  <c r="E23" i="49"/>
  <c r="E22" i="49"/>
  <c r="E21" i="49"/>
  <c r="E20" i="49"/>
  <c r="E19" i="49"/>
  <c r="E18" i="49"/>
  <c r="E17" i="49"/>
  <c r="E16" i="49"/>
  <c r="D13" i="49"/>
  <c r="D11" i="49"/>
  <c r="D8" i="49"/>
  <c r="C15" i="9" s="1"/>
  <c r="D6" i="49"/>
  <c r="C14"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1" i="59"/>
  <c r="D8" i="59"/>
  <c r="L3" i="59"/>
  <c r="J3" i="59"/>
  <c r="H3" i="59"/>
  <c r="F3" i="59"/>
  <c r="E3" i="59"/>
  <c r="L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1" i="58"/>
  <c r="D8"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1" i="57"/>
  <c r="D8"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1" i="56"/>
  <c r="D8"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6" i="55"/>
  <c r="D15" i="55"/>
  <c r="D11" i="55"/>
  <c r="D8" i="55"/>
  <c r="C49" i="9"/>
  <c r="L3" i="55"/>
  <c r="J3" i="55"/>
  <c r="H3" i="55"/>
  <c r="F3" i="55"/>
  <c r="E3" i="55"/>
  <c r="L2" i="55"/>
  <c r="J2" i="55"/>
  <c r="H2" i="55"/>
  <c r="F2" i="55"/>
  <c r="E2" i="55"/>
  <c r="B2" i="55"/>
  <c r="D322" i="43"/>
  <c r="H310" i="43"/>
  <c r="E310" i="43"/>
  <c r="E309" i="43"/>
  <c r="E307" i="43"/>
  <c r="F295" i="43"/>
  <c r="E295" i="43"/>
  <c r="F293" i="43"/>
  <c r="F292" i="43"/>
  <c r="F290" i="43"/>
  <c r="F289" i="43"/>
  <c r="F288" i="43"/>
  <c r="F287" i="43"/>
  <c r="F285" i="43"/>
  <c r="F284" i="43"/>
  <c r="F283" i="43"/>
  <c r="E282" i="43"/>
  <c r="F281" i="43"/>
  <c r="F280" i="43"/>
  <c r="F279" i="43"/>
  <c r="E276" i="43"/>
  <c r="E275" i="43"/>
  <c r="E274" i="43"/>
  <c r="E272" i="43"/>
  <c r="D270" i="43"/>
  <c r="C13" i="9" s="1"/>
  <c r="K258" i="43"/>
  <c r="J258" i="43"/>
  <c r="E258" i="43"/>
  <c r="D258" i="43"/>
  <c r="E256" i="43"/>
  <c r="E254" i="43"/>
  <c r="E253" i="43"/>
  <c r="E251" i="43"/>
  <c r="E250" i="43"/>
  <c r="E249" i="43"/>
  <c r="D248" i="43"/>
  <c r="K233" i="43"/>
  <c r="J233" i="43"/>
  <c r="E233" i="43"/>
  <c r="D233" i="43"/>
  <c r="E231" i="43"/>
  <c r="E226" i="43"/>
  <c r="D224" i="43"/>
  <c r="D222" i="43"/>
  <c r="C12" i="9" s="1"/>
  <c r="E220" i="43"/>
  <c r="E219" i="43"/>
  <c r="E218" i="43"/>
  <c r="E217" i="43"/>
  <c r="E215" i="43"/>
  <c r="E213" i="43"/>
  <c r="E212" i="43"/>
  <c r="D211" i="43"/>
  <c r="E205" i="43"/>
  <c r="E194" i="43"/>
  <c r="E191" i="43"/>
  <c r="D166" i="43"/>
  <c r="C11" i="9" s="1"/>
  <c r="E164" i="43"/>
  <c r="E163" i="43"/>
  <c r="F161" i="43"/>
  <c r="N160" i="43"/>
  <c r="E158" i="43"/>
  <c r="F154" i="43"/>
  <c r="F152" i="43"/>
  <c r="F150" i="43"/>
  <c r="E131" i="43"/>
  <c r="F128" i="43"/>
  <c r="E127" i="43"/>
  <c r="E126" i="43"/>
  <c r="E124" i="43"/>
  <c r="E122" i="43"/>
  <c r="E114" i="43"/>
  <c r="E113" i="43"/>
  <c r="D109" i="43"/>
  <c r="G106" i="43"/>
  <c r="G105" i="43"/>
  <c r="E104" i="43"/>
  <c r="G102" i="43"/>
  <c r="G101" i="43"/>
  <c r="G100" i="43"/>
  <c r="G99" i="43"/>
  <c r="E98" i="43"/>
  <c r="E97" i="43"/>
  <c r="G95" i="43"/>
  <c r="G93" i="43"/>
  <c r="G92" i="43"/>
  <c r="G91" i="43"/>
  <c r="E90" i="43"/>
  <c r="D88" i="43"/>
  <c r="G86" i="43"/>
  <c r="G85" i="43"/>
  <c r="G84" i="43"/>
  <c r="G83" i="43"/>
  <c r="E82" i="43"/>
  <c r="G80" i="43"/>
  <c r="G79" i="43"/>
  <c r="G78" i="43"/>
  <c r="G77" i="43"/>
  <c r="E76" i="43"/>
  <c r="D73" i="43"/>
  <c r="G71" i="43"/>
  <c r="G70" i="43"/>
  <c r="E67" i="43"/>
  <c r="G65" i="43"/>
  <c r="G64" i="43"/>
  <c r="G63" i="43"/>
  <c r="G62" i="43"/>
  <c r="G61" i="43"/>
  <c r="G60" i="43"/>
  <c r="G58" i="43"/>
  <c r="G57" i="43"/>
  <c r="E56" i="43"/>
  <c r="E55" i="43"/>
  <c r="E53" i="43"/>
  <c r="F49" i="43"/>
  <c r="E47" i="43"/>
  <c r="E44" i="43"/>
  <c r="F42" i="43"/>
  <c r="F40" i="43"/>
  <c r="F38" i="43"/>
  <c r="E33" i="43"/>
  <c r="E27" i="43"/>
  <c r="E23" i="43"/>
  <c r="E22" i="43"/>
  <c r="E16" i="43"/>
  <c r="E12" i="43"/>
  <c r="D10" i="43"/>
  <c r="D8" i="43"/>
  <c r="C10" i="9" s="1"/>
  <c r="D6" i="43"/>
  <c r="C9" i="9" s="1"/>
  <c r="M4" i="43"/>
  <c r="K4" i="43"/>
  <c r="I4" i="43"/>
  <c r="G4" i="43"/>
  <c r="E4" i="43"/>
  <c r="M3" i="43"/>
  <c r="K3" i="43"/>
  <c r="I3" i="43"/>
  <c r="G3" i="43"/>
  <c r="E3" i="43"/>
  <c r="M2" i="43"/>
  <c r="K2" i="43"/>
  <c r="I2" i="43"/>
  <c r="G2" i="43"/>
  <c r="E2" i="43"/>
  <c r="B2" i="43"/>
  <c r="B91" i="10"/>
  <c r="B64" i="10"/>
  <c r="B7" i="10"/>
  <c r="C8" i="9"/>
  <c r="B3" i="10"/>
  <c r="B2" i="10"/>
  <c r="J1" i="10"/>
  <c r="H1" i="10"/>
  <c r="F1" i="10"/>
  <c r="D1" i="10"/>
  <c r="B1" i="10"/>
  <c r="C62" i="9"/>
  <c r="C60" i="9"/>
  <c r="C59" i="9"/>
  <c r="C57" i="9"/>
  <c r="C56" i="9"/>
  <c r="B7" i="9"/>
  <c r="B3" i="9"/>
  <c r="B2" i="9"/>
  <c r="K1" i="9"/>
  <c r="I1" i="9"/>
  <c r="B1" i="9"/>
  <c r="C38" i="51"/>
  <c r="C39" i="51"/>
  <c r="C40" i="51"/>
  <c r="C41" i="51"/>
  <c r="C36" i="51"/>
  <c r="C37" i="51"/>
  <c r="M155" i="49"/>
  <c r="M164" i="50" s="1"/>
  <c r="L155" i="49"/>
  <c r="L164" i="50" s="1"/>
  <c r="K155" i="49"/>
  <c r="K164" i="50" s="1"/>
  <c r="J155" i="49"/>
  <c r="J164" i="50" s="1"/>
  <c r="I155" i="49"/>
  <c r="I164" i="50" s="1"/>
  <c r="M99" i="49"/>
  <c r="M139" i="50" s="1"/>
  <c r="L99" i="49"/>
  <c r="L139" i="50" s="1"/>
  <c r="K99" i="49"/>
  <c r="K139" i="50" s="1"/>
  <c r="J99" i="49"/>
  <c r="I99" i="49"/>
  <c r="P42" i="37"/>
  <c r="I241" i="50"/>
  <c r="M55" i="41"/>
  <c r="M333" i="43"/>
  <c r="M58" i="50" s="1"/>
  <c r="L333" i="43"/>
  <c r="L58" i="50" s="1"/>
  <c r="J333" i="43"/>
  <c r="J58" i="50" s="1"/>
  <c r="I333" i="43"/>
  <c r="I58" i="50" s="1"/>
  <c r="G335" i="43"/>
  <c r="E266" i="43" s="1"/>
  <c r="I1356" i="50"/>
  <c r="I217" i="34"/>
  <c r="J10" i="55"/>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AA1865" i="37" s="1"/>
  <c r="M1846" i="37"/>
  <c r="L1846" i="37"/>
  <c r="K1846" i="37"/>
  <c r="J1846" i="37"/>
  <c r="I1846" i="37"/>
  <c r="M1838" i="37"/>
  <c r="W1838" i="37" s="1"/>
  <c r="L1838" i="37"/>
  <c r="V1838" i="37" s="1"/>
  <c r="K1838" i="37"/>
  <c r="U1838" i="37" s="1"/>
  <c r="J1838" i="37"/>
  <c r="T1838" i="37" s="1"/>
  <c r="I1838" i="37"/>
  <c r="S1838" i="37" s="1"/>
  <c r="M1830" i="37"/>
  <c r="L1830" i="37"/>
  <c r="K1830" i="37"/>
  <c r="J1830" i="37"/>
  <c r="I1830" i="37"/>
  <c r="M1822" i="37"/>
  <c r="L1822" i="37"/>
  <c r="K1822" i="37"/>
  <c r="J1822" i="37"/>
  <c r="I1822" i="37"/>
  <c r="M1814" i="37"/>
  <c r="L1814" i="37"/>
  <c r="K1814" i="37"/>
  <c r="J1814" i="37"/>
  <c r="I1814" i="37"/>
  <c r="M1785" i="37"/>
  <c r="M1782" i="37" s="1"/>
  <c r="M1783" i="37" s="1"/>
  <c r="L1785" i="37"/>
  <c r="L1782" i="37" s="1"/>
  <c r="L1783" i="37" s="1"/>
  <c r="K1785" i="37"/>
  <c r="K1782" i="37" s="1"/>
  <c r="K1783" i="37" s="1"/>
  <c r="J1785" i="37"/>
  <c r="J1782" i="37" s="1"/>
  <c r="J1783" i="37" s="1"/>
  <c r="I1785" i="37"/>
  <c r="I1782" i="37" s="1"/>
  <c r="I1783" i="37" s="1"/>
  <c r="M1784" i="37"/>
  <c r="L1784" i="37"/>
  <c r="K1784" i="37"/>
  <c r="J1784" i="37"/>
  <c r="I1784" i="37"/>
  <c r="M1773" i="37"/>
  <c r="M1770" i="37" s="1"/>
  <c r="M1771" i="37" s="1"/>
  <c r="L1773" i="37"/>
  <c r="L1770" i="37" s="1"/>
  <c r="L1771" i="37" s="1"/>
  <c r="K1773" i="37"/>
  <c r="K1770" i="37" s="1"/>
  <c r="K1771" i="37" s="1"/>
  <c r="J1773" i="37"/>
  <c r="J1770" i="37" s="1"/>
  <c r="J1771" i="37" s="1"/>
  <c r="I1773" i="37"/>
  <c r="I1770" i="37" s="1"/>
  <c r="I1771" i="37" s="1"/>
  <c r="M1772" i="37"/>
  <c r="L1772" i="37"/>
  <c r="K1772" i="37"/>
  <c r="J1772" i="37"/>
  <c r="I1772" i="37"/>
  <c r="M1741" i="37"/>
  <c r="L1741" i="37"/>
  <c r="K1741" i="37"/>
  <c r="J1741" i="37"/>
  <c r="I1741" i="37"/>
  <c r="D1732" i="37"/>
  <c r="D1733" i="37" s="1"/>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1" i="37" s="1"/>
  <c r="M1666" i="37"/>
  <c r="L1666" i="37"/>
  <c r="K1666" i="37"/>
  <c r="J1666" i="37"/>
  <c r="I1666" i="37"/>
  <c r="M1658" i="37"/>
  <c r="W1658" i="37" s="1"/>
  <c r="L1658" i="37"/>
  <c r="V1658" i="37" s="1"/>
  <c r="K1658" i="37"/>
  <c r="U1658" i="37" s="1"/>
  <c r="J1658" i="37"/>
  <c r="T1658" i="37" s="1"/>
  <c r="I1658" i="37"/>
  <c r="S1658" i="37" s="1"/>
  <c r="M1650" i="37"/>
  <c r="L1650" i="37"/>
  <c r="K1650" i="37"/>
  <c r="J1650" i="37"/>
  <c r="I1650" i="37"/>
  <c r="M1642" i="37"/>
  <c r="L1642" i="37"/>
  <c r="K1642" i="37"/>
  <c r="J1642" i="37"/>
  <c r="I1642" i="37"/>
  <c r="M1634" i="37"/>
  <c r="L1634" i="37"/>
  <c r="K1634" i="37"/>
  <c r="J1634" i="37"/>
  <c r="I1634" i="37"/>
  <c r="M1605" i="37"/>
  <c r="M1602" i="37" s="1"/>
  <c r="M1603" i="37" s="1"/>
  <c r="L1605" i="37"/>
  <c r="L1602" i="37" s="1"/>
  <c r="L1603" i="37" s="1"/>
  <c r="K1605" i="37"/>
  <c r="K1602" i="37" s="1"/>
  <c r="K1603" i="37" s="1"/>
  <c r="J1605" i="37"/>
  <c r="J1602" i="37" s="1"/>
  <c r="J1603" i="37" s="1"/>
  <c r="I1605" i="37"/>
  <c r="I1602" i="37" s="1"/>
  <c r="I1603" i="37" s="1"/>
  <c r="M1604" i="37"/>
  <c r="L1604" i="37"/>
  <c r="K1604" i="37"/>
  <c r="J1604" i="37"/>
  <c r="I1604" i="37"/>
  <c r="M1593" i="37"/>
  <c r="M1590" i="37" s="1"/>
  <c r="M1591" i="37" s="1"/>
  <c r="L1593" i="37"/>
  <c r="L1590" i="37" s="1"/>
  <c r="L1591" i="37" s="1"/>
  <c r="K1593" i="37"/>
  <c r="K1590" i="37" s="1"/>
  <c r="K1591" i="37" s="1"/>
  <c r="J1593" i="37"/>
  <c r="J1590" i="37" s="1"/>
  <c r="J1591" i="37" s="1"/>
  <c r="I1593" i="37"/>
  <c r="I1590" i="37" s="1"/>
  <c r="I1591" i="37" s="1"/>
  <c r="M1592" i="37"/>
  <c r="L1592" i="37"/>
  <c r="K1592" i="37"/>
  <c r="J1592" i="37"/>
  <c r="I1592" i="37"/>
  <c r="M1561" i="37"/>
  <c r="L1561" i="37"/>
  <c r="K1561" i="37"/>
  <c r="J1561" i="37"/>
  <c r="I1561" i="37"/>
  <c r="D1552" i="37"/>
  <c r="D1553" i="37" s="1"/>
  <c r="D1554" i="37" s="1"/>
  <c r="D1555" i="37" s="1"/>
  <c r="D1556" i="37" s="1"/>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AA1508" i="37" s="1"/>
  <c r="M1486" i="37"/>
  <c r="L1486" i="37"/>
  <c r="K1486" i="37"/>
  <c r="J1486" i="37"/>
  <c r="I1486" i="37"/>
  <c r="M1478" i="37"/>
  <c r="W1478" i="37" s="1"/>
  <c r="L1478" i="37"/>
  <c r="V1478" i="37" s="1"/>
  <c r="K1478" i="37"/>
  <c r="U1478" i="37" s="1"/>
  <c r="J1478" i="37"/>
  <c r="T1478" i="37" s="1"/>
  <c r="I1478" i="37"/>
  <c r="S1478" i="37" s="1"/>
  <c r="M1470" i="37"/>
  <c r="L1470" i="37"/>
  <c r="K1470" i="37"/>
  <c r="J1470" i="37"/>
  <c r="I1470" i="37"/>
  <c r="M1462" i="37"/>
  <c r="L1462" i="37"/>
  <c r="K1462" i="37"/>
  <c r="J1462" i="37"/>
  <c r="I1462" i="37"/>
  <c r="M1454" i="37"/>
  <c r="L1454" i="37"/>
  <c r="K1454" i="37"/>
  <c r="J1454" i="37"/>
  <c r="I1454" i="37"/>
  <c r="M1425" i="37"/>
  <c r="M1422" i="37" s="1"/>
  <c r="M1423" i="37" s="1"/>
  <c r="L1425" i="37"/>
  <c r="L1422" i="37" s="1"/>
  <c r="L1423" i="37" s="1"/>
  <c r="K1425" i="37"/>
  <c r="K1422" i="37" s="1"/>
  <c r="K1423" i="37" s="1"/>
  <c r="J1425" i="37"/>
  <c r="J1422" i="37" s="1"/>
  <c r="J1423" i="37" s="1"/>
  <c r="I1425" i="37"/>
  <c r="I1422" i="37" s="1"/>
  <c r="I1423" i="37" s="1"/>
  <c r="M1424" i="37"/>
  <c r="L1424" i="37"/>
  <c r="K1424" i="37"/>
  <c r="J1424" i="37"/>
  <c r="I1424" i="37"/>
  <c r="M1413" i="37"/>
  <c r="M1410" i="37" s="1"/>
  <c r="M1411" i="37" s="1"/>
  <c r="L1413" i="37"/>
  <c r="L1410" i="37" s="1"/>
  <c r="L1411" i="37" s="1"/>
  <c r="K1413" i="37"/>
  <c r="K1410" i="37" s="1"/>
  <c r="K1411" i="37" s="1"/>
  <c r="J1413" i="37"/>
  <c r="J1410" i="37" s="1"/>
  <c r="J1411" i="37" s="1"/>
  <c r="I1413" i="37"/>
  <c r="I1410" i="37" s="1"/>
  <c r="I1411" i="37" s="1"/>
  <c r="M1412" i="37"/>
  <c r="L1412" i="37"/>
  <c r="K1412" i="37"/>
  <c r="J1412" i="37"/>
  <c r="I1412" i="37"/>
  <c r="M1381" i="37"/>
  <c r="L1381" i="37"/>
  <c r="K1381" i="37"/>
  <c r="J1381" i="37"/>
  <c r="I1381" i="37"/>
  <c r="D1372" i="37"/>
  <c r="D1373" i="37" s="1"/>
  <c r="D1374" i="37" s="1"/>
  <c r="D1375" i="37" s="1"/>
  <c r="D1376" i="37" s="1"/>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AA1321" i="37" s="1"/>
  <c r="M1306" i="37"/>
  <c r="L1306" i="37"/>
  <c r="K1306" i="37"/>
  <c r="J1306" i="37"/>
  <c r="I1306" i="37"/>
  <c r="M1298" i="37"/>
  <c r="W1298" i="37" s="1"/>
  <c r="L1298" i="37"/>
  <c r="V1298" i="37" s="1"/>
  <c r="K1298" i="37"/>
  <c r="U1298" i="37" s="1"/>
  <c r="J1298" i="37"/>
  <c r="T1298" i="37" s="1"/>
  <c r="I1298" i="37"/>
  <c r="S1298" i="37" s="1"/>
  <c r="M1290" i="37"/>
  <c r="L1290" i="37"/>
  <c r="K1290" i="37"/>
  <c r="J1290" i="37"/>
  <c r="I1290" i="37"/>
  <c r="M1282" i="37"/>
  <c r="L1282" i="37"/>
  <c r="K1282" i="37"/>
  <c r="J1282" i="37"/>
  <c r="I1282" i="37"/>
  <c r="M1274" i="37"/>
  <c r="L1274" i="37"/>
  <c r="K1274" i="37"/>
  <c r="J1274" i="37"/>
  <c r="I1274" i="37"/>
  <c r="M1245" i="37"/>
  <c r="M1242" i="37" s="1"/>
  <c r="M1243" i="37" s="1"/>
  <c r="L1245" i="37"/>
  <c r="L1242" i="37" s="1"/>
  <c r="L1243" i="37" s="1"/>
  <c r="K1245" i="37"/>
  <c r="K1242" i="37" s="1"/>
  <c r="K1243" i="37" s="1"/>
  <c r="J1245" i="37"/>
  <c r="J1242" i="37" s="1"/>
  <c r="J1243" i="37" s="1"/>
  <c r="I1245" i="37"/>
  <c r="I1242" i="37" s="1"/>
  <c r="I1243" i="37" s="1"/>
  <c r="M1244" i="37"/>
  <c r="L1244" i="37"/>
  <c r="K1244" i="37"/>
  <c r="J1244" i="37"/>
  <c r="I1244" i="37"/>
  <c r="M1233" i="37"/>
  <c r="M1230" i="37" s="1"/>
  <c r="M1231" i="37" s="1"/>
  <c r="L1233" i="37"/>
  <c r="L1230" i="37" s="1"/>
  <c r="L1231" i="37" s="1"/>
  <c r="K1233" i="37"/>
  <c r="K1230" i="37" s="1"/>
  <c r="K1231" i="37" s="1"/>
  <c r="J1233" i="37"/>
  <c r="J1230" i="37" s="1"/>
  <c r="J1231" i="37" s="1"/>
  <c r="I1233" i="37"/>
  <c r="I1230" i="37" s="1"/>
  <c r="I1231" i="37" s="1"/>
  <c r="M1232" i="37"/>
  <c r="L1232" i="37"/>
  <c r="K1232" i="37"/>
  <c r="J1232" i="37"/>
  <c r="I1232" i="37"/>
  <c r="M1201" i="37"/>
  <c r="L1201" i="37"/>
  <c r="K1201" i="37"/>
  <c r="J1201" i="37"/>
  <c r="I1201" i="37"/>
  <c r="D1192" i="37"/>
  <c r="D1193" i="37" s="1"/>
  <c r="D1194" i="37" s="1"/>
  <c r="D1195" i="37" s="1"/>
  <c r="D1196" i="37" s="1"/>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AA1144" i="37" s="1"/>
  <c r="M1126" i="37"/>
  <c r="L1126" i="37"/>
  <c r="K1126" i="37"/>
  <c r="J1126" i="37"/>
  <c r="I1126" i="37"/>
  <c r="M1118" i="37"/>
  <c r="W1118" i="37" s="1"/>
  <c r="L1118" i="37"/>
  <c r="V1118" i="37" s="1"/>
  <c r="K1118" i="37"/>
  <c r="U1118" i="37" s="1"/>
  <c r="J1118" i="37"/>
  <c r="T1118" i="37" s="1"/>
  <c r="I1118" i="37"/>
  <c r="S1118" i="37" s="1"/>
  <c r="M1110" i="37"/>
  <c r="L1110" i="37"/>
  <c r="K1110" i="37"/>
  <c r="J1110" i="37"/>
  <c r="I1110" i="37"/>
  <c r="M1102" i="37"/>
  <c r="L1102" i="37"/>
  <c r="K1102" i="37"/>
  <c r="J1102" i="37"/>
  <c r="I1102" i="37"/>
  <c r="M1094" i="37"/>
  <c r="L1094" i="37"/>
  <c r="K1094" i="37"/>
  <c r="J1094" i="37"/>
  <c r="I1094" i="37"/>
  <c r="M1065" i="37"/>
  <c r="M1062" i="37" s="1"/>
  <c r="M1063" i="37" s="1"/>
  <c r="L1065" i="37"/>
  <c r="L1062" i="37" s="1"/>
  <c r="L1063" i="37" s="1"/>
  <c r="K1065" i="37"/>
  <c r="K1062" i="37" s="1"/>
  <c r="K1063" i="37" s="1"/>
  <c r="J1065" i="37"/>
  <c r="J1062" i="37" s="1"/>
  <c r="J1063" i="37" s="1"/>
  <c r="I1065" i="37"/>
  <c r="I1062" i="37" s="1"/>
  <c r="I1063" i="37" s="1"/>
  <c r="M1064" i="37"/>
  <c r="L1064" i="37"/>
  <c r="K1064" i="37"/>
  <c r="J1064" i="37"/>
  <c r="I1064" i="37"/>
  <c r="M1053" i="37"/>
  <c r="M1050" i="37" s="1"/>
  <c r="M1051" i="37" s="1"/>
  <c r="L1053" i="37"/>
  <c r="L1050" i="37" s="1"/>
  <c r="L1051" i="37" s="1"/>
  <c r="K1053" i="37"/>
  <c r="K1050" i="37" s="1"/>
  <c r="K1051" i="37" s="1"/>
  <c r="J1053" i="37"/>
  <c r="J1050" i="37" s="1"/>
  <c r="J1051" i="37" s="1"/>
  <c r="I1053" i="37"/>
  <c r="I1050" i="37" s="1"/>
  <c r="I1051" i="37" s="1"/>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AA961" i="37" s="1"/>
  <c r="M946" i="37"/>
  <c r="L946" i="37"/>
  <c r="K946" i="37"/>
  <c r="J946" i="37"/>
  <c r="I946" i="37"/>
  <c r="M938" i="37"/>
  <c r="W938" i="37" s="1"/>
  <c r="L938" i="37"/>
  <c r="V938" i="37" s="1"/>
  <c r="K938" i="37"/>
  <c r="U938" i="37" s="1"/>
  <c r="J938" i="37"/>
  <c r="T938" i="37" s="1"/>
  <c r="I938" i="37"/>
  <c r="S938" i="37" s="1"/>
  <c r="M930" i="37"/>
  <c r="L930" i="37"/>
  <c r="K930" i="37"/>
  <c r="J930" i="37"/>
  <c r="I930" i="37"/>
  <c r="M922" i="37"/>
  <c r="L922" i="37"/>
  <c r="K922" i="37"/>
  <c r="J922" i="37"/>
  <c r="I922" i="37"/>
  <c r="M914" i="37"/>
  <c r="L914" i="37"/>
  <c r="K914" i="37"/>
  <c r="J914" i="37"/>
  <c r="I914" i="37"/>
  <c r="M885" i="37"/>
  <c r="M882" i="37" s="1"/>
  <c r="M883" i="37" s="1"/>
  <c r="L885" i="37"/>
  <c r="L882" i="37" s="1"/>
  <c r="L883" i="37" s="1"/>
  <c r="K885" i="37"/>
  <c r="K882" i="37" s="1"/>
  <c r="K883" i="37" s="1"/>
  <c r="J885" i="37"/>
  <c r="J882" i="37" s="1"/>
  <c r="J883" i="37" s="1"/>
  <c r="I885" i="37"/>
  <c r="I882" i="37" s="1"/>
  <c r="I883" i="37" s="1"/>
  <c r="M884" i="37"/>
  <c r="L884" i="37"/>
  <c r="K884" i="37"/>
  <c r="J884" i="37"/>
  <c r="I884" i="37"/>
  <c r="M873" i="37"/>
  <c r="M870" i="37" s="1"/>
  <c r="M871" i="37" s="1"/>
  <c r="L873" i="37"/>
  <c r="L870" i="37" s="1"/>
  <c r="L871" i="37" s="1"/>
  <c r="K873" i="37"/>
  <c r="K870" i="37" s="1"/>
  <c r="K871" i="37" s="1"/>
  <c r="J873" i="37"/>
  <c r="J870" i="37" s="1"/>
  <c r="J871" i="37" s="1"/>
  <c r="I873" i="37"/>
  <c r="I870" i="37" s="1"/>
  <c r="I871" i="37" s="1"/>
  <c r="M872" i="37"/>
  <c r="L872" i="37"/>
  <c r="K872" i="37"/>
  <c r="J872" i="37"/>
  <c r="I872" i="37"/>
  <c r="M841" i="37"/>
  <c r="L841" i="37"/>
  <c r="K841" i="37"/>
  <c r="J841" i="37"/>
  <c r="I841" i="37"/>
  <c r="D832" i="37"/>
  <c r="D833" i="37" s="1"/>
  <c r="D834" i="37" s="1"/>
  <c r="D835" i="37" s="1"/>
  <c r="D836" i="37" s="1"/>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AA788" i="37" s="1"/>
  <c r="M766" i="37"/>
  <c r="L766" i="37"/>
  <c r="K766" i="37"/>
  <c r="J766" i="37"/>
  <c r="I766" i="37"/>
  <c r="M758" i="37"/>
  <c r="W758" i="37" s="1"/>
  <c r="L758" i="37"/>
  <c r="V758" i="37" s="1"/>
  <c r="K758" i="37"/>
  <c r="U758" i="37" s="1"/>
  <c r="J758" i="37"/>
  <c r="T758" i="37" s="1"/>
  <c r="I758" i="37"/>
  <c r="S758" i="37" s="1"/>
  <c r="M750" i="37"/>
  <c r="L750" i="37"/>
  <c r="K750" i="37"/>
  <c r="J750" i="37"/>
  <c r="I750" i="37"/>
  <c r="M742" i="37"/>
  <c r="L742" i="37"/>
  <c r="K742" i="37"/>
  <c r="J742" i="37"/>
  <c r="I742" i="37"/>
  <c r="M734" i="37"/>
  <c r="L734" i="37"/>
  <c r="K734" i="37"/>
  <c r="J734" i="37"/>
  <c r="I734" i="37"/>
  <c r="M705" i="37"/>
  <c r="M702" i="37" s="1"/>
  <c r="M703" i="37" s="1"/>
  <c r="L705" i="37"/>
  <c r="L702" i="37" s="1"/>
  <c r="L703" i="37" s="1"/>
  <c r="K705" i="37"/>
  <c r="K702" i="37" s="1"/>
  <c r="K703" i="37" s="1"/>
  <c r="J705" i="37"/>
  <c r="J702" i="37" s="1"/>
  <c r="J703" i="37" s="1"/>
  <c r="I705" i="37"/>
  <c r="I702" i="37" s="1"/>
  <c r="I703" i="37" s="1"/>
  <c r="M704" i="37"/>
  <c r="L704" i="37"/>
  <c r="K704" i="37"/>
  <c r="J704" i="37"/>
  <c r="I704" i="37"/>
  <c r="M693" i="37"/>
  <c r="M690" i="37" s="1"/>
  <c r="M691" i="37" s="1"/>
  <c r="L693" i="37"/>
  <c r="L690" i="37" s="1"/>
  <c r="L691" i="37" s="1"/>
  <c r="K693" i="37"/>
  <c r="K690" i="37" s="1"/>
  <c r="K691" i="37" s="1"/>
  <c r="J693" i="37"/>
  <c r="J690" i="37" s="1"/>
  <c r="J691" i="37" s="1"/>
  <c r="I693" i="37"/>
  <c r="I690" i="37" s="1"/>
  <c r="I691" i="37" s="1"/>
  <c r="M692" i="37"/>
  <c r="L692" i="37"/>
  <c r="K692" i="37"/>
  <c r="J692" i="37"/>
  <c r="I692" i="37"/>
  <c r="M661" i="37"/>
  <c r="L661" i="37"/>
  <c r="K661" i="37"/>
  <c r="J661" i="37"/>
  <c r="I661" i="37"/>
  <c r="D652" i="37"/>
  <c r="D653" i="37" s="1"/>
  <c r="D654" i="37" s="1"/>
  <c r="D655" i="37" s="1"/>
  <c r="D656" i="37" s="1"/>
  <c r="D657" i="37" s="1"/>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s="1"/>
  <c r="P613" i="37" s="1"/>
  <c r="AA600" i="37"/>
  <c r="AA604" i="37" s="1"/>
  <c r="M586" i="37"/>
  <c r="L586" i="37"/>
  <c r="K586" i="37"/>
  <c r="J586" i="37"/>
  <c r="I586" i="37"/>
  <c r="M578" i="37"/>
  <c r="W578" i="37" s="1"/>
  <c r="L578" i="37"/>
  <c r="V578" i="37" s="1"/>
  <c r="K578" i="37"/>
  <c r="U578" i="37" s="1"/>
  <c r="J578" i="37"/>
  <c r="T578" i="37" s="1"/>
  <c r="I578" i="37"/>
  <c r="S578" i="37" s="1"/>
  <c r="M570" i="37"/>
  <c r="L570" i="37"/>
  <c r="K570" i="37"/>
  <c r="J570" i="37"/>
  <c r="I570" i="37"/>
  <c r="M562" i="37"/>
  <c r="L562" i="37"/>
  <c r="K562" i="37"/>
  <c r="J562" i="37"/>
  <c r="I562" i="37"/>
  <c r="M554" i="37"/>
  <c r="L554" i="37"/>
  <c r="K554" i="37"/>
  <c r="J554" i="37"/>
  <c r="I554" i="37"/>
  <c r="M525" i="37"/>
  <c r="M522" i="37" s="1"/>
  <c r="M523" i="37" s="1"/>
  <c r="L525" i="37"/>
  <c r="L522" i="37" s="1"/>
  <c r="L523" i="37" s="1"/>
  <c r="K525" i="37"/>
  <c r="K522" i="37" s="1"/>
  <c r="K523" i="37" s="1"/>
  <c r="J525" i="37"/>
  <c r="J522" i="37" s="1"/>
  <c r="J523" i="37" s="1"/>
  <c r="I525" i="37"/>
  <c r="I522" i="37" s="1"/>
  <c r="I523" i="37" s="1"/>
  <c r="M524" i="37"/>
  <c r="L524" i="37"/>
  <c r="K524" i="37"/>
  <c r="J524" i="37"/>
  <c r="I524" i="37"/>
  <c r="M513" i="37"/>
  <c r="M510" i="37" s="1"/>
  <c r="M511" i="37" s="1"/>
  <c r="L513" i="37"/>
  <c r="L510" i="37" s="1"/>
  <c r="L511" i="37" s="1"/>
  <c r="K513" i="37"/>
  <c r="K510" i="37" s="1"/>
  <c r="K511" i="37" s="1"/>
  <c r="J513" i="37"/>
  <c r="J510" i="37" s="1"/>
  <c r="J511" i="37" s="1"/>
  <c r="I513" i="37"/>
  <c r="I510" i="37" s="1"/>
  <c r="I511" i="37" s="1"/>
  <c r="M512" i="37"/>
  <c r="L512" i="37"/>
  <c r="K512" i="37"/>
  <c r="J512" i="37"/>
  <c r="I512" i="37"/>
  <c r="M481" i="37"/>
  <c r="L481" i="37"/>
  <c r="K481" i="37"/>
  <c r="J481" i="37"/>
  <c r="I481" i="37"/>
  <c r="D472" i="37"/>
  <c r="D473" i="37" s="1"/>
  <c r="D474" i="37" s="1"/>
  <c r="D475" i="37" s="1"/>
  <c r="D476" i="37" s="1"/>
  <c r="D477" i="37" s="1"/>
  <c r="D478" i="37" s="1"/>
  <c r="D479" i="37" s="1"/>
  <c r="D480" i="37" s="1"/>
  <c r="M460" i="37"/>
  <c r="L460" i="37"/>
  <c r="K460" i="37"/>
  <c r="J460" i="37"/>
  <c r="I460" i="37"/>
  <c r="Q455" i="37"/>
  <c r="N453" i="37"/>
  <c r="M453" i="37"/>
  <c r="L453" i="37"/>
  <c r="K453" i="37"/>
  <c r="J453" i="37"/>
  <c r="I453" i="37"/>
  <c r="M452" i="37"/>
  <c r="L452" i="37"/>
  <c r="K452" i="37"/>
  <c r="J452" i="37"/>
  <c r="I452" i="37"/>
  <c r="P451" i="37"/>
  <c r="Q447" i="37"/>
  <c r="C529" i="50"/>
  <c r="C589" i="50" s="1"/>
  <c r="C649" i="50" s="1"/>
  <c r="AA420" i="37"/>
  <c r="AA429" i="37" s="1"/>
  <c r="M406" i="37"/>
  <c r="L406" i="37"/>
  <c r="K406" i="37"/>
  <c r="J406" i="37"/>
  <c r="I406" i="37"/>
  <c r="M398" i="37"/>
  <c r="W398" i="37" s="1"/>
  <c r="L398" i="37"/>
  <c r="V398" i="37" s="1"/>
  <c r="K398" i="37"/>
  <c r="U398" i="37" s="1"/>
  <c r="J398" i="37"/>
  <c r="T398" i="37" s="1"/>
  <c r="I398" i="37"/>
  <c r="S398" i="37" s="1"/>
  <c r="M390" i="37"/>
  <c r="L390" i="37"/>
  <c r="K390" i="37"/>
  <c r="J390" i="37"/>
  <c r="I390" i="37"/>
  <c r="M382" i="37"/>
  <c r="L382" i="37"/>
  <c r="K382" i="37"/>
  <c r="J382" i="37"/>
  <c r="I382" i="37"/>
  <c r="M374" i="37"/>
  <c r="L374" i="37"/>
  <c r="K374" i="37"/>
  <c r="J374" i="37"/>
  <c r="I374" i="37"/>
  <c r="M345" i="37"/>
  <c r="M342" i="37" s="1"/>
  <c r="M343" i="37" s="1"/>
  <c r="L345" i="37"/>
  <c r="L342" i="37" s="1"/>
  <c r="L343" i="37" s="1"/>
  <c r="K345" i="37"/>
  <c r="K342" i="37" s="1"/>
  <c r="K343" i="37" s="1"/>
  <c r="J345" i="37"/>
  <c r="J342" i="37" s="1"/>
  <c r="J343" i="37" s="1"/>
  <c r="I345" i="37"/>
  <c r="I342" i="37" s="1"/>
  <c r="I343" i="37" s="1"/>
  <c r="M344" i="37"/>
  <c r="L344" i="37"/>
  <c r="K344" i="37"/>
  <c r="J344" i="37"/>
  <c r="I344" i="37"/>
  <c r="M333" i="37"/>
  <c r="M330" i="37" s="1"/>
  <c r="M331" i="37" s="1"/>
  <c r="L333" i="37"/>
  <c r="L330" i="37" s="1"/>
  <c r="L331" i="37" s="1"/>
  <c r="K333" i="37"/>
  <c r="K330" i="37" s="1"/>
  <c r="K331" i="37" s="1"/>
  <c r="J333" i="37"/>
  <c r="J330" i="37" s="1"/>
  <c r="J331" i="37" s="1"/>
  <c r="I333" i="37"/>
  <c r="I330" i="37" s="1"/>
  <c r="I331" i="37" s="1"/>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s="1"/>
  <c r="C1328" i="50" s="1"/>
  <c r="C1329" i="50" s="1"/>
  <c r="C1330" i="50" s="1"/>
  <c r="C1331" i="50" s="1"/>
  <c r="C1332" i="50" s="1"/>
  <c r="C1333" i="50" s="1"/>
  <c r="C1334" i="50" s="1"/>
  <c r="C1335" i="50" s="1"/>
  <c r="C1336" i="50" s="1"/>
  <c r="C1337" i="50" s="1"/>
  <c r="C1338" i="50" s="1"/>
  <c r="C1339" i="50" s="1"/>
  <c r="C1340" i="50" s="1"/>
  <c r="C1111" i="50"/>
  <c r="C1151" i="50" s="1"/>
  <c r="Q1151" i="50" s="1"/>
  <c r="L1074" i="50"/>
  <c r="Q1071" i="50"/>
  <c r="Q510" i="42"/>
  <c r="S84" i="41"/>
  <c r="S90" i="41" s="1"/>
  <c r="S91" i="41" s="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s="1"/>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61" i="34"/>
  <c r="N262" i="34"/>
  <c r="N263" i="34"/>
  <c r="N260" i="34"/>
  <c r="N259"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53" i="34"/>
  <c r="N254" i="34"/>
  <c r="N255" i="34"/>
  <c r="N204"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548" i="42"/>
  <c r="L548" i="42"/>
  <c r="K548" i="42"/>
  <c r="J548" i="42"/>
  <c r="I548" i="42"/>
  <c r="E547" i="42"/>
  <c r="E546" i="42"/>
  <c r="E545" i="42"/>
  <c r="E544" i="42"/>
  <c r="E543" i="42"/>
  <c r="E542" i="42"/>
  <c r="E541" i="42"/>
  <c r="E540" i="42"/>
  <c r="E539" i="42"/>
  <c r="D539" i="42"/>
  <c r="D540" i="42" s="1"/>
  <c r="D541" i="42" s="1"/>
  <c r="D542" i="42" s="1"/>
  <c r="D543" i="42" s="1"/>
  <c r="D544" i="42" s="1"/>
  <c r="D545" i="42" s="1"/>
  <c r="D546" i="42" s="1"/>
  <c r="D547" i="42" s="1"/>
  <c r="E538" i="42"/>
  <c r="D525" i="42"/>
  <c r="D526" i="42" s="1"/>
  <c r="D527" i="42" s="1"/>
  <c r="D528" i="42" s="1"/>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s="1"/>
  <c r="D433" i="42" s="1"/>
  <c r="D434" i="42" s="1"/>
  <c r="D435" i="42" s="1"/>
  <c r="D436" i="42" s="1"/>
  <c r="D437" i="42" s="1"/>
  <c r="D438" i="42" s="1"/>
  <c r="D439" i="42" s="1"/>
  <c r="E430" i="42"/>
  <c r="D417" i="42"/>
  <c r="D418" i="42" s="1"/>
  <c r="D419" i="42" s="1"/>
  <c r="D420" i="42" s="1"/>
  <c r="D421" i="42" s="1"/>
  <c r="D422" i="42" s="1"/>
  <c r="D423" i="42" s="1"/>
  <c r="D424" i="42" s="1"/>
  <c r="D425" i="42" s="1"/>
  <c r="P398" i="42"/>
  <c r="Q399" i="42" s="1"/>
  <c r="M230" i="42"/>
  <c r="L230" i="42"/>
  <c r="K230" i="42"/>
  <c r="J230" i="42"/>
  <c r="I230" i="42"/>
  <c r="M182" i="42"/>
  <c r="L182" i="42"/>
  <c r="K182" i="42"/>
  <c r="J182" i="42"/>
  <c r="I182" i="42"/>
  <c r="E181" i="42"/>
  <c r="E180" i="42"/>
  <c r="E179" i="42"/>
  <c r="E178" i="42"/>
  <c r="E177" i="42"/>
  <c r="E176" i="42"/>
  <c r="E175" i="42"/>
  <c r="E174" i="42"/>
  <c r="E173" i="42"/>
  <c r="D173" i="42"/>
  <c r="D174" i="42" s="1"/>
  <c r="D175" i="42" s="1"/>
  <c r="D176" i="42" s="1"/>
  <c r="D177" i="42" s="1"/>
  <c r="D178" i="42" s="1"/>
  <c r="D179" i="42" s="1"/>
  <c r="D180" i="42" s="1"/>
  <c r="D181" i="42" s="1"/>
  <c r="E172" i="42"/>
  <c r="D159" i="42"/>
  <c r="D160" i="42" s="1"/>
  <c r="D161" i="42" s="1"/>
  <c r="D162" i="42" s="1"/>
  <c r="D163" i="42" s="1"/>
  <c r="D164" i="42" s="1"/>
  <c r="D165" i="42" s="1"/>
  <c r="D166" i="42" s="1"/>
  <c r="D167" i="42" s="1"/>
  <c r="P143" i="42"/>
  <c r="Q144" i="42" s="1"/>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s="1"/>
  <c r="D360" i="42" s="1"/>
  <c r="D361" i="42" s="1"/>
  <c r="D362" i="42" s="1"/>
  <c r="D363" i="42" s="1"/>
  <c r="D364" i="42" s="1"/>
  <c r="D365" i="42" s="1"/>
  <c r="D366" i="42" s="1"/>
  <c r="M506" i="42"/>
  <c r="L506" i="42"/>
  <c r="K506" i="42"/>
  <c r="J506" i="42"/>
  <c r="I506" i="42"/>
  <c r="D497" i="42"/>
  <c r="D498" i="42" s="1"/>
  <c r="D499" i="42" s="1"/>
  <c r="D500" i="42" s="1"/>
  <c r="D501" i="42" s="1"/>
  <c r="D502" i="42" s="1"/>
  <c r="D503" i="42" s="1"/>
  <c r="D504" i="42" s="1"/>
  <c r="D505" i="42" s="1"/>
  <c r="P466" i="42"/>
  <c r="Q467" i="42" s="1"/>
  <c r="D483" i="42"/>
  <c r="D484" i="42" s="1"/>
  <c r="D485" i="42" s="1"/>
  <c r="D486" i="42" s="1"/>
  <c r="D487" i="42" s="1"/>
  <c r="D488" i="42" s="1"/>
  <c r="D489" i="42" s="1"/>
  <c r="D490" i="42" s="1"/>
  <c r="D491" i="42" s="1"/>
  <c r="M321" i="42"/>
  <c r="L321" i="42"/>
  <c r="K321" i="42"/>
  <c r="J321" i="42"/>
  <c r="I321" i="42"/>
  <c r="M273" i="42"/>
  <c r="L273" i="42"/>
  <c r="K273" i="42"/>
  <c r="J273" i="42"/>
  <c r="I273" i="42"/>
  <c r="D264" i="42"/>
  <c r="D265" i="42" s="1"/>
  <c r="D266" i="42" s="1"/>
  <c r="D267" i="42" s="1"/>
  <c r="D268" i="42" s="1"/>
  <c r="D269" i="42" s="1"/>
  <c r="D270" i="42" s="1"/>
  <c r="D271" i="42" s="1"/>
  <c r="D272" i="42" s="1"/>
  <c r="D250" i="42"/>
  <c r="D251" i="42" s="1"/>
  <c r="D252" i="42" s="1"/>
  <c r="D253" i="42" s="1"/>
  <c r="D254" i="42" s="1"/>
  <c r="D255" i="42" s="1"/>
  <c r="D256" i="42" s="1"/>
  <c r="D257" i="42" s="1"/>
  <c r="D258" i="42" s="1"/>
  <c r="P234" i="42"/>
  <c r="Q235" i="42" s="1"/>
  <c r="D344" i="42"/>
  <c r="D345" i="42" s="1"/>
  <c r="D346" i="42" s="1"/>
  <c r="D347" i="42" s="1"/>
  <c r="D348" i="42" s="1"/>
  <c r="D349" i="42" s="1"/>
  <c r="D350" i="42" s="1"/>
  <c r="D351" i="42" s="1"/>
  <c r="D352" i="42" s="1"/>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s="1"/>
  <c r="M139" i="42"/>
  <c r="L139" i="42"/>
  <c r="K139" i="42"/>
  <c r="J139" i="42"/>
  <c r="I139" i="42"/>
  <c r="P265" i="41"/>
  <c r="P264" i="41"/>
  <c r="W283" i="49"/>
  <c r="V283" i="49"/>
  <c r="U283" i="49"/>
  <c r="T283" i="49"/>
  <c r="S283" i="49"/>
  <c r="W234" i="49"/>
  <c r="V234" i="49"/>
  <c r="U234" i="49"/>
  <c r="T234" i="49"/>
  <c r="S234" i="49"/>
  <c r="P283" i="49"/>
  <c r="P234" i="49"/>
  <c r="M190" i="37"/>
  <c r="L190" i="37"/>
  <c r="K190" i="37"/>
  <c r="J190" i="37"/>
  <c r="I190" i="37"/>
  <c r="P13" i="37"/>
  <c r="Q142" i="49"/>
  <c r="Q255" i="49"/>
  <c r="M161" i="49"/>
  <c r="M169" i="50" s="1"/>
  <c r="L161" i="49"/>
  <c r="L167" i="49" s="1"/>
  <c r="L172" i="50" s="1"/>
  <c r="K161" i="49"/>
  <c r="K169" i="50" s="1"/>
  <c r="J161" i="49"/>
  <c r="J167" i="49" s="1"/>
  <c r="I161" i="49"/>
  <c r="I169" i="50" s="1"/>
  <c r="K200" i="37"/>
  <c r="M200" i="37"/>
  <c r="L200" i="37"/>
  <c r="J200" i="37"/>
  <c r="I200" i="37"/>
  <c r="X88" i="49"/>
  <c r="X93" i="49" s="1"/>
  <c r="X99" i="49" s="1"/>
  <c r="X104" i="49" s="1"/>
  <c r="X105" i="49" s="1"/>
  <c r="X123" i="49" s="1"/>
  <c r="X124" i="49" s="1"/>
  <c r="X146" i="49" s="1"/>
  <c r="X150"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s="1"/>
  <c r="L41" i="49"/>
  <c r="L43" i="49" s="1"/>
  <c r="K41" i="49"/>
  <c r="K43" i="49" s="1"/>
  <c r="J41" i="49"/>
  <c r="J43" i="49" s="1"/>
  <c r="I41" i="49"/>
  <c r="I43" i="49" s="1"/>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M54" i="37"/>
  <c r="L54" i="37"/>
  <c r="K54" i="37"/>
  <c r="J54" i="37"/>
  <c r="I54" i="37"/>
  <c r="Q469" i="50"/>
  <c r="G62" i="9"/>
  <c r="G571" i="42"/>
  <c r="I162" i="34"/>
  <c r="J162" i="34" s="1"/>
  <c r="K162" i="34" s="1"/>
  <c r="M49" i="50"/>
  <c r="M48" i="50"/>
  <c r="I48" i="50"/>
  <c r="AA239" i="37"/>
  <c r="AA240" i="37" s="1"/>
  <c r="P12" i="42"/>
  <c r="Q13" i="42" s="1"/>
  <c r="M286" i="41"/>
  <c r="M382" i="50" s="1"/>
  <c r="L286" i="41"/>
  <c r="L382" i="50" s="1"/>
  <c r="K286" i="41"/>
  <c r="K382" i="50" s="1"/>
  <c r="J286" i="41"/>
  <c r="J382" i="50" s="1"/>
  <c r="I286" i="41"/>
  <c r="I382" i="50" s="1"/>
  <c r="M278" i="41"/>
  <c r="M375" i="50" s="1"/>
  <c r="L278" i="41"/>
  <c r="L375" i="50" s="1"/>
  <c r="K278" i="41"/>
  <c r="K375" i="50" s="1"/>
  <c r="J278" i="41"/>
  <c r="J375" i="50" s="1"/>
  <c r="I278" i="41"/>
  <c r="I375" i="50" s="1"/>
  <c r="M106" i="49"/>
  <c r="L106" i="49"/>
  <c r="K106" i="49"/>
  <c r="K114" i="49" s="1"/>
  <c r="K147" i="50" s="1"/>
  <c r="S351" i="41"/>
  <c r="S358" i="41" s="1"/>
  <c r="M144" i="37"/>
  <c r="M141" i="37" s="1"/>
  <c r="M142" i="37" s="1"/>
  <c r="L144" i="37"/>
  <c r="L141" i="37" s="1"/>
  <c r="L142" i="37" s="1"/>
  <c r="K144" i="37"/>
  <c r="K141" i="37" s="1"/>
  <c r="K142" i="37" s="1"/>
  <c r="J144" i="37"/>
  <c r="J141" i="37" s="1"/>
  <c r="J142" i="37" s="1"/>
  <c r="I144" i="37"/>
  <c r="I141" i="37" s="1"/>
  <c r="I142" i="37" s="1"/>
  <c r="M143" i="37"/>
  <c r="L143" i="37"/>
  <c r="K143" i="37"/>
  <c r="J143" i="37"/>
  <c r="I143" i="37"/>
  <c r="J131" i="37"/>
  <c r="K131" i="37"/>
  <c r="L131" i="37"/>
  <c r="M131" i="37"/>
  <c r="J132" i="37"/>
  <c r="J129" i="37" s="1"/>
  <c r="J130" i="37" s="1"/>
  <c r="K132" i="37"/>
  <c r="K129" i="37" s="1"/>
  <c r="K130" i="37" s="1"/>
  <c r="L132" i="37"/>
  <c r="L129" i="37" s="1"/>
  <c r="L130" i="37" s="1"/>
  <c r="M132" i="37"/>
  <c r="M129" i="37" s="1"/>
  <c r="M130" i="37" s="1"/>
  <c r="I132" i="37"/>
  <c r="I129" i="37" s="1"/>
  <c r="I130" i="37" s="1"/>
  <c r="I181" i="37"/>
  <c r="I131" i="37"/>
  <c r="F261" i="34"/>
  <c r="D261" i="34"/>
  <c r="M218" i="37"/>
  <c r="L218" i="37"/>
  <c r="K218" i="37"/>
  <c r="J218" i="37"/>
  <c r="I218" i="37"/>
  <c r="M209" i="37"/>
  <c r="W209" i="37" s="1"/>
  <c r="L209" i="37"/>
  <c r="V209" i="37" s="1"/>
  <c r="K209" i="37"/>
  <c r="U209" i="37" s="1"/>
  <c r="J209" i="37"/>
  <c r="T209" i="37" s="1"/>
  <c r="I209" i="37"/>
  <c r="S209" i="37" s="1"/>
  <c r="G57" i="9"/>
  <c r="T101" i="9" s="1"/>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I106" i="49"/>
  <c r="M156" i="43"/>
  <c r="M144" i="43"/>
  <c r="H288" i="49"/>
  <c r="H238" i="49"/>
  <c r="I243" i="49"/>
  <c r="I250" i="49" s="1"/>
  <c r="I194" i="50" s="1"/>
  <c r="B159" i="34"/>
  <c r="M145" i="41"/>
  <c r="M410" i="41" s="1"/>
  <c r="L145" i="41"/>
  <c r="L284" i="50" s="1"/>
  <c r="K145" i="41"/>
  <c r="K410" i="41" s="1"/>
  <c r="J145" i="41"/>
  <c r="J410" i="41" s="1"/>
  <c r="I145" i="41"/>
  <c r="I410" i="41" s="1"/>
  <c r="J1885" i="37"/>
  <c r="I562" i="42"/>
  <c r="I383" i="41"/>
  <c r="D260" i="43"/>
  <c r="D261" i="43" s="1"/>
  <c r="E340" i="43"/>
  <c r="E341" i="43" s="1"/>
  <c r="E342" i="43" s="1"/>
  <c r="E343" i="43" s="1"/>
  <c r="E344" i="43" s="1"/>
  <c r="E345" i="43" s="1"/>
  <c r="E346" i="43" s="1"/>
  <c r="E347" i="43" s="1"/>
  <c r="E348" i="43" s="1"/>
  <c r="E349" i="43" s="1"/>
  <c r="E350" i="43" s="1"/>
  <c r="E351" i="43" s="1"/>
  <c r="E352" i="43" s="1"/>
  <c r="E353" i="43" s="1"/>
  <c r="E354" i="43" s="1"/>
  <c r="J206" i="34"/>
  <c r="J210" i="34"/>
  <c r="F265" i="34"/>
  <c r="F264" i="34"/>
  <c r="F263" i="34"/>
  <c r="F262" i="34"/>
  <c r="F260" i="34"/>
  <c r="L102" i="41"/>
  <c r="L279" i="37" s="1"/>
  <c r="L93" i="41"/>
  <c r="L248" i="50" s="1"/>
  <c r="L169" i="41"/>
  <c r="K102" i="41"/>
  <c r="K1359" i="37" s="1"/>
  <c r="K93" i="41"/>
  <c r="K169" i="41"/>
  <c r="K302" i="50" s="1"/>
  <c r="I102" i="41"/>
  <c r="I53" i="37" s="1"/>
  <c r="I93" i="41"/>
  <c r="I169" i="41"/>
  <c r="I417" i="41" s="1"/>
  <c r="F259" i="34"/>
  <c r="A12" i="10"/>
  <c r="A19" i="10" s="1"/>
  <c r="R305" i="43"/>
  <c r="I77" i="37"/>
  <c r="Q35" i="37"/>
  <c r="J102" i="41"/>
  <c r="J819" i="37" s="1"/>
  <c r="J77" i="37"/>
  <c r="J93" i="41"/>
  <c r="J248" i="50" s="1"/>
  <c r="J169" i="41"/>
  <c r="J417" i="41" s="1"/>
  <c r="K77" i="37"/>
  <c r="L77" i="37"/>
  <c r="M102" i="41"/>
  <c r="M255" i="50" s="1"/>
  <c r="M93" i="41"/>
  <c r="M248" i="50" s="1"/>
  <c r="M169" i="41"/>
  <c r="M417" i="41" s="1"/>
  <c r="M176" i="43"/>
  <c r="I49" i="50" s="1"/>
  <c r="P1894" i="37"/>
  <c r="M77" i="37"/>
  <c r="I361" i="41"/>
  <c r="I441" i="50" s="1"/>
  <c r="J361" i="41"/>
  <c r="J441" i="50" s="1"/>
  <c r="K361" i="41"/>
  <c r="K441" i="50" s="1"/>
  <c r="L361" i="41"/>
  <c r="L441" i="50" s="1"/>
  <c r="M361" i="41"/>
  <c r="M441" i="50" s="1"/>
  <c r="B33" i="34"/>
  <c r="H742" i="50" s="1"/>
  <c r="B64" i="34"/>
  <c r="C63" i="34" s="1"/>
  <c r="J243" i="49"/>
  <c r="J250" i="49" s="1"/>
  <c r="J194" i="50" s="1"/>
  <c r="K243" i="49"/>
  <c r="K250" i="49" s="1"/>
  <c r="K194" i="50" s="1"/>
  <c r="L243" i="49"/>
  <c r="L250" i="49" s="1"/>
  <c r="L194" i="50" s="1"/>
  <c r="M243" i="49"/>
  <c r="M193" i="50" s="1"/>
  <c r="K293" i="49"/>
  <c r="K205" i="50" s="1"/>
  <c r="L293" i="49"/>
  <c r="L298" i="49" s="1"/>
  <c r="L206" i="50" s="1"/>
  <c r="M293" i="49"/>
  <c r="M298" i="49" s="1"/>
  <c r="M206" i="50" s="1"/>
  <c r="E363" i="43"/>
  <c r="E364" i="43" s="1"/>
  <c r="Q296" i="43"/>
  <c r="Q297" i="43"/>
  <c r="Q298" i="43"/>
  <c r="Q299" i="43"/>
  <c r="Q300" i="43"/>
  <c r="Q301" i="43"/>
  <c r="Q302" i="43"/>
  <c r="Q303" i="43"/>
  <c r="Q304" i="43"/>
  <c r="Q305" i="43"/>
  <c r="P118" i="43"/>
  <c r="P376" i="47"/>
  <c r="P215" i="47"/>
  <c r="I95" i="47"/>
  <c r="J95" i="47"/>
  <c r="L95" i="47"/>
  <c r="J208" i="34"/>
  <c r="I208" i="47"/>
  <c r="J208" i="47"/>
  <c r="K208" i="47"/>
  <c r="L208" i="47"/>
  <c r="M208" i="47"/>
  <c r="I209" i="47"/>
  <c r="J209" i="47"/>
  <c r="K209" i="47"/>
  <c r="L209" i="47"/>
  <c r="M209" i="47"/>
  <c r="I210" i="47"/>
  <c r="J210" i="47"/>
  <c r="K210" i="47"/>
  <c r="L210" i="47"/>
  <c r="M210" i="47"/>
  <c r="J255" i="34"/>
  <c r="I197" i="47"/>
  <c r="J224" i="34"/>
  <c r="B31" i="34"/>
  <c r="H1059" i="37" s="1"/>
  <c r="B35" i="34"/>
  <c r="D63" i="34" s="1"/>
  <c r="I208" i="34"/>
  <c r="I206" i="34"/>
  <c r="K95" i="47"/>
  <c r="M95" i="47"/>
  <c r="I224" i="34"/>
  <c r="I255" i="34"/>
  <c r="I210" i="34"/>
  <c r="J254" i="34"/>
  <c r="J253" i="34"/>
  <c r="J250" i="34"/>
  <c r="J249" i="34"/>
  <c r="J246" i="34"/>
  <c r="J245" i="34"/>
  <c r="J216" i="34"/>
  <c r="J215" i="34"/>
  <c r="J252" i="34"/>
  <c r="J251" i="34"/>
  <c r="J248" i="34"/>
  <c r="J247" i="34"/>
  <c r="J244" i="34"/>
  <c r="J243" i="34"/>
  <c r="J242" i="34"/>
  <c r="J241" i="34"/>
  <c r="J240" i="34"/>
  <c r="J239" i="34"/>
  <c r="J238" i="34"/>
  <c r="J237" i="34"/>
  <c r="J236" i="34"/>
  <c r="J235" i="34"/>
  <c r="J234" i="34"/>
  <c r="J233" i="34"/>
  <c r="J232" i="34"/>
  <c r="J231" i="34"/>
  <c r="J230" i="34"/>
  <c r="J229" i="34"/>
  <c r="J228" i="34"/>
  <c r="J227" i="34"/>
  <c r="J226" i="34"/>
  <c r="J225" i="34"/>
  <c r="J223" i="34"/>
  <c r="J222" i="34"/>
  <c r="J221" i="34"/>
  <c r="J220" i="34"/>
  <c r="J219" i="34"/>
  <c r="J218" i="34"/>
  <c r="J217" i="34"/>
  <c r="J214" i="34"/>
  <c r="J213" i="34"/>
  <c r="J212" i="34"/>
  <c r="J211" i="34"/>
  <c r="J209" i="34"/>
  <c r="J207" i="34"/>
  <c r="J205" i="34"/>
  <c r="J204" i="34"/>
  <c r="B39" i="34"/>
  <c r="S234" i="43"/>
  <c r="S235" i="43"/>
  <c r="S236" i="43"/>
  <c r="S237" i="43"/>
  <c r="S238" i="43"/>
  <c r="S239" i="43"/>
  <c r="S240" i="43"/>
  <c r="S241" i="43"/>
  <c r="S242" i="43"/>
  <c r="S243" i="43"/>
  <c r="G60" i="9"/>
  <c r="M64" i="42"/>
  <c r="L64" i="42"/>
  <c r="K64" i="42"/>
  <c r="J64" i="42"/>
  <c r="I64" i="42"/>
  <c r="E63" i="42"/>
  <c r="D55" i="42"/>
  <c r="D56" i="42" s="1"/>
  <c r="D57" i="42" s="1"/>
  <c r="D58" i="42" s="1"/>
  <c r="D59" i="42" s="1"/>
  <c r="D60" i="42" s="1"/>
  <c r="D61" i="42" s="1"/>
  <c r="D62" i="42" s="1"/>
  <c r="D63" i="42" s="1"/>
  <c r="E62" i="42"/>
  <c r="E61" i="42"/>
  <c r="E60" i="42"/>
  <c r="E59" i="42"/>
  <c r="E58" i="42"/>
  <c r="E57" i="42"/>
  <c r="E56" i="42"/>
  <c r="E55" i="42"/>
  <c r="E54" i="42"/>
  <c r="D41" i="42"/>
  <c r="D42" i="42" s="1"/>
  <c r="D43" i="42" s="1"/>
  <c r="D44" i="42" s="1"/>
  <c r="D45" i="42" s="1"/>
  <c r="D46" i="42" s="1"/>
  <c r="D47" i="42" s="1"/>
  <c r="D48" i="42" s="1"/>
  <c r="D49" i="42" s="1"/>
  <c r="D68" i="37"/>
  <c r="D69" i="37" s="1"/>
  <c r="D70" i="37" s="1"/>
  <c r="D71" i="37" s="1"/>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4" i="34"/>
  <c r="C205" i="34"/>
  <c r="D205" i="34" s="1"/>
  <c r="I205" i="34"/>
  <c r="I207" i="34"/>
  <c r="I209" i="34"/>
  <c r="I211" i="34"/>
  <c r="I212" i="34"/>
  <c r="I213" i="34"/>
  <c r="I214" i="34"/>
  <c r="I218" i="34"/>
  <c r="I219" i="34"/>
  <c r="I220" i="34"/>
  <c r="I221" i="34"/>
  <c r="I222" i="34"/>
  <c r="I223" i="34"/>
  <c r="I225" i="34"/>
  <c r="I226" i="34"/>
  <c r="I227" i="34"/>
  <c r="I228" i="34"/>
  <c r="I229" i="34"/>
  <c r="I233" i="34"/>
  <c r="I234" i="34"/>
  <c r="I235" i="34"/>
  <c r="I236" i="34"/>
  <c r="I237" i="34"/>
  <c r="I238" i="34"/>
  <c r="I239" i="34"/>
  <c r="I240" i="34"/>
  <c r="I241" i="34"/>
  <c r="I243" i="34"/>
  <c r="I244" i="34"/>
  <c r="I247" i="34"/>
  <c r="I248" i="34"/>
  <c r="I251" i="34"/>
  <c r="I252" i="34"/>
  <c r="D259" i="34"/>
  <c r="D260" i="34"/>
  <c r="D262" i="34"/>
  <c r="D263" i="34"/>
  <c r="D264" i="34"/>
  <c r="D265" i="34"/>
  <c r="I129" i="47"/>
  <c r="J129" i="47"/>
  <c r="K129" i="47"/>
  <c r="L129" i="47"/>
  <c r="M129" i="47"/>
  <c r="I163" i="47"/>
  <c r="J163" i="47"/>
  <c r="K163" i="47"/>
  <c r="L163" i="47"/>
  <c r="M163" i="47"/>
  <c r="J197" i="47"/>
  <c r="K197" i="47"/>
  <c r="L197" i="47"/>
  <c r="M197" i="47"/>
  <c r="I344" i="47"/>
  <c r="I350" i="47" s="1"/>
  <c r="J344" i="47"/>
  <c r="J350" i="47" s="1"/>
  <c r="K344" i="47"/>
  <c r="K350" i="47" s="1"/>
  <c r="L344" i="47"/>
  <c r="L350" i="47" s="1"/>
  <c r="M344" i="47"/>
  <c r="M350" i="47" s="1"/>
  <c r="E116" i="43"/>
  <c r="E117" i="43" s="1"/>
  <c r="E118" i="43" s="1"/>
  <c r="E119" i="43" s="1"/>
  <c r="D235" i="43"/>
  <c r="D236" i="43" s="1"/>
  <c r="D237" i="43" s="1"/>
  <c r="D238" i="43" s="1"/>
  <c r="D239" i="43" s="1"/>
  <c r="D240" i="43" s="1"/>
  <c r="D241" i="43" s="1"/>
  <c r="D242" i="43" s="1"/>
  <c r="D243" i="43" s="1"/>
  <c r="E297" i="43"/>
  <c r="E298" i="43" s="1"/>
  <c r="E299" i="43" s="1"/>
  <c r="E300" i="43" s="1"/>
  <c r="E301" i="43" s="1"/>
  <c r="E302" i="43" s="1"/>
  <c r="E303" i="43" s="1"/>
  <c r="E304" i="43" s="1"/>
  <c r="E305" i="43" s="1"/>
  <c r="E312" i="43"/>
  <c r="E313" i="43" s="1"/>
  <c r="E314" i="43" s="1"/>
  <c r="E315" i="43" s="1"/>
  <c r="E316" i="43" s="1"/>
  <c r="E317" i="43" s="1"/>
  <c r="E318" i="43" s="1"/>
  <c r="E319" i="43" s="1"/>
  <c r="E320" i="43" s="1"/>
  <c r="G56" i="9"/>
  <c r="I394" i="47"/>
  <c r="M383" i="41"/>
  <c r="I1400" i="50"/>
  <c r="I312" i="49"/>
  <c r="I1885" i="37"/>
  <c r="M312" i="49"/>
  <c r="J394" i="47"/>
  <c r="J1400" i="50"/>
  <c r="J383" i="41"/>
  <c r="J562" i="42"/>
  <c r="J312" i="49"/>
  <c r="L1400" i="50"/>
  <c r="L562" i="42"/>
  <c r="L1885" i="37"/>
  <c r="L394" i="47"/>
  <c r="L312" i="49"/>
  <c r="L383" i="41"/>
  <c r="M562" i="42"/>
  <c r="M1400" i="50"/>
  <c r="M1885" i="37"/>
  <c r="M394" i="47"/>
  <c r="I293" i="49"/>
  <c r="I298" i="49" s="1"/>
  <c r="I206" i="50" s="1"/>
  <c r="J293" i="49"/>
  <c r="J298" i="49" s="1"/>
  <c r="J206" i="50" s="1"/>
  <c r="M44" i="37"/>
  <c r="K44" i="37"/>
  <c r="J44" i="37"/>
  <c r="L44" i="37"/>
  <c r="G569" i="42"/>
  <c r="G567" i="42"/>
  <c r="G570" i="42"/>
  <c r="G566" i="42"/>
  <c r="G568" i="42"/>
  <c r="G572" i="42"/>
  <c r="K181" i="37"/>
  <c r="K392" i="41"/>
  <c r="L181" i="37"/>
  <c r="J181" i="37"/>
  <c r="M181" i="37"/>
  <c r="N375" i="47"/>
  <c r="K272" i="37"/>
  <c r="J272" i="37"/>
  <c r="I272" i="37"/>
  <c r="L272" i="37"/>
  <c r="M272" i="37"/>
  <c r="L43" i="37"/>
  <c r="M43" i="37"/>
  <c r="R296" i="43"/>
  <c r="I128" i="41"/>
  <c r="I404" i="41" s="1"/>
  <c r="I403" i="41"/>
  <c r="K128" i="41"/>
  <c r="K269" i="50" s="1"/>
  <c r="L128" i="41"/>
  <c r="L404" i="41" s="1"/>
  <c r="I324" i="50"/>
  <c r="I199" i="41"/>
  <c r="I325" i="50" s="1"/>
  <c r="J199" i="41"/>
  <c r="J209" i="41" s="1"/>
  <c r="J333" i="50" s="1"/>
  <c r="J324" i="50"/>
  <c r="J128" i="41"/>
  <c r="J269" i="50" s="1"/>
  <c r="M128" i="41"/>
  <c r="M404" i="41" s="1"/>
  <c r="K324" i="50"/>
  <c r="K199" i="41"/>
  <c r="L243" i="43"/>
  <c r="L239" i="43"/>
  <c r="L240" i="43"/>
  <c r="J393" i="41"/>
  <c r="I393" i="41"/>
  <c r="L242" i="43"/>
  <c r="M393" i="41"/>
  <c r="K393" i="41"/>
  <c r="L393" i="41"/>
  <c r="L324" i="50"/>
  <c r="L199" i="41"/>
  <c r="L325" i="50" s="1"/>
  <c r="M199" i="41"/>
  <c r="M324" i="50"/>
  <c r="K403" i="41"/>
  <c r="J403" i="41"/>
  <c r="L403" i="41"/>
  <c r="M403" i="41"/>
  <c r="J1172" i="37"/>
  <c r="K389" i="41"/>
  <c r="K343" i="50" s="1"/>
  <c r="J389" i="41"/>
  <c r="J343" i="50" s="1"/>
  <c r="I389" i="41"/>
  <c r="I343" i="50" s="1"/>
  <c r="M389" i="41"/>
  <c r="M343" i="50" s="1"/>
  <c r="L389" i="41"/>
  <c r="L343" i="50" s="1"/>
  <c r="H12" i="50"/>
  <c r="P119" i="43"/>
  <c r="P120" i="43"/>
  <c r="I509" i="42"/>
  <c r="E517" i="42" s="1"/>
  <c r="P517" i="42" s="1"/>
  <c r="L241" i="43"/>
  <c r="M388" i="41"/>
  <c r="M342" i="50" s="1"/>
  <c r="K388" i="41"/>
  <c r="K342" i="50" s="1"/>
  <c r="J388" i="41"/>
  <c r="J342" i="50" s="1"/>
  <c r="I388" i="41"/>
  <c r="I342" i="50" s="1"/>
  <c r="L388" i="41"/>
  <c r="L342" i="50" s="1"/>
  <c r="M387" i="41"/>
  <c r="M341" i="50" s="1"/>
  <c r="J387" i="41"/>
  <c r="J341" i="50" s="1"/>
  <c r="K387" i="41"/>
  <c r="K341" i="50" s="1"/>
  <c r="I387" i="41"/>
  <c r="I341" i="50" s="1"/>
  <c r="L387" i="41"/>
  <c r="L341" i="50" s="1"/>
  <c r="I43" i="37"/>
  <c r="K43" i="37"/>
  <c r="J43" i="37"/>
  <c r="B30" i="34"/>
  <c r="E313" i="41"/>
  <c r="P313" i="41" s="1"/>
  <c r="D509" i="42"/>
  <c r="J1179" i="37"/>
  <c r="P212" i="43"/>
  <c r="K311" i="49" s="1"/>
  <c r="E129" i="50"/>
  <c r="I279" i="37"/>
  <c r="I167" i="49" l="1"/>
  <c r="K102" i="53"/>
  <c r="T153" i="9" s="1"/>
  <c r="H885" i="50"/>
  <c r="AA969" i="37"/>
  <c r="AA968" i="37"/>
  <c r="AA965" i="37"/>
  <c r="AA609" i="37"/>
  <c r="P189" i="43"/>
  <c r="E201" i="43" s="1"/>
  <c r="P171" i="43"/>
  <c r="E182" i="43" s="1"/>
  <c r="L212" i="43"/>
  <c r="D1333" i="37"/>
  <c r="D82" i="37"/>
  <c r="D12" i="58"/>
  <c r="Q1111" i="50"/>
  <c r="L1114" i="50"/>
  <c r="H1119" i="50" s="1"/>
  <c r="T149" i="9"/>
  <c r="T150" i="9"/>
  <c r="T152" i="9"/>
  <c r="E265" i="43"/>
  <c r="M302" i="50"/>
  <c r="E316" i="49"/>
  <c r="J1719" i="37"/>
  <c r="AA1325" i="37"/>
  <c r="I999" i="37"/>
  <c r="I1179" i="37"/>
  <c r="J255" i="50"/>
  <c r="J279" i="37"/>
  <c r="E259" i="43"/>
  <c r="K259" i="43" s="1"/>
  <c r="D1153" i="37"/>
  <c r="D306" i="37"/>
  <c r="D1693" i="37"/>
  <c r="D613" i="37"/>
  <c r="D433" i="37"/>
  <c r="I12" i="42"/>
  <c r="R125" i="42" s="1"/>
  <c r="AA608" i="37"/>
  <c r="A246" i="34"/>
  <c r="I1071" i="50"/>
  <c r="P1101" i="50" s="1"/>
  <c r="J284" i="50"/>
  <c r="A211" i="34"/>
  <c r="AA421" i="37"/>
  <c r="H867" i="37"/>
  <c r="E103" i="50"/>
  <c r="E123" i="50" s="1"/>
  <c r="E231" i="50" s="1"/>
  <c r="P231" i="50" s="1"/>
  <c r="M1719" i="37"/>
  <c r="E309" i="41"/>
  <c r="P309" i="41" s="1"/>
  <c r="AA601" i="37"/>
  <c r="AA789" i="37"/>
  <c r="AA428" i="37"/>
  <c r="AA605" i="37"/>
  <c r="I1359" i="37"/>
  <c r="J459" i="37"/>
  <c r="J639" i="37"/>
  <c r="J999" i="37"/>
  <c r="J53" i="37"/>
  <c r="I255" i="50"/>
  <c r="J1359" i="37"/>
  <c r="J1539" i="37"/>
  <c r="I639" i="37"/>
  <c r="I1539" i="37"/>
  <c r="I284" i="50"/>
  <c r="A232" i="34"/>
  <c r="K1179" i="37"/>
  <c r="K1719" i="37"/>
  <c r="AA1504" i="37"/>
  <c r="K168" i="49"/>
  <c r="K173" i="50" s="1"/>
  <c r="K639" i="37"/>
  <c r="H1479" i="37"/>
  <c r="L999" i="37"/>
  <c r="D253" i="37"/>
  <c r="K167" i="49"/>
  <c r="K172" i="50" s="1"/>
  <c r="AA1501" i="37"/>
  <c r="AA1689" i="37"/>
  <c r="D1513" i="37"/>
  <c r="I144" i="50"/>
  <c r="I114" i="49"/>
  <c r="I147" i="50" s="1"/>
  <c r="L639" i="37"/>
  <c r="L169" i="50"/>
  <c r="AA1505" i="37"/>
  <c r="M167" i="49"/>
  <c r="M172" i="50" s="1"/>
  <c r="K819" i="37"/>
  <c r="J205" i="50"/>
  <c r="AA1688" i="37"/>
  <c r="AA1509" i="37"/>
  <c r="K284" i="50"/>
  <c r="H1185" i="50"/>
  <c r="AA424" i="37"/>
  <c r="H1051" i="50"/>
  <c r="M269" i="50"/>
  <c r="H676" i="50"/>
  <c r="H743" i="37"/>
  <c r="H922" i="50"/>
  <c r="AA1328" i="37"/>
  <c r="H625" i="50"/>
  <c r="H1134" i="50"/>
  <c r="H715" i="37"/>
  <c r="H315" i="42"/>
  <c r="H224" i="42"/>
  <c r="H848" i="50"/>
  <c r="H513" i="50"/>
  <c r="H569" i="50"/>
  <c r="AA1324" i="37"/>
  <c r="H511" i="50"/>
  <c r="J325" i="50"/>
  <c r="B63" i="34"/>
  <c r="H565" i="50"/>
  <c r="H392" i="42"/>
  <c r="H319" i="42"/>
  <c r="AA1329" i="37"/>
  <c r="M3" i="47"/>
  <c r="H865" i="50"/>
  <c r="H498" i="37"/>
  <c r="H668" i="50"/>
  <c r="H1103" i="37"/>
  <c r="H548" i="50"/>
  <c r="H931" i="37"/>
  <c r="D12" i="57"/>
  <c r="AA248" i="37"/>
  <c r="AA249" i="37"/>
  <c r="AA243" i="37"/>
  <c r="AA244" i="37"/>
  <c r="D12" i="59"/>
  <c r="L1539" i="37"/>
  <c r="A230" i="34"/>
  <c r="D1386" i="37"/>
  <c r="D1746" i="37"/>
  <c r="D469" i="50"/>
  <c r="AA1868" i="37"/>
  <c r="AA1684" i="37"/>
  <c r="R314" i="42"/>
  <c r="E388" i="41"/>
  <c r="E342" i="50" s="1"/>
  <c r="AA1869" i="37"/>
  <c r="J302" i="50"/>
  <c r="E104" i="50"/>
  <c r="S104" i="50" s="1"/>
  <c r="D666" i="37"/>
  <c r="AA1861" i="37"/>
  <c r="A231" i="34"/>
  <c r="K110" i="41"/>
  <c r="K261" i="50" s="1"/>
  <c r="I143" i="42"/>
  <c r="I187" i="42" s="1"/>
  <c r="D486" i="37"/>
  <c r="L255" i="50"/>
  <c r="AA1864" i="37"/>
  <c r="D1566" i="37"/>
  <c r="D12" i="56"/>
  <c r="S352" i="41"/>
  <c r="D846" i="37"/>
  <c r="L1719" i="37"/>
  <c r="D793" i="37"/>
  <c r="D1206" i="37"/>
  <c r="AA1685" i="37"/>
  <c r="I3" i="47"/>
  <c r="U215" i="47"/>
  <c r="Q649" i="50"/>
  <c r="D649" i="50"/>
  <c r="C709" i="50"/>
  <c r="Q709" i="50" s="1"/>
  <c r="M459" i="37"/>
  <c r="AA1149" i="37"/>
  <c r="B62" i="34"/>
  <c r="H1419" i="37"/>
  <c r="M1539" i="37"/>
  <c r="L819" i="37"/>
  <c r="L1359" i="37"/>
  <c r="D529" i="50"/>
  <c r="C793" i="37"/>
  <c r="C973" i="37" s="1"/>
  <c r="P973" i="37" s="1"/>
  <c r="H1227" i="37"/>
  <c r="H126" i="37"/>
  <c r="J169" i="50"/>
  <c r="S355" i="41"/>
  <c r="M1179" i="37"/>
  <c r="L110" i="41"/>
  <c r="L261" i="50" s="1"/>
  <c r="D589" i="50"/>
  <c r="M168" i="49"/>
  <c r="M173" i="50" s="1"/>
  <c r="L53" i="37"/>
  <c r="Q589" i="50"/>
  <c r="Q529" i="50"/>
  <c r="S364" i="41"/>
  <c r="K999" i="37"/>
  <c r="K53" i="37"/>
  <c r="M999" i="37"/>
  <c r="M53" i="37"/>
  <c r="L1154" i="50"/>
  <c r="H327" i="37"/>
  <c r="L1179" i="37"/>
  <c r="J110" i="41"/>
  <c r="J116" i="41" s="1"/>
  <c r="J264" i="50" s="1"/>
  <c r="K279" i="37"/>
  <c r="I302" i="50"/>
  <c r="AA964" i="37"/>
  <c r="M1359" i="37"/>
  <c r="L410" i="41"/>
  <c r="L459" i="37"/>
  <c r="M279" i="37"/>
  <c r="J168" i="49"/>
  <c r="J182" i="49" s="1"/>
  <c r="J181" i="50" s="1"/>
  <c r="W215" i="47"/>
  <c r="P433" i="37"/>
  <c r="I819" i="37"/>
  <c r="I459" i="37"/>
  <c r="J193" i="50"/>
  <c r="M819" i="37"/>
  <c r="K459" i="37"/>
  <c r="K1539" i="37"/>
  <c r="G4" i="47"/>
  <c r="AA425" i="37"/>
  <c r="K404" i="41"/>
  <c r="L209" i="41"/>
  <c r="L333" i="50" s="1"/>
  <c r="M265" i="41"/>
  <c r="M364" i="50" s="1"/>
  <c r="X215" i="47"/>
  <c r="K255" i="50"/>
  <c r="K248" i="50"/>
  <c r="M284" i="50"/>
  <c r="C1191" i="50"/>
  <c r="M1191" i="50" s="1"/>
  <c r="M1196" i="50" s="1"/>
  <c r="M1203" i="50" s="1"/>
  <c r="T1191" i="50" s="1"/>
  <c r="T1202" i="50" s="1"/>
  <c r="H1407" i="37"/>
  <c r="L193" i="50"/>
  <c r="L269" i="50"/>
  <c r="H699" i="37"/>
  <c r="I209" i="41"/>
  <c r="I333" i="50" s="1"/>
  <c r="K417" i="41"/>
  <c r="D1111" i="50"/>
  <c r="I205" i="50"/>
  <c r="I269" i="50"/>
  <c r="M110" i="41"/>
  <c r="M639" i="37"/>
  <c r="AA785" i="37"/>
  <c r="V215" i="47"/>
  <c r="I168" i="49"/>
  <c r="L168" i="49"/>
  <c r="L173" i="50" s="1"/>
  <c r="H350" i="41"/>
  <c r="H436" i="50" s="1"/>
  <c r="C31" i="9"/>
  <c r="H1370" i="37"/>
  <c r="H997" i="37"/>
  <c r="H25" i="37"/>
  <c r="H112" i="50"/>
  <c r="H1428" i="37"/>
  <c r="H1459" i="37"/>
  <c r="H109" i="37"/>
  <c r="H214" i="47"/>
  <c r="H1253" i="37"/>
  <c r="H92" i="50"/>
  <c r="H379" i="37"/>
  <c r="H963" i="37"/>
  <c r="H770" i="37"/>
  <c r="H1850" i="37"/>
  <c r="H1451" i="37"/>
  <c r="M4" i="47"/>
  <c r="H1086" i="50"/>
  <c r="H176" i="49"/>
  <c r="H152" i="50" s="1"/>
  <c r="E312" i="41"/>
  <c r="E406" i="50" s="1"/>
  <c r="A216" i="34"/>
  <c r="A217" i="34"/>
  <c r="J172" i="50"/>
  <c r="H1143" i="50"/>
  <c r="E37" i="41"/>
  <c r="E47" i="41" s="1"/>
  <c r="E217" i="50" s="1"/>
  <c r="H1314" i="37"/>
  <c r="R17" i="49"/>
  <c r="I17" i="49" s="1"/>
  <c r="I52" i="49" s="1"/>
  <c r="I65" i="50" s="1"/>
  <c r="F207" i="34"/>
  <c r="H644" i="50"/>
  <c r="F227" i="34"/>
  <c r="K193" i="50"/>
  <c r="H645" i="50"/>
  <c r="E107" i="50"/>
  <c r="P107" i="50" s="1"/>
  <c r="H1079" i="50"/>
  <c r="N1074" i="50" s="1"/>
  <c r="H1860" i="37"/>
  <c r="H524" i="50"/>
  <c r="J265" i="41"/>
  <c r="J364" i="50" s="1"/>
  <c r="H556" i="50"/>
  <c r="H856" i="50"/>
  <c r="H1823" i="37"/>
  <c r="H867" i="50"/>
  <c r="I265" i="41"/>
  <c r="I364" i="50" s="1"/>
  <c r="H518" i="50"/>
  <c r="I3" i="42"/>
  <c r="F244" i="34"/>
  <c r="M12" i="42"/>
  <c r="AC12" i="42" s="1"/>
  <c r="F216" i="34"/>
  <c r="L205" i="50"/>
  <c r="H169" i="37"/>
  <c r="H1212" i="50"/>
  <c r="I1111" i="50"/>
  <c r="P1132" i="50" s="1"/>
  <c r="P1538" i="37"/>
  <c r="P1178" i="37"/>
  <c r="P638" i="37"/>
  <c r="D278" i="42"/>
  <c r="H608" i="50"/>
  <c r="H383" i="37"/>
  <c r="H1147" i="50"/>
  <c r="H1075" i="37"/>
  <c r="A204" i="34"/>
  <c r="A241" i="34"/>
  <c r="A226" i="34"/>
  <c r="H132" i="49"/>
  <c r="H154" i="50" s="1"/>
  <c r="H736" i="50"/>
  <c r="H862" i="50"/>
  <c r="H318" i="37"/>
  <c r="H1174" i="50"/>
  <c r="P235" i="43"/>
  <c r="K235" i="43" s="1"/>
  <c r="S20" i="49"/>
  <c r="J20" i="49" s="1"/>
  <c r="J55" i="49" s="1"/>
  <c r="J68" i="50" s="1"/>
  <c r="T18" i="49"/>
  <c r="K18" i="49" s="1"/>
  <c r="K53" i="49" s="1"/>
  <c r="K66" i="50" s="1"/>
  <c r="L264" i="41"/>
  <c r="L363" i="50" s="1"/>
  <c r="H1623" i="37"/>
  <c r="H925" i="50"/>
  <c r="H687" i="50"/>
  <c r="H1179" i="50"/>
  <c r="H991" i="50"/>
  <c r="D187" i="42"/>
  <c r="H1275" i="37"/>
  <c r="D372" i="42"/>
  <c r="A235" i="34"/>
  <c r="H399" i="37"/>
  <c r="H633" i="50"/>
  <c r="H1435" i="37"/>
  <c r="H191" i="37"/>
  <c r="H678" i="37"/>
  <c r="H931" i="50"/>
  <c r="H908" i="50"/>
  <c r="H1049" i="50"/>
  <c r="H391" i="37"/>
  <c r="H507" i="50"/>
  <c r="H307" i="42"/>
  <c r="H579" i="37"/>
  <c r="H129" i="42"/>
  <c r="H496" i="50"/>
  <c r="H220" i="42"/>
  <c r="A236" i="34"/>
  <c r="D445" i="42"/>
  <c r="S24" i="49"/>
  <c r="J24" i="49" s="1"/>
  <c r="J59" i="49" s="1"/>
  <c r="U24" i="49"/>
  <c r="L24" i="49" s="1"/>
  <c r="L59" i="49" s="1"/>
  <c r="L16" i="41" s="1"/>
  <c r="V20" i="49"/>
  <c r="M20" i="49" s="1"/>
  <c r="M55" i="49" s="1"/>
  <c r="M68" i="50" s="1"/>
  <c r="A221" i="34"/>
  <c r="A243" i="34"/>
  <c r="H161" i="37"/>
  <c r="P458" i="37"/>
  <c r="H111" i="37"/>
  <c r="H1578" i="37"/>
  <c r="H100" i="42"/>
  <c r="R19" i="49"/>
  <c r="I19" i="49" s="1"/>
  <c r="I54" i="49" s="1"/>
  <c r="I67" i="50" s="1"/>
  <c r="R24" i="49"/>
  <c r="I24" i="49" s="1"/>
  <c r="I59" i="49" s="1"/>
  <c r="I16" i="41" s="1"/>
  <c r="S18" i="49"/>
  <c r="J18" i="49" s="1"/>
  <c r="J53" i="49" s="1"/>
  <c r="J66" i="50" s="1"/>
  <c r="T22" i="49"/>
  <c r="K22" i="49" s="1"/>
  <c r="K57" i="49" s="1"/>
  <c r="K70" i="50" s="1"/>
  <c r="U22" i="49"/>
  <c r="L22" i="49" s="1"/>
  <c r="L57" i="49" s="1"/>
  <c r="L70" i="50" s="1"/>
  <c r="V24" i="49"/>
  <c r="M24" i="49" s="1"/>
  <c r="M59" i="49" s="1"/>
  <c r="M72" i="50" s="1"/>
  <c r="A207" i="34"/>
  <c r="A222" i="34"/>
  <c r="D1151" i="50"/>
  <c r="D325" i="42"/>
  <c r="H573" i="50"/>
  <c r="D1071" i="50"/>
  <c r="H1042" i="50"/>
  <c r="H567" i="50"/>
  <c r="H1127" i="37"/>
  <c r="H631" i="50"/>
  <c r="H1038" i="37"/>
  <c r="H216" i="42"/>
  <c r="I193" i="50"/>
  <c r="P1358" i="37"/>
  <c r="D466" i="42"/>
  <c r="A240" i="34"/>
  <c r="H987" i="50"/>
  <c r="H97" i="42"/>
  <c r="H811" i="50"/>
  <c r="H1758" i="37"/>
  <c r="H809" i="50"/>
  <c r="H1455" i="37"/>
  <c r="H1036" i="50"/>
  <c r="H759" i="37"/>
  <c r="H178" i="49"/>
  <c r="H179" i="50" s="1"/>
  <c r="H982" i="50"/>
  <c r="H689" i="50"/>
  <c r="H976" i="50"/>
  <c r="H1119" i="37"/>
  <c r="H682" i="50"/>
  <c r="H1210" i="50"/>
  <c r="H1132" i="50"/>
  <c r="H137" i="42"/>
  <c r="H1239" i="37"/>
  <c r="H339" i="37"/>
  <c r="E36" i="41"/>
  <c r="E46" i="41" s="1"/>
  <c r="E216" i="50" s="1"/>
  <c r="P117" i="43"/>
  <c r="A244" i="34"/>
  <c r="A239" i="34"/>
  <c r="H723" i="37"/>
  <c r="H571" i="50"/>
  <c r="H1299" i="37"/>
  <c r="H535" i="37"/>
  <c r="H1263" i="37"/>
  <c r="H1255" i="37"/>
  <c r="H788" i="50"/>
  <c r="H685" i="50"/>
  <c r="P998" i="37"/>
  <c r="A237" i="34"/>
  <c r="H1803" i="37"/>
  <c r="H1487" i="37"/>
  <c r="H985" i="50"/>
  <c r="H1218" i="37"/>
  <c r="H915" i="37"/>
  <c r="H121" i="42"/>
  <c r="H1443" i="37"/>
  <c r="H728" i="50"/>
  <c r="H1107" i="50"/>
  <c r="H1181" i="50"/>
  <c r="H1643" i="37"/>
  <c r="H1283" i="37"/>
  <c r="H858" i="37"/>
  <c r="H1047" i="50"/>
  <c r="H751" i="37"/>
  <c r="H138" i="37"/>
  <c r="H519" i="37"/>
  <c r="H1587" i="37"/>
  <c r="E392" i="41"/>
  <c r="D234" i="42"/>
  <c r="A227" i="34"/>
  <c r="D398" i="42"/>
  <c r="H462" i="42"/>
  <c r="H311" i="42"/>
  <c r="D69" i="42"/>
  <c r="H1240" i="50"/>
  <c r="H198" i="42"/>
  <c r="H802" i="50"/>
  <c r="H929" i="50"/>
  <c r="H1651" i="37"/>
  <c r="H219" i="37"/>
  <c r="H627" i="50"/>
  <c r="H1307" i="37"/>
  <c r="H927" i="50"/>
  <c r="H749" i="50"/>
  <c r="H182" i="37"/>
  <c r="P52" i="37"/>
  <c r="P818" i="37"/>
  <c r="A234" i="34"/>
  <c r="H407" i="37"/>
  <c r="H895" i="37"/>
  <c r="H201" i="37"/>
  <c r="H813" i="50"/>
  <c r="H745" i="50"/>
  <c r="H1615" i="37"/>
  <c r="H1667" i="37"/>
  <c r="H1183" i="50"/>
  <c r="H563" i="37"/>
  <c r="H1095" i="37"/>
  <c r="H303" i="42"/>
  <c r="H587" i="37"/>
  <c r="H1099" i="50"/>
  <c r="H933" i="50"/>
  <c r="H1139" i="50"/>
  <c r="H1047" i="37"/>
  <c r="H879" i="37"/>
  <c r="H1242" i="50"/>
  <c r="P116" i="43"/>
  <c r="H947" i="37"/>
  <c r="H1141" i="50"/>
  <c r="H228" i="42"/>
  <c r="A238" i="34"/>
  <c r="H210" i="37"/>
  <c r="E106" i="50"/>
  <c r="P106" i="50" s="1"/>
  <c r="H993" i="50"/>
  <c r="H871" i="50"/>
  <c r="H133" i="42"/>
  <c r="H1103" i="50"/>
  <c r="H1028" i="50"/>
  <c r="H1291" i="37"/>
  <c r="H939" i="37"/>
  <c r="H201" i="42"/>
  <c r="I288" i="49"/>
  <c r="H1092" i="50"/>
  <c r="H571" i="37"/>
  <c r="P1718" i="37"/>
  <c r="H1599" i="37"/>
  <c r="P1889" i="37"/>
  <c r="H459" i="42"/>
  <c r="H1659" i="37"/>
  <c r="H869" i="50"/>
  <c r="H753" i="50"/>
  <c r="H691" i="50"/>
  <c r="H456" i="42"/>
  <c r="H1795" i="37"/>
  <c r="H212" i="42"/>
  <c r="I238" i="49"/>
  <c r="H693" i="50"/>
  <c r="H989" i="50"/>
  <c r="H1094" i="50"/>
  <c r="H767" i="37"/>
  <c r="H509" i="50"/>
  <c r="H616" i="50"/>
  <c r="H1779" i="37"/>
  <c r="H1767" i="37"/>
  <c r="H1045" i="50"/>
  <c r="A255" i="34"/>
  <c r="F237" i="34"/>
  <c r="F251" i="34"/>
  <c r="F223" i="34"/>
  <c r="H702" i="50"/>
  <c r="H1680" i="37"/>
  <c r="H1062" i="50"/>
  <c r="H824" i="50"/>
  <c r="H1134" i="37"/>
  <c r="H941" i="50"/>
  <c r="S22" i="49"/>
  <c r="J22" i="49" s="1"/>
  <c r="J57" i="49" s="1"/>
  <c r="J70" i="50" s="1"/>
  <c r="H628" i="37"/>
  <c r="H171" i="49"/>
  <c r="H1494" i="37"/>
  <c r="M264" i="41"/>
  <c r="M363" i="50" s="1"/>
  <c r="H83" i="41"/>
  <c r="H240" i="50" s="1"/>
  <c r="H1225" i="37"/>
  <c r="H1024" i="50"/>
  <c r="H178" i="37"/>
  <c r="H808" i="37"/>
  <c r="H124" i="37"/>
  <c r="V22" i="49"/>
  <c r="M22" i="49" s="1"/>
  <c r="M57" i="49" s="1"/>
  <c r="M70" i="50" s="1"/>
  <c r="H1854" i="37"/>
  <c r="M143" i="42"/>
  <c r="I144" i="42" s="1"/>
  <c r="I264" i="41"/>
  <c r="I363" i="50" s="1"/>
  <c r="L265" i="41"/>
  <c r="L364" i="50" s="1"/>
  <c r="H1674" i="37"/>
  <c r="F226" i="34"/>
  <c r="F212" i="34"/>
  <c r="H601" i="37"/>
  <c r="H231" i="37"/>
  <c r="F220" i="34"/>
  <c r="F213" i="34"/>
  <c r="F219" i="34"/>
  <c r="F228" i="34"/>
  <c r="H774" i="37"/>
  <c r="H822" i="50"/>
  <c r="H785" i="37"/>
  <c r="H1681" i="37"/>
  <c r="S19" i="49"/>
  <c r="J19" i="49" s="1"/>
  <c r="J54" i="49" s="1"/>
  <c r="J67" i="50" s="1"/>
  <c r="H188" i="47"/>
  <c r="H779" i="37"/>
  <c r="H944" i="50"/>
  <c r="T20" i="49"/>
  <c r="K20" i="49" s="1"/>
  <c r="K55" i="49" s="1"/>
  <c r="K68" i="50" s="1"/>
  <c r="P239" i="43"/>
  <c r="Q239" i="43" s="1"/>
  <c r="H92" i="49"/>
  <c r="H141" i="50" s="1"/>
  <c r="H274" i="47"/>
  <c r="H180" i="47"/>
  <c r="H43" i="41"/>
  <c r="H212" i="50" s="1"/>
  <c r="H356" i="42"/>
  <c r="K264" i="41"/>
  <c r="K363" i="50" s="1"/>
  <c r="M250" i="49"/>
  <c r="M194" i="50" s="1"/>
  <c r="H145" i="49"/>
  <c r="H161" i="50" s="1"/>
  <c r="K298" i="49"/>
  <c r="K206" i="50" s="1"/>
  <c r="H594" i="37"/>
  <c r="M1071" i="50"/>
  <c r="M1076" i="50" s="1"/>
  <c r="F252" i="34"/>
  <c r="U18" i="49"/>
  <c r="L18" i="49" s="1"/>
  <c r="L53" i="49" s="1"/>
  <c r="L66" i="50" s="1"/>
  <c r="H780" i="37"/>
  <c r="H1005" i="50"/>
  <c r="H961" i="37"/>
  <c r="H584" i="50"/>
  <c r="F249" i="34"/>
  <c r="H240" i="37"/>
  <c r="F210" i="34"/>
  <c r="F229" i="34"/>
  <c r="F211" i="34"/>
  <c r="K265" i="41"/>
  <c r="K364" i="50" s="1"/>
  <c r="H175" i="41"/>
  <c r="H306" i="50" s="1"/>
  <c r="H150" i="42"/>
  <c r="H1550" i="37"/>
  <c r="H938" i="50"/>
  <c r="H171" i="42"/>
  <c r="H1357" i="37"/>
  <c r="H950" i="37"/>
  <c r="H1158" i="50"/>
  <c r="H1752" i="37"/>
  <c r="A220" i="34"/>
  <c r="E435" i="37"/>
  <c r="V18" i="49"/>
  <c r="M18" i="49" s="1"/>
  <c r="M53" i="49" s="1"/>
  <c r="M66" i="50" s="1"/>
  <c r="H153" i="49"/>
  <c r="U20" i="49"/>
  <c r="L20" i="49" s="1"/>
  <c r="L55" i="49" s="1"/>
  <c r="L68" i="50" s="1"/>
  <c r="H206" i="37"/>
  <c r="H1500" i="37"/>
  <c r="M398" i="42"/>
  <c r="AC398" i="42" s="1"/>
  <c r="H954" i="37"/>
  <c r="H1684" i="37"/>
  <c r="F221" i="34"/>
  <c r="H1865" i="37"/>
  <c r="H945" i="50"/>
  <c r="H765" i="50"/>
  <c r="H525" i="50"/>
  <c r="F248" i="34"/>
  <c r="S17" i="49"/>
  <c r="J17" i="49" s="1"/>
  <c r="J52" i="49" s="1"/>
  <c r="H1670" i="37"/>
  <c r="H403" i="37"/>
  <c r="H309" i="42"/>
  <c r="H414" i="37"/>
  <c r="M1151" i="50"/>
  <c r="M1156" i="50" s="1"/>
  <c r="M1163" i="50" s="1"/>
  <c r="T1151" i="50" s="1"/>
  <c r="T1162" i="50" s="1"/>
  <c r="H1467" i="37"/>
  <c r="H517" i="37"/>
  <c r="H1216" i="37"/>
  <c r="H254" i="47"/>
  <c r="H361" i="37"/>
  <c r="A218" i="34"/>
  <c r="E615" i="37"/>
  <c r="V17" i="49"/>
  <c r="M17" i="49" s="1"/>
  <c r="M52" i="49" s="1"/>
  <c r="H470" i="37"/>
  <c r="H507" i="37"/>
  <c r="H919" i="37"/>
  <c r="H1145" i="37"/>
  <c r="F222" i="34"/>
  <c r="H424" i="37"/>
  <c r="H641" i="50"/>
  <c r="H878" i="50"/>
  <c r="H1001" i="50"/>
  <c r="H698" i="50"/>
  <c r="H244" i="37"/>
  <c r="H600" i="37"/>
  <c r="H704" i="50"/>
  <c r="H1058" i="50"/>
  <c r="H761" i="50"/>
  <c r="H762" i="50"/>
  <c r="H1505" i="37"/>
  <c r="F243" i="34"/>
  <c r="H1324" i="37"/>
  <c r="H818" i="50"/>
  <c r="R20" i="49"/>
  <c r="I20" i="49" s="1"/>
  <c r="I55" i="49" s="1"/>
  <c r="I68" i="50" s="1"/>
  <c r="H94" i="47"/>
  <c r="H1338" i="37"/>
  <c r="H825" i="50"/>
  <c r="H1065" i="50"/>
  <c r="M1111" i="50"/>
  <c r="M1116" i="50" s="1"/>
  <c r="M1123" i="50" s="1"/>
  <c r="T1111" i="50" s="1"/>
  <c r="T1122" i="50" s="1"/>
  <c r="T17" i="49"/>
  <c r="K17" i="49" s="1"/>
  <c r="K52" i="49" s="1"/>
  <c r="H1717" i="37"/>
  <c r="H438" i="37"/>
  <c r="H163" i="41"/>
  <c r="H296" i="50" s="1"/>
  <c r="H339" i="47"/>
  <c r="H263" i="41"/>
  <c r="H362" i="50" s="1"/>
  <c r="T19" i="49"/>
  <c r="K19" i="49" s="1"/>
  <c r="K54" i="49" s="1"/>
  <c r="K67" i="50" s="1"/>
  <c r="E401" i="42"/>
  <c r="H1683" i="37"/>
  <c r="H687" i="37"/>
  <c r="H604" i="37"/>
  <c r="M466" i="42"/>
  <c r="I467" i="42" s="1"/>
  <c r="H1501" i="37"/>
  <c r="F242" i="34"/>
  <c r="M509" i="42"/>
  <c r="AC509" i="42" s="1"/>
  <c r="F255" i="34"/>
  <c r="H420" i="37"/>
  <c r="H578" i="50"/>
  <c r="H642" i="50"/>
  <c r="H1861" i="37"/>
  <c r="H1064" i="50"/>
  <c r="H965" i="37"/>
  <c r="H964" i="37"/>
  <c r="H884" i="50"/>
  <c r="R22" i="49"/>
  <c r="I22" i="49" s="1"/>
  <c r="I57" i="49" s="1"/>
  <c r="R18" i="49"/>
  <c r="I18" i="49" s="1"/>
  <c r="I53" i="49" s="1"/>
  <c r="I66" i="50" s="1"/>
  <c r="H155" i="47"/>
  <c r="H167" i="37"/>
  <c r="H758" i="50"/>
  <c r="F245" i="34"/>
  <c r="H1091" i="37"/>
  <c r="H1537" i="37"/>
  <c r="H123" i="42"/>
  <c r="H1756" i="37"/>
  <c r="H1708" i="37"/>
  <c r="J264" i="41"/>
  <c r="J363" i="50" s="1"/>
  <c r="H387" i="37"/>
  <c r="A224" i="34"/>
  <c r="P241" i="43"/>
  <c r="R241" i="43" s="1"/>
  <c r="H522" i="50"/>
  <c r="M234" i="42"/>
  <c r="I235" i="42" s="1"/>
  <c r="M205" i="50"/>
  <c r="L115" i="49"/>
  <c r="L148" i="50" s="1"/>
  <c r="P259" i="43"/>
  <c r="F363" i="43"/>
  <c r="G363" i="43" s="1"/>
  <c r="H363" i="43" s="1"/>
  <c r="E34" i="50" s="1"/>
  <c r="I172" i="50"/>
  <c r="I139" i="50"/>
  <c r="I115" i="49"/>
  <c r="I148" i="50" s="1"/>
  <c r="X98" i="49"/>
  <c r="A15" i="10"/>
  <c r="P461" i="42"/>
  <c r="P455" i="42"/>
  <c r="H292" i="49"/>
  <c r="H1859" i="37"/>
  <c r="H1278" i="50"/>
  <c r="H158" i="49"/>
  <c r="H166" i="50" s="1"/>
  <c r="H896" i="50"/>
  <c r="H676" i="37"/>
  <c r="H1115" i="37"/>
  <c r="H423" i="37"/>
  <c r="P373" i="47"/>
  <c r="H599" i="37"/>
  <c r="H204" i="41"/>
  <c r="H328" i="50" s="1"/>
  <c r="H1843" i="37"/>
  <c r="H1118" i="50"/>
  <c r="H1159" i="50"/>
  <c r="N1156" i="50" s="1"/>
  <c r="H1099" i="37"/>
  <c r="H739" i="37"/>
  <c r="H121" i="47"/>
  <c r="H282" i="41"/>
  <c r="H378" i="50" s="1"/>
  <c r="H1206" i="50"/>
  <c r="H163" i="37"/>
  <c r="H1130" i="37"/>
  <c r="H567" i="37"/>
  <c r="E393" i="41"/>
  <c r="I4" i="47"/>
  <c r="H650" i="37"/>
  <c r="H162" i="47"/>
  <c r="H119" i="42"/>
  <c r="H105" i="42"/>
  <c r="H218" i="42"/>
  <c r="A253" i="34"/>
  <c r="A254" i="34"/>
  <c r="E146" i="42"/>
  <c r="D7" i="34"/>
  <c r="H1321" i="37"/>
  <c r="P389" i="42"/>
  <c r="P388" i="42"/>
  <c r="E333" i="42"/>
  <c r="P333" i="42" s="1"/>
  <c r="F218" i="34"/>
  <c r="H705" i="50"/>
  <c r="E795" i="37"/>
  <c r="H882" i="50"/>
  <c r="H942" i="50"/>
  <c r="H1141" i="37"/>
  <c r="F215" i="34"/>
  <c r="E469" i="42"/>
  <c r="E512" i="42"/>
  <c r="F250" i="34"/>
  <c r="F225" i="34"/>
  <c r="H582" i="50"/>
  <c r="H1004" i="50"/>
  <c r="H1144" i="37"/>
  <c r="H1685" i="37"/>
  <c r="P242" i="43"/>
  <c r="K242" i="43" s="1"/>
  <c r="E1155" i="37"/>
  <c r="P18" i="41"/>
  <c r="I214" i="50" s="1"/>
  <c r="E328" i="42"/>
  <c r="P240" i="43"/>
  <c r="F247" i="34"/>
  <c r="H243" i="37"/>
  <c r="H239" i="37"/>
  <c r="H821" i="50"/>
  <c r="H425" i="37"/>
  <c r="E237" i="42"/>
  <c r="P217" i="41"/>
  <c r="P231" i="41" s="1"/>
  <c r="H1504" i="37"/>
  <c r="F254" i="34"/>
  <c r="F241" i="34"/>
  <c r="H781" i="37"/>
  <c r="H1061" i="50"/>
  <c r="F206" i="34"/>
  <c r="P237" i="43"/>
  <c r="K237" i="43" s="1"/>
  <c r="H1325" i="37"/>
  <c r="F217" i="34"/>
  <c r="F208" i="34"/>
  <c r="H960" i="37"/>
  <c r="E60" i="41"/>
  <c r="R461" i="42"/>
  <c r="A223" i="34"/>
  <c r="E406" i="42"/>
  <c r="P406" i="42" s="1"/>
  <c r="A225" i="34"/>
  <c r="P459" i="42"/>
  <c r="H536" i="50"/>
  <c r="H1437" i="37"/>
  <c r="B65" i="34"/>
  <c r="H234" i="49" s="1"/>
  <c r="H192" i="50" s="1"/>
  <c r="H126" i="41"/>
  <c r="H1287" i="37"/>
  <c r="H187" i="37"/>
  <c r="H1679" i="37"/>
  <c r="H85" i="42"/>
  <c r="H159" i="37"/>
  <c r="H1613" i="37"/>
  <c r="H516" i="42"/>
  <c r="H685" i="37"/>
  <c r="H1166" i="50"/>
  <c r="H1271" i="37"/>
  <c r="H349" i="47"/>
  <c r="H1257" i="37"/>
  <c r="H297" i="49"/>
  <c r="H988" i="37"/>
  <c r="H238" i="37"/>
  <c r="H262" i="42"/>
  <c r="H1617" i="37"/>
  <c r="H533" i="37"/>
  <c r="E389" i="41"/>
  <c r="E343" i="50" s="1"/>
  <c r="A219" i="34"/>
  <c r="P379" i="42"/>
  <c r="H1793" i="37"/>
  <c r="H1585" i="37"/>
  <c r="H371" i="47"/>
  <c r="H233" i="49"/>
  <c r="H964" i="50"/>
  <c r="H307" i="47"/>
  <c r="H332" i="42"/>
  <c r="H1572" i="37"/>
  <c r="H575" i="37"/>
  <c r="H1158" i="37"/>
  <c r="H495" i="42"/>
  <c r="H672" i="37"/>
  <c r="H1621" i="37"/>
  <c r="H590" i="37"/>
  <c r="H1323" i="37"/>
  <c r="H1835" i="37"/>
  <c r="E105" i="50"/>
  <c r="S105" i="50" s="1"/>
  <c r="H865" i="37"/>
  <c r="H656" i="50"/>
  <c r="J160" i="43"/>
  <c r="H763" i="37"/>
  <c r="H1057" i="37"/>
  <c r="H97" i="49"/>
  <c r="H1777" i="37"/>
  <c r="H1266" i="50"/>
  <c r="H1107" i="37"/>
  <c r="H112" i="47"/>
  <c r="H1655" i="37"/>
  <c r="H1045" i="37"/>
  <c r="H146" i="47"/>
  <c r="H1441" i="37"/>
  <c r="H277" i="37"/>
  <c r="H784" i="50"/>
  <c r="H287" i="47"/>
  <c r="H106" i="41"/>
  <c r="H473" i="42"/>
  <c r="H33" i="41"/>
  <c r="H836" i="50"/>
  <c r="H65" i="49"/>
  <c r="H308" i="41"/>
  <c r="H402" i="50" s="1"/>
  <c r="H136" i="37"/>
  <c r="H242" i="49"/>
  <c r="H844" i="50"/>
  <c r="H1499" i="37"/>
  <c r="H1068" i="37"/>
  <c r="H1177" i="37"/>
  <c r="R379" i="42"/>
  <c r="H596" i="50"/>
  <c r="H544" i="50"/>
  <c r="H1261" i="37"/>
  <c r="H348" i="37"/>
  <c r="H419" i="37"/>
  <c r="H1228" i="50"/>
  <c r="H1576" i="37"/>
  <c r="H877" i="37"/>
  <c r="H384" i="42"/>
  <c r="H817" i="37"/>
  <c r="H852" i="37"/>
  <c r="H708" i="37"/>
  <c r="H103" i="49"/>
  <c r="H313" i="47"/>
  <c r="H87" i="49"/>
  <c r="H136" i="50" s="1"/>
  <c r="H320" i="47"/>
  <c r="H583" i="37"/>
  <c r="R391" i="42"/>
  <c r="H1081" i="37"/>
  <c r="H128" i="47"/>
  <c r="H210" i="42"/>
  <c r="H293" i="41"/>
  <c r="H388" i="50" s="1"/>
  <c r="H956" i="50"/>
  <c r="H476" i="50"/>
  <c r="H717" i="37"/>
  <c r="H322" i="41"/>
  <c r="H414" i="50" s="1"/>
  <c r="H1143" i="37"/>
  <c r="H541" i="37"/>
  <c r="H242" i="37"/>
  <c r="H66" i="37"/>
  <c r="H317" i="42"/>
  <c r="H131" i="42"/>
  <c r="H1212" i="37"/>
  <c r="H1698" i="37"/>
  <c r="H893" i="37"/>
  <c r="H312" i="37"/>
  <c r="H249" i="49"/>
  <c r="H559" i="37"/>
  <c r="H537" i="42"/>
  <c r="H747" i="37"/>
  <c r="H904" i="50"/>
  <c r="H1528" i="37"/>
  <c r="H457" i="37"/>
  <c r="H897" i="37"/>
  <c r="H166" i="49"/>
  <c r="H171" i="50" s="1"/>
  <c r="H731" i="37"/>
  <c r="H371" i="37"/>
  <c r="P391" i="42"/>
  <c r="H618" i="37"/>
  <c r="H280" i="47"/>
  <c r="H1295" i="37"/>
  <c r="H226" i="41"/>
  <c r="H51" i="49"/>
  <c r="H64" i="50" s="1"/>
  <c r="H1396" i="37"/>
  <c r="H798" i="37"/>
  <c r="H149" i="49"/>
  <c r="H528" i="37"/>
  <c r="H1475" i="37"/>
  <c r="P392" i="42"/>
  <c r="P386" i="42"/>
  <c r="H492" i="37"/>
  <c r="H1730" i="37"/>
  <c r="H1319" i="37"/>
  <c r="H697" i="37"/>
  <c r="H228" i="49"/>
  <c r="H181" i="49"/>
  <c r="H716" i="50"/>
  <c r="H405" i="42"/>
  <c r="H274" i="41"/>
  <c r="H371" i="50" s="1"/>
  <c r="H935" i="37"/>
  <c r="H268" i="37"/>
  <c r="H1077" i="37"/>
  <c r="H1797" i="37"/>
  <c r="R389" i="42"/>
  <c r="H193" i="41"/>
  <c r="H319" i="50" s="1"/>
  <c r="H1198" i="50"/>
  <c r="H287" i="42"/>
  <c r="H395" i="37"/>
  <c r="H36" i="49"/>
  <c r="H830" i="37"/>
  <c r="H1392" i="37"/>
  <c r="H1123" i="37"/>
  <c r="H1417" i="37"/>
  <c r="H207" i="47"/>
  <c r="H1073" i="37"/>
  <c r="H1348" i="37"/>
  <c r="H713" i="37"/>
  <c r="H1032" i="37"/>
  <c r="H305" i="42"/>
  <c r="H15" i="41"/>
  <c r="H1801" i="37"/>
  <c r="H39" i="37"/>
  <c r="H1639" i="37"/>
  <c r="H1258" i="50"/>
  <c r="H1286" i="50"/>
  <c r="H1503" i="37"/>
  <c r="B34" i="34"/>
  <c r="H1411" i="37" s="1"/>
  <c r="I372" i="42"/>
  <c r="H215" i="37"/>
  <c r="H1433" i="37"/>
  <c r="H1236" i="50"/>
  <c r="H1190" i="37"/>
  <c r="H911" i="37"/>
  <c r="H191" i="42"/>
  <c r="H135" i="42"/>
  <c r="H454" i="42"/>
  <c r="H1126" i="50"/>
  <c r="H221" i="49"/>
  <c r="R456" i="42"/>
  <c r="H1010" i="37"/>
  <c r="H226" i="42"/>
  <c r="H1827" i="37"/>
  <c r="H113" i="49"/>
  <c r="H146" i="50" s="1"/>
  <c r="H1248" i="37"/>
  <c r="H755" i="37"/>
  <c r="H604" i="50"/>
  <c r="H98" i="41"/>
  <c r="H251" i="50" s="1"/>
  <c r="H1608" i="37"/>
  <c r="H136" i="49"/>
  <c r="H1765" i="37"/>
  <c r="H1863" i="37"/>
  <c r="H222" i="42"/>
  <c r="H268" i="49"/>
  <c r="H200" i="50" s="1"/>
  <c r="H278" i="49"/>
  <c r="H1168" i="37"/>
  <c r="H1078" i="50"/>
  <c r="H353" i="37"/>
  <c r="H1811" i="37"/>
  <c r="H150" i="37"/>
  <c r="H943" i="37"/>
  <c r="H410" i="37"/>
  <c r="H205" i="42"/>
  <c r="H1483" i="37"/>
  <c r="H130" i="49"/>
  <c r="H215" i="49"/>
  <c r="H224" i="37"/>
  <c r="H1237" i="37"/>
  <c r="H603" i="37"/>
  <c r="H290" i="37"/>
  <c r="H214" i="42"/>
  <c r="H134" i="41"/>
  <c r="H273" i="50" s="1"/>
  <c r="H1016" i="50"/>
  <c r="H776" i="50"/>
  <c r="H637" i="37"/>
  <c r="E379" i="42"/>
  <c r="H273" i="49"/>
  <c r="H296" i="42"/>
  <c r="H258" i="37"/>
  <c r="H959" i="37"/>
  <c r="H1036" i="37"/>
  <c r="H484" i="50"/>
  <c r="H357" i="37"/>
  <c r="H127" i="42"/>
  <c r="H978" i="37"/>
  <c r="H1279" i="37"/>
  <c r="H51" i="37"/>
  <c r="H1647" i="37"/>
  <c r="H724" i="50"/>
  <c r="H721" i="37"/>
  <c r="H337" i="37"/>
  <c r="H1788" i="37"/>
  <c r="H496" i="37"/>
  <c r="H1139" i="37"/>
  <c r="H16" i="49"/>
  <c r="H901" i="37"/>
  <c r="H53" i="42"/>
  <c r="H196" i="47"/>
  <c r="H89" i="41"/>
  <c r="H244" i="50" s="1"/>
  <c r="H214" i="41"/>
  <c r="H336" i="50" s="1"/>
  <c r="H1310" i="37"/>
  <c r="H196" i="42"/>
  <c r="H101" i="37"/>
  <c r="H505" i="37"/>
  <c r="H378" i="42"/>
  <c r="H448" i="37"/>
  <c r="H1490" i="37"/>
  <c r="H247" i="41"/>
  <c r="H348" i="50" s="1"/>
  <c r="H313" i="42"/>
  <c r="H1303" i="37"/>
  <c r="H1631" i="37"/>
  <c r="H551" i="37"/>
  <c r="H783" i="37"/>
  <c r="H856" i="37"/>
  <c r="H927" i="37"/>
  <c r="H429" i="42"/>
  <c r="H1597" i="37"/>
  <c r="H1405" i="37"/>
  <c r="H122" i="49"/>
  <c r="P385" i="42"/>
  <c r="H282" i="42"/>
  <c r="H537" i="37"/>
  <c r="H282" i="49"/>
  <c r="H449" i="42"/>
  <c r="H23" i="42"/>
  <c r="H316" i="37"/>
  <c r="H1518" i="37"/>
  <c r="H301" i="42"/>
  <c r="H664" i="50"/>
  <c r="H1819" i="37"/>
  <c r="H1663" i="37"/>
  <c r="H325" i="37"/>
  <c r="H197" i="37"/>
  <c r="H241" i="42"/>
  <c r="H888" i="37"/>
  <c r="P289" i="42"/>
  <c r="P314" i="42"/>
  <c r="P311" i="42"/>
  <c r="E283" i="42"/>
  <c r="E297" i="42" s="1"/>
  <c r="E242" i="42"/>
  <c r="P242" i="42" s="1"/>
  <c r="R303" i="42"/>
  <c r="P319" i="42"/>
  <c r="P318" i="42"/>
  <c r="I278" i="42"/>
  <c r="R318" i="42"/>
  <c r="P292" i="42"/>
  <c r="P291" i="42"/>
  <c r="R307" i="42"/>
  <c r="R311" i="42"/>
  <c r="P306" i="42"/>
  <c r="R319" i="42"/>
  <c r="P283" i="42"/>
  <c r="R283" i="42"/>
  <c r="R315" i="42"/>
  <c r="P297" i="42"/>
  <c r="P302" i="42"/>
  <c r="I1151" i="50"/>
  <c r="P1178" i="50" s="1"/>
  <c r="E311" i="41"/>
  <c r="E405" i="50" s="1"/>
  <c r="B32" i="34"/>
  <c r="R450" i="42"/>
  <c r="B67" i="34"/>
  <c r="H95" i="47" s="1"/>
  <c r="B66" i="34"/>
  <c r="B60" i="34"/>
  <c r="H275" i="47" s="1"/>
  <c r="K265" i="43"/>
  <c r="B28" i="34"/>
  <c r="H129" i="47" s="1"/>
  <c r="B26" i="34"/>
  <c r="H1491" i="37" s="1"/>
  <c r="R310" i="42"/>
  <c r="R386" i="42"/>
  <c r="B29" i="34"/>
  <c r="J541" i="50" s="1"/>
  <c r="S109" i="50"/>
  <c r="B24" i="34"/>
  <c r="H251" i="41" s="1"/>
  <c r="H352" i="50" s="1"/>
  <c r="M115" i="49"/>
  <c r="M148" i="50" s="1"/>
  <c r="B38" i="34"/>
  <c r="H1287" i="50" s="1"/>
  <c r="M144" i="50"/>
  <c r="E51" i="50"/>
  <c r="P51" i="50" s="1"/>
  <c r="M54" i="50" s="1"/>
  <c r="M114" i="49"/>
  <c r="M147" i="50" s="1"/>
  <c r="K4" i="47"/>
  <c r="A214" i="34"/>
  <c r="A213" i="34"/>
  <c r="E227" i="41"/>
  <c r="E231" i="41" s="1"/>
  <c r="E407" i="50"/>
  <c r="R265" i="43"/>
  <c r="C206" i="34"/>
  <c r="O206" i="34" s="1"/>
  <c r="R206" i="34" s="1"/>
  <c r="R459" i="42"/>
  <c r="K144" i="50"/>
  <c r="P310" i="41"/>
  <c r="A249" i="34"/>
  <c r="A252" i="34"/>
  <c r="A251" i="34"/>
  <c r="A247" i="34"/>
  <c r="J114" i="49"/>
  <c r="J144" i="50"/>
  <c r="J139" i="50"/>
  <c r="J115" i="49"/>
  <c r="J148" i="50" s="1"/>
  <c r="P1106" i="50"/>
  <c r="A229" i="34"/>
  <c r="L114" i="49"/>
  <c r="L144" i="50"/>
  <c r="A250" i="34"/>
  <c r="G5" i="47"/>
  <c r="C37" i="9"/>
  <c r="P236" i="43"/>
  <c r="P238" i="43"/>
  <c r="P265" i="43"/>
  <c r="P234" i="43"/>
  <c r="H1320" i="37"/>
  <c r="H585" i="50"/>
  <c r="H998" i="50"/>
  <c r="F224" i="34"/>
  <c r="H638" i="50"/>
  <c r="F253" i="34"/>
  <c r="H701" i="50"/>
  <c r="F209" i="34"/>
  <c r="H784" i="37"/>
  <c r="H1002" i="50"/>
  <c r="H1140" i="37"/>
  <c r="H421" i="37"/>
  <c r="F205" i="34"/>
  <c r="H881" i="50"/>
  <c r="H605" i="37"/>
  <c r="H581" i="50"/>
  <c r="H1864" i="37"/>
  <c r="H764" i="50"/>
  <c r="H521" i="50"/>
  <c r="B58" i="34"/>
  <c r="N313" i="47"/>
  <c r="E1335" i="37"/>
  <c r="E142" i="49"/>
  <c r="E1695" i="37"/>
  <c r="E255" i="37"/>
  <c r="E975" i="37"/>
  <c r="P458" i="42"/>
  <c r="P462" i="42"/>
  <c r="I445" i="42"/>
  <c r="P450" i="42"/>
  <c r="P456" i="42"/>
  <c r="K115" i="49"/>
  <c r="K1882" i="37"/>
  <c r="K943" i="37" s="1"/>
  <c r="U946" i="37" s="1"/>
  <c r="P307" i="42"/>
  <c r="R302" i="42"/>
  <c r="P288" i="42"/>
  <c r="P310" i="42"/>
  <c r="P303" i="42"/>
  <c r="R306" i="42"/>
  <c r="P315" i="42"/>
  <c r="E450" i="42"/>
  <c r="A248" i="34"/>
  <c r="G3" i="47"/>
  <c r="D12" i="55"/>
  <c r="P1311" i="50"/>
  <c r="G573" i="42"/>
  <c r="Q205" i="34"/>
  <c r="M380" i="41"/>
  <c r="M98" i="41" s="1"/>
  <c r="M251" i="50" s="1"/>
  <c r="BB3" i="59"/>
  <c r="B4" i="59" s="1"/>
  <c r="AR4" i="59" s="1"/>
  <c r="Q231" i="34"/>
  <c r="I326" i="42"/>
  <c r="AC325" i="42"/>
  <c r="L220" i="43"/>
  <c r="E261" i="43"/>
  <c r="P261" i="43" s="1"/>
  <c r="D262" i="43"/>
  <c r="O259" i="34"/>
  <c r="R259" i="34" s="1"/>
  <c r="K1399" i="50"/>
  <c r="G3" i="42"/>
  <c r="K3" i="42"/>
  <c r="S217" i="41"/>
  <c r="J393" i="47"/>
  <c r="T376" i="47" s="1"/>
  <c r="E260" i="43"/>
  <c r="P260" i="43" s="1"/>
  <c r="Q253" i="34"/>
  <c r="Q234" i="34"/>
  <c r="Q224" i="34"/>
  <c r="G4" i="42"/>
  <c r="Q241" i="34"/>
  <c r="K4" i="42"/>
  <c r="E244" i="43"/>
  <c r="F362" i="43"/>
  <c r="Q233" i="34"/>
  <c r="Q255" i="34"/>
  <c r="M3" i="42"/>
  <c r="J380" i="41"/>
  <c r="J247" i="41" s="1"/>
  <c r="J348" i="50" s="1"/>
  <c r="Q211" i="34"/>
  <c r="K380" i="41"/>
  <c r="K293" i="41" s="1"/>
  <c r="K388" i="50" s="1"/>
  <c r="Q246" i="34"/>
  <c r="Q260" i="34"/>
  <c r="Q216" i="34"/>
  <c r="Q220" i="34"/>
  <c r="J1882" i="37"/>
  <c r="O263" i="34"/>
  <c r="R263" i="34" s="1"/>
  <c r="Q265" i="34"/>
  <c r="Q221" i="34"/>
  <c r="I1399" i="50"/>
  <c r="L311" i="49"/>
  <c r="Q239" i="34"/>
  <c r="J1884" i="37"/>
  <c r="Q245" i="34"/>
  <c r="M309" i="49"/>
  <c r="M382" i="41"/>
  <c r="BB3" i="58"/>
  <c r="B4" i="58" s="1"/>
  <c r="Q244" i="34"/>
  <c r="L382" i="41"/>
  <c r="Q254" i="34"/>
  <c r="Q262" i="34"/>
  <c r="BB3" i="56"/>
  <c r="B4" i="56" s="1"/>
  <c r="AH4" i="56" s="1"/>
  <c r="I330" i="43"/>
  <c r="I218" i="43" s="1"/>
  <c r="C50" i="9" s="1"/>
  <c r="L1884" i="37"/>
  <c r="BB3" i="57"/>
  <c r="B4" i="57" s="1"/>
  <c r="J391" i="47"/>
  <c r="K330" i="43"/>
  <c r="Q226" i="34"/>
  <c r="Q208" i="34"/>
  <c r="I1882" i="37"/>
  <c r="Q242" i="34"/>
  <c r="L1399" i="50"/>
  <c r="Q227" i="34"/>
  <c r="Q238" i="34"/>
  <c r="K309" i="49"/>
  <c r="Q214" i="34"/>
  <c r="I391" i="47"/>
  <c r="L380" i="41"/>
  <c r="Q250" i="34"/>
  <c r="Q207" i="34"/>
  <c r="O205" i="34"/>
  <c r="R205" i="34" s="1"/>
  <c r="Q236" i="34"/>
  <c r="Q248" i="34"/>
  <c r="Q217" i="34"/>
  <c r="Q230" i="34"/>
  <c r="Q229" i="34"/>
  <c r="K382" i="41"/>
  <c r="L330" i="43"/>
  <c r="I382" i="41"/>
  <c r="Q259" i="34"/>
  <c r="L309" i="49"/>
  <c r="Q261" i="34"/>
  <c r="Q206" i="34"/>
  <c r="Q213" i="34"/>
  <c r="Q235" i="34"/>
  <c r="J1399" i="50"/>
  <c r="O261" i="34"/>
  <c r="R261" i="34" s="1"/>
  <c r="S265" i="34"/>
  <c r="J559" i="42"/>
  <c r="Q247" i="34"/>
  <c r="M393" i="47"/>
  <c r="Q243" i="34"/>
  <c r="Q219" i="34"/>
  <c r="Q251" i="34"/>
  <c r="K391" i="47"/>
  <c r="K561" i="42"/>
  <c r="I559" i="42"/>
  <c r="Q212" i="34"/>
  <c r="M561" i="42"/>
  <c r="K393" i="47"/>
  <c r="Q215" i="34"/>
  <c r="L1882" i="37"/>
  <c r="Q218" i="34"/>
  <c r="J330" i="43"/>
  <c r="J218" i="43" s="1"/>
  <c r="C51" i="9" s="1"/>
  <c r="R265" i="34"/>
  <c r="Q225" i="34"/>
  <c r="S264" i="34"/>
  <c r="Q263" i="34"/>
  <c r="Q264" i="34"/>
  <c r="R264" i="34"/>
  <c r="Q204" i="34"/>
  <c r="M1399" i="50"/>
  <c r="I561" i="42"/>
  <c r="I220" i="43"/>
  <c r="G61" i="9"/>
  <c r="M220" i="43"/>
  <c r="K220" i="43"/>
  <c r="J220" i="43"/>
  <c r="E108" i="50"/>
  <c r="I466" i="42"/>
  <c r="H517" i="42"/>
  <c r="E315" i="49"/>
  <c r="I4" i="42"/>
  <c r="I248" i="50"/>
  <c r="I110" i="41"/>
  <c r="I215" i="47"/>
  <c r="E365" i="43"/>
  <c r="F364" i="43"/>
  <c r="O262" i="34"/>
  <c r="R262" i="34" s="1"/>
  <c r="J1397" i="50"/>
  <c r="I380" i="41"/>
  <c r="L393" i="47"/>
  <c r="K559" i="42"/>
  <c r="J309" i="49"/>
  <c r="M1882" i="37"/>
  <c r="J561" i="42"/>
  <c r="M330" i="43"/>
  <c r="L1397" i="50"/>
  <c r="Q223" i="34"/>
  <c r="O260" i="34"/>
  <c r="R260" i="34" s="1"/>
  <c r="K1884" i="37"/>
  <c r="L561" i="42"/>
  <c r="I309" i="49"/>
  <c r="J382" i="41"/>
  <c r="I393" i="47"/>
  <c r="I1884" i="37"/>
  <c r="L559" i="42"/>
  <c r="L449" i="42" s="1"/>
  <c r="V449" i="42" s="1"/>
  <c r="M1884" i="37"/>
  <c r="M311" i="49"/>
  <c r="O204" i="34"/>
  <c r="R204" i="34" s="1"/>
  <c r="K1397" i="50"/>
  <c r="Q228" i="34"/>
  <c r="J311" i="49"/>
  <c r="Q240" i="34"/>
  <c r="M559" i="42"/>
  <c r="Q252" i="34"/>
  <c r="Q210" i="34"/>
  <c r="L391" i="47"/>
  <c r="Q232" i="34"/>
  <c r="Q249" i="34"/>
  <c r="M391" i="47"/>
  <c r="Q237" i="34"/>
  <c r="Q209" i="34"/>
  <c r="Q222" i="34"/>
  <c r="J16" i="41"/>
  <c r="J72" i="50"/>
  <c r="M325" i="50"/>
  <c r="M209" i="41"/>
  <c r="K325" i="50"/>
  <c r="K209" i="41"/>
  <c r="K333" i="50" s="1"/>
  <c r="D973" i="37"/>
  <c r="D1026" i="37"/>
  <c r="D143" i="42"/>
  <c r="D12" i="42"/>
  <c r="AA781" i="37"/>
  <c r="AA784" i="37"/>
  <c r="S215" i="47"/>
  <c r="V19" i="49"/>
  <c r="M19" i="49" s="1"/>
  <c r="M54" i="49" s="1"/>
  <c r="M67" i="50" s="1"/>
  <c r="U19" i="49"/>
  <c r="L19" i="49" s="1"/>
  <c r="L54" i="49" s="1"/>
  <c r="AA1148" i="37"/>
  <c r="AA1141" i="37"/>
  <c r="AA1145" i="37"/>
  <c r="L417" i="41"/>
  <c r="L302" i="50"/>
  <c r="U17" i="49"/>
  <c r="L17" i="49" s="1"/>
  <c r="L52" i="49" s="1"/>
  <c r="L65" i="50" s="1"/>
  <c r="A209" i="34"/>
  <c r="A208" i="34"/>
  <c r="T24" i="49"/>
  <c r="K24" i="49" s="1"/>
  <c r="K59" i="49" s="1"/>
  <c r="T215" i="47"/>
  <c r="P100" i="42"/>
  <c r="P133" i="42"/>
  <c r="R124" i="42"/>
  <c r="X154" i="49"/>
  <c r="X155" i="49"/>
  <c r="X159" i="49" s="1"/>
  <c r="X160" i="49" s="1"/>
  <c r="X172" i="49" s="1"/>
  <c r="X173" i="49" s="1"/>
  <c r="I311" i="49"/>
  <c r="BB3" i="55"/>
  <c r="B4" i="55" s="1"/>
  <c r="I1397" i="50"/>
  <c r="M1397" i="50"/>
  <c r="J404" i="41"/>
  <c r="K243" i="43"/>
  <c r="Q243" i="43"/>
  <c r="H375" i="37"/>
  <c r="H805" i="50"/>
  <c r="H1847" i="37"/>
  <c r="H1635" i="37"/>
  <c r="H1172" i="50"/>
  <c r="H488" i="50"/>
  <c r="H1839" i="37"/>
  <c r="H1187" i="50"/>
  <c r="H502" i="50"/>
  <c r="H1101" i="50"/>
  <c r="H923" i="37"/>
  <c r="H807" i="50"/>
  <c r="H796" i="50"/>
  <c r="H389" i="42"/>
  <c r="H555" i="37"/>
  <c r="H916" i="50"/>
  <c r="H747" i="50"/>
  <c r="H1471" i="37"/>
  <c r="H1831" i="37"/>
  <c r="H1145" i="50"/>
  <c r="H562" i="50"/>
  <c r="H968" i="50"/>
  <c r="H386" i="42"/>
  <c r="H1463" i="37"/>
  <c r="H543" i="37"/>
  <c r="H1053" i="50"/>
  <c r="H292" i="42"/>
  <c r="H873" i="50"/>
  <c r="H289" i="42"/>
  <c r="H1815" i="37"/>
  <c r="H751" i="50"/>
  <c r="H125" i="42"/>
  <c r="H363" i="37"/>
  <c r="H622" i="50"/>
  <c r="I1719" i="37"/>
  <c r="H629" i="50"/>
  <c r="H355" i="37"/>
  <c r="H1111" i="37"/>
  <c r="H505" i="50"/>
  <c r="H1083" i="37"/>
  <c r="H903" i="37"/>
  <c r="H1398" i="37"/>
  <c r="H735" i="37"/>
  <c r="H1105" i="50"/>
  <c r="E127" i="50" l="1"/>
  <c r="E235" i="50" s="1"/>
  <c r="P235" i="50" s="1"/>
  <c r="P1103" i="50"/>
  <c r="P1107" i="50"/>
  <c r="H1074" i="50"/>
  <c r="S1074" i="50" s="1"/>
  <c r="P1087" i="50"/>
  <c r="P1102" i="50"/>
  <c r="P1080" i="50"/>
  <c r="P1105" i="50"/>
  <c r="P1079" i="50"/>
  <c r="P1093" i="50"/>
  <c r="P1091" i="50"/>
  <c r="R1071" i="50"/>
  <c r="P1083" i="50"/>
  <c r="P1094" i="50"/>
  <c r="P1096" i="50"/>
  <c r="P1100" i="50"/>
  <c r="P1104" i="50"/>
  <c r="P1098" i="50"/>
  <c r="P1082" i="50"/>
  <c r="E1074" i="50"/>
  <c r="P1092" i="50"/>
  <c r="P1099" i="50"/>
  <c r="G378" i="43"/>
  <c r="L217" i="50"/>
  <c r="K216" i="50"/>
  <c r="P104" i="50"/>
  <c r="E403" i="50"/>
  <c r="R259" i="43"/>
  <c r="E124" i="50"/>
  <c r="E232" i="50" s="1"/>
  <c r="P232" i="50" s="1"/>
  <c r="R86" i="42"/>
  <c r="R136" i="42"/>
  <c r="S103" i="50"/>
  <c r="R132" i="42"/>
  <c r="R120" i="42"/>
  <c r="P132" i="42"/>
  <c r="P121" i="42"/>
  <c r="P86" i="42"/>
  <c r="R129" i="42"/>
  <c r="E24" i="42"/>
  <c r="P24" i="42" s="1"/>
  <c r="P96" i="42"/>
  <c r="P125" i="42"/>
  <c r="K400" i="41"/>
  <c r="K407" i="41" s="1"/>
  <c r="I69" i="42"/>
  <c r="P120" i="42"/>
  <c r="P103" i="50"/>
  <c r="P97" i="42"/>
  <c r="E86" i="42"/>
  <c r="E106" i="42" s="1"/>
  <c r="P99" i="42"/>
  <c r="R128" i="42"/>
  <c r="J218" i="50"/>
  <c r="I215" i="50"/>
  <c r="P124" i="42"/>
  <c r="R137" i="42"/>
  <c r="K218" i="50"/>
  <c r="R133" i="42"/>
  <c r="K217" i="50"/>
  <c r="P106" i="42"/>
  <c r="R121" i="42"/>
  <c r="M216" i="50"/>
  <c r="P128" i="42"/>
  <c r="P129" i="42"/>
  <c r="P137" i="42"/>
  <c r="P136" i="42"/>
  <c r="K213" i="50"/>
  <c r="J217" i="50"/>
  <c r="J214" i="50"/>
  <c r="L215" i="50"/>
  <c r="L213" i="50"/>
  <c r="M215" i="50"/>
  <c r="I216" i="50"/>
  <c r="I217" i="50"/>
  <c r="M217" i="50"/>
  <c r="K116" i="41"/>
  <c r="K264" i="50" s="1"/>
  <c r="K399" i="41"/>
  <c r="K406" i="41" s="1"/>
  <c r="K413" i="41" s="1"/>
  <c r="K420" i="41" s="1"/>
  <c r="S107" i="50"/>
  <c r="K176" i="41"/>
  <c r="K181" i="41" s="1"/>
  <c r="K310" i="50" s="1"/>
  <c r="P227" i="42"/>
  <c r="P212" i="42"/>
  <c r="H510" i="50"/>
  <c r="P312" i="41"/>
  <c r="P793" i="37"/>
  <c r="P219" i="42"/>
  <c r="P216" i="42"/>
  <c r="R192" i="42"/>
  <c r="R219" i="42"/>
  <c r="K182" i="49"/>
  <c r="K181" i="50" s="1"/>
  <c r="H1080" i="50"/>
  <c r="G1083" i="50" s="1"/>
  <c r="P228" i="42"/>
  <c r="P211" i="42"/>
  <c r="N1076" i="50"/>
  <c r="P206" i="42"/>
  <c r="K177" i="49"/>
  <c r="K178" i="49" s="1"/>
  <c r="K179" i="50" s="1"/>
  <c r="R227" i="42"/>
  <c r="N1075" i="50"/>
  <c r="D123" i="53"/>
  <c r="T158" i="9" s="1"/>
  <c r="C1153" i="37"/>
  <c r="C1333" i="37" s="1"/>
  <c r="D709" i="50"/>
  <c r="L400" i="41"/>
  <c r="L407" i="41" s="1"/>
  <c r="R212" i="42"/>
  <c r="E228" i="41"/>
  <c r="E232" i="41" s="1"/>
  <c r="P200" i="42"/>
  <c r="I182" i="49"/>
  <c r="I183" i="49" s="1"/>
  <c r="I182" i="50" s="1"/>
  <c r="F123" i="53"/>
  <c r="T160" i="9" s="1"/>
  <c r="P192" i="42"/>
  <c r="D1191" i="50"/>
  <c r="I218" i="50"/>
  <c r="P47" i="41"/>
  <c r="J215" i="50"/>
  <c r="P220" i="42"/>
  <c r="R220" i="42"/>
  <c r="R211" i="42"/>
  <c r="R216" i="42"/>
  <c r="P215" i="42"/>
  <c r="R223" i="42"/>
  <c r="M182" i="49"/>
  <c r="M181" i="50" s="1"/>
  <c r="P223" i="42"/>
  <c r="I213" i="50"/>
  <c r="P36" i="41"/>
  <c r="H1622" i="37"/>
  <c r="H177" i="50"/>
  <c r="P197" i="42"/>
  <c r="R215" i="42"/>
  <c r="E151" i="42"/>
  <c r="H151" i="42" s="1"/>
  <c r="P198" i="42"/>
  <c r="L216" i="50"/>
  <c r="P224" i="42"/>
  <c r="R224" i="42"/>
  <c r="P201" i="42"/>
  <c r="M177" i="49"/>
  <c r="M178" i="49" s="1"/>
  <c r="M179" i="50" s="1"/>
  <c r="C769" i="50"/>
  <c r="Q769" i="50" s="1"/>
  <c r="H690" i="50"/>
  <c r="M218" i="50"/>
  <c r="K215" i="50"/>
  <c r="R228" i="42"/>
  <c r="E192" i="42"/>
  <c r="E206" i="42" s="1"/>
  <c r="J363" i="43"/>
  <c r="I34" i="50" s="1"/>
  <c r="I266" i="41"/>
  <c r="I365" i="50" s="1"/>
  <c r="J176" i="41"/>
  <c r="J180" i="41" s="1"/>
  <c r="P151" i="42"/>
  <c r="J173" i="50"/>
  <c r="J261" i="50"/>
  <c r="J400" i="41"/>
  <c r="J407" i="41" s="1"/>
  <c r="J399" i="41"/>
  <c r="J406" i="41" s="1"/>
  <c r="J413" i="41" s="1"/>
  <c r="J420" i="41" s="1"/>
  <c r="I1191" i="50"/>
  <c r="J177" i="49"/>
  <c r="L234" i="43"/>
  <c r="L116" i="41"/>
  <c r="L264" i="50" s="1"/>
  <c r="L399" i="41"/>
  <c r="L406" i="41" s="1"/>
  <c r="L413" i="41" s="1"/>
  <c r="L420" i="41" s="1"/>
  <c r="L176" i="41"/>
  <c r="AC234" i="42"/>
  <c r="N1155" i="50"/>
  <c r="L39" i="41"/>
  <c r="L49" i="41" s="1"/>
  <c r="I177" i="49"/>
  <c r="I178" i="50" s="1"/>
  <c r="H1782" i="37"/>
  <c r="L24" i="42"/>
  <c r="I13" i="42"/>
  <c r="J183" i="49"/>
  <c r="J182" i="50" s="1"/>
  <c r="I173" i="50"/>
  <c r="C1221" i="50"/>
  <c r="Q1191" i="50"/>
  <c r="L1194" i="50"/>
  <c r="H1199" i="50" s="1"/>
  <c r="I510" i="42"/>
  <c r="M261" i="50"/>
  <c r="M176" i="41"/>
  <c r="M399" i="41"/>
  <c r="M406" i="41" s="1"/>
  <c r="M413" i="41" s="1"/>
  <c r="M420" i="41" s="1"/>
  <c r="M116" i="41"/>
  <c r="M264" i="50" s="1"/>
  <c r="M400" i="41"/>
  <c r="M407" i="41" s="1"/>
  <c r="I399" i="42"/>
  <c r="AC524" i="42"/>
  <c r="M266" i="41"/>
  <c r="M365" i="50" s="1"/>
  <c r="E126" i="50"/>
  <c r="E234" i="50" s="1"/>
  <c r="P234" i="50" s="1"/>
  <c r="S106" i="50"/>
  <c r="L182" i="49"/>
  <c r="K21" i="49"/>
  <c r="K23" i="49" s="1"/>
  <c r="L177" i="49"/>
  <c r="H42" i="49"/>
  <c r="H273" i="37"/>
  <c r="H491" i="50"/>
  <c r="H131" i="49"/>
  <c r="H153" i="50" s="1"/>
  <c r="H670" i="50"/>
  <c r="H141" i="37"/>
  <c r="H813" i="37"/>
  <c r="H989" i="37"/>
  <c r="H523" i="37"/>
  <c r="H1176" i="50"/>
  <c r="I21" i="49"/>
  <c r="I23" i="49" s="1"/>
  <c r="H1242" i="37"/>
  <c r="H372" i="47"/>
  <c r="H1243" i="37"/>
  <c r="H1244" i="50"/>
  <c r="H850" i="50"/>
  <c r="H703" i="37"/>
  <c r="H1423" i="37"/>
  <c r="H44" i="37"/>
  <c r="H283" i="49"/>
  <c r="H204" i="50" s="1"/>
  <c r="H490" i="50"/>
  <c r="H1770" i="37"/>
  <c r="H633" i="37"/>
  <c r="H1529" i="37"/>
  <c r="H1172" i="37"/>
  <c r="H632" i="37"/>
  <c r="H1783" i="37"/>
  <c r="H343" i="37"/>
  <c r="P1146" i="50"/>
  <c r="H522" i="37"/>
  <c r="H324" i="41"/>
  <c r="H416" i="50" s="1"/>
  <c r="H1410" i="37"/>
  <c r="H159" i="49"/>
  <c r="H167" i="50" s="1"/>
  <c r="H732" i="50"/>
  <c r="H129" i="37"/>
  <c r="H375" i="47"/>
  <c r="H910" i="50"/>
  <c r="I56" i="49"/>
  <c r="I69" i="50" s="1"/>
  <c r="B43" i="34"/>
  <c r="H882" i="37"/>
  <c r="H731" i="50"/>
  <c r="H610" i="50"/>
  <c r="H1709" i="37"/>
  <c r="H611" i="50"/>
  <c r="H552" i="50"/>
  <c r="H1231" i="37"/>
  <c r="H1032" i="50"/>
  <c r="H970" i="50"/>
  <c r="H331" i="37"/>
  <c r="H791" i="50"/>
  <c r="H870" i="37"/>
  <c r="H22" i="49"/>
  <c r="H342" i="37"/>
  <c r="H40" i="37"/>
  <c r="H52" i="49"/>
  <c r="H65" i="50" s="1"/>
  <c r="H1031" i="50"/>
  <c r="H17" i="49"/>
  <c r="H672" i="50"/>
  <c r="L266" i="41"/>
  <c r="L365" i="50" s="1"/>
  <c r="H912" i="50"/>
  <c r="H1602" i="37"/>
  <c r="H43" i="37"/>
  <c r="H1230" i="37"/>
  <c r="H730" i="50"/>
  <c r="H1533" i="37"/>
  <c r="H105" i="49"/>
  <c r="H143" i="50" s="1"/>
  <c r="H452" i="37"/>
  <c r="H852" i="50"/>
  <c r="H551" i="50"/>
  <c r="H1771" i="37"/>
  <c r="H1173" i="37"/>
  <c r="H690" i="37"/>
  <c r="H1352" i="37"/>
  <c r="H1591" i="37"/>
  <c r="H510" i="37"/>
  <c r="H1713" i="37"/>
  <c r="H1062" i="37"/>
  <c r="H1353" i="37"/>
  <c r="H671" i="50"/>
  <c r="H1349" i="37"/>
  <c r="H550" i="50"/>
  <c r="H702" i="37"/>
  <c r="H691" i="37"/>
  <c r="H1532" i="37"/>
  <c r="H177" i="49"/>
  <c r="H178" i="50" s="1"/>
  <c r="H106" i="49"/>
  <c r="H144" i="50" s="1"/>
  <c r="H851" i="50"/>
  <c r="H104" i="49"/>
  <c r="H142" i="50" s="1"/>
  <c r="H871" i="37"/>
  <c r="H1603" i="37"/>
  <c r="H1169" i="37"/>
  <c r="H376" i="47"/>
  <c r="H511" i="37"/>
  <c r="H161" i="49"/>
  <c r="H169" i="50" s="1"/>
  <c r="H812" i="37"/>
  <c r="H449" i="37"/>
  <c r="H629" i="37"/>
  <c r="H18" i="49"/>
  <c r="H992" i="37"/>
  <c r="H792" i="50"/>
  <c r="H243" i="49"/>
  <c r="H193" i="50" s="1"/>
  <c r="H1136" i="50"/>
  <c r="H1051" i="37"/>
  <c r="H142" i="37"/>
  <c r="H1422" i="37"/>
  <c r="H57" i="49"/>
  <c r="H70" i="50" s="1"/>
  <c r="H272" i="37"/>
  <c r="H298" i="49"/>
  <c r="H206" i="50" s="1"/>
  <c r="H1030" i="50"/>
  <c r="H911" i="50"/>
  <c r="I72" i="50"/>
  <c r="P1131" i="50"/>
  <c r="P1143" i="50"/>
  <c r="P1119" i="50"/>
  <c r="P1120" i="50"/>
  <c r="P1144" i="50"/>
  <c r="P1127" i="50"/>
  <c r="P1136" i="50"/>
  <c r="P1141" i="50"/>
  <c r="P1134" i="50"/>
  <c r="AC482" i="42"/>
  <c r="P1147" i="50"/>
  <c r="P1122" i="50"/>
  <c r="P1139" i="50"/>
  <c r="P1140" i="50"/>
  <c r="P1138" i="50"/>
  <c r="AC466" i="42"/>
  <c r="P1133" i="50"/>
  <c r="H1114" i="50"/>
  <c r="S1114" i="50" s="1"/>
  <c r="R1111" i="50"/>
  <c r="L48" i="41"/>
  <c r="L137" i="49"/>
  <c r="L156" i="50" s="1"/>
  <c r="H264" i="41"/>
  <c r="H363" i="50" s="1"/>
  <c r="K363" i="43"/>
  <c r="L34" i="50" s="1"/>
  <c r="K423" i="37"/>
  <c r="R235" i="43"/>
  <c r="L72" i="50"/>
  <c r="M1155" i="50"/>
  <c r="L46" i="41"/>
  <c r="K239" i="43"/>
  <c r="L45" i="41"/>
  <c r="L44" i="41"/>
  <c r="L47" i="41"/>
  <c r="M1154" i="50"/>
  <c r="M213" i="50"/>
  <c r="K241" i="43"/>
  <c r="K56" i="49"/>
  <c r="K58" i="49" s="1"/>
  <c r="K161" i="43" s="1"/>
  <c r="L235" i="43"/>
  <c r="R239" i="43"/>
  <c r="Q242" i="43"/>
  <c r="S1071" i="50"/>
  <c r="H160" i="49"/>
  <c r="H168" i="50" s="1"/>
  <c r="H1214" i="50"/>
  <c r="H37" i="49"/>
  <c r="H38" i="49"/>
  <c r="H53" i="49"/>
  <c r="H66" i="50" s="1"/>
  <c r="E1114" i="50"/>
  <c r="P1123" i="50"/>
  <c r="P1142" i="50"/>
  <c r="P1145" i="50"/>
  <c r="H333" i="42"/>
  <c r="R242" i="43"/>
  <c r="J266" i="41"/>
  <c r="J365" i="50" s="1"/>
  <c r="H576" i="50"/>
  <c r="H103" i="50"/>
  <c r="H492" i="50"/>
  <c r="H1712" i="37"/>
  <c r="H453" i="37"/>
  <c r="L541" i="50"/>
  <c r="K266" i="41"/>
  <c r="K365" i="50" s="1"/>
  <c r="H330" i="37"/>
  <c r="H110" i="50"/>
  <c r="M16" i="41"/>
  <c r="M45" i="41" s="1"/>
  <c r="K290" i="37"/>
  <c r="H883" i="37"/>
  <c r="I45" i="41"/>
  <c r="E125" i="50"/>
  <c r="E233" i="50" s="1"/>
  <c r="P233" i="50" s="1"/>
  <c r="H387" i="41"/>
  <c r="H1082" i="37"/>
  <c r="H624" i="50"/>
  <c r="H1180" i="50"/>
  <c r="H374" i="47"/>
  <c r="H1822" i="37"/>
  <c r="H1358" i="37"/>
  <c r="H804" i="50"/>
  <c r="H188" i="41"/>
  <c r="H316" i="50" s="1"/>
  <c r="H138" i="41"/>
  <c r="H277" i="50" s="1"/>
  <c r="H1247" i="50"/>
  <c r="H795" i="50"/>
  <c r="H1666" i="37"/>
  <c r="H225" i="50"/>
  <c r="H1093" i="50"/>
  <c r="H512" i="37"/>
  <c r="L151" i="42"/>
  <c r="H1718" i="37"/>
  <c r="H136" i="42"/>
  <c r="H52" i="37"/>
  <c r="H101" i="41"/>
  <c r="H254" i="50" s="1"/>
  <c r="H41" i="37"/>
  <c r="H131" i="37"/>
  <c r="H258" i="41"/>
  <c r="H359" i="50" s="1"/>
  <c r="H275" i="41"/>
  <c r="H372" i="50" s="1"/>
  <c r="H145" i="41"/>
  <c r="H284" i="50" s="1"/>
  <c r="H235" i="50"/>
  <c r="H1064" i="37"/>
  <c r="H1397" i="37"/>
  <c r="H200" i="37"/>
  <c r="H922" i="37"/>
  <c r="H302" i="41"/>
  <c r="H397" i="50" s="1"/>
  <c r="H197" i="41"/>
  <c r="H323" i="50" s="1"/>
  <c r="H1306" i="37"/>
  <c r="J151" i="42"/>
  <c r="H1138" i="50"/>
  <c r="H288" i="42"/>
  <c r="H257" i="41"/>
  <c r="H358" i="50" s="1"/>
  <c r="H1173" i="50"/>
  <c r="H181" i="41"/>
  <c r="H310" i="50" s="1"/>
  <c r="L406" i="42"/>
  <c r="L455" i="42" s="1"/>
  <c r="L456" i="42" s="1"/>
  <c r="K1287" i="37"/>
  <c r="U1289" i="37" s="1"/>
  <c r="K410" i="37"/>
  <c r="U410" i="37" s="1"/>
  <c r="Q241" i="43"/>
  <c r="K708" i="37"/>
  <c r="U708" i="37" s="1"/>
  <c r="H1619" i="37"/>
  <c r="H317" i="37"/>
  <c r="H1110" i="37"/>
  <c r="H406" i="42"/>
  <c r="L237" i="43"/>
  <c r="J406" i="42"/>
  <c r="J455" i="42" s="1"/>
  <c r="J456" i="42" s="1"/>
  <c r="K496" i="37"/>
  <c r="H364" i="41"/>
  <c r="H442" i="50" s="1"/>
  <c r="K1475" i="37"/>
  <c r="U1477" i="37" s="1"/>
  <c r="I242" i="42"/>
  <c r="M151" i="42"/>
  <c r="H192" i="42"/>
  <c r="K406" i="42"/>
  <c r="K455" i="42" s="1"/>
  <c r="AC143" i="42"/>
  <c r="I151" i="42"/>
  <c r="M242" i="42"/>
  <c r="H66" i="49"/>
  <c r="J242" i="42"/>
  <c r="J21" i="49"/>
  <c r="J23" i="49" s="1"/>
  <c r="E229" i="41"/>
  <c r="E233" i="41" s="1"/>
  <c r="M1114" i="50"/>
  <c r="M1115" i="50"/>
  <c r="M333" i="42"/>
  <c r="M385" i="42" s="1"/>
  <c r="M386" i="42" s="1"/>
  <c r="K242" i="42"/>
  <c r="H1249" i="37"/>
  <c r="H1052" i="37"/>
  <c r="H809" i="37"/>
  <c r="M1075" i="50"/>
  <c r="K333" i="42"/>
  <c r="K385" i="42" s="1"/>
  <c r="K386" i="42" s="1"/>
  <c r="P1181" i="50"/>
  <c r="L242" i="42"/>
  <c r="M1074" i="50"/>
  <c r="L333" i="42"/>
  <c r="L385" i="42" s="1"/>
  <c r="L386" i="42" s="1"/>
  <c r="J333" i="42"/>
  <c r="J385" i="42" s="1"/>
  <c r="J386" i="42" s="1"/>
  <c r="H493" i="37"/>
  <c r="K65" i="50"/>
  <c r="M406" i="42"/>
  <c r="M455" i="42" s="1"/>
  <c r="M456" i="42" s="1"/>
  <c r="P1171" i="50"/>
  <c r="I406" i="42"/>
  <c r="I455" i="42" s="1"/>
  <c r="I456" i="42" s="1"/>
  <c r="H102" i="37"/>
  <c r="Q238" i="43"/>
  <c r="L238" i="43"/>
  <c r="H1096" i="50"/>
  <c r="H972" i="50"/>
  <c r="H343" i="50"/>
  <c r="M89" i="41"/>
  <c r="M244" i="50" s="1"/>
  <c r="Q235" i="43"/>
  <c r="H341" i="50"/>
  <c r="K24" i="42"/>
  <c r="H855" i="50"/>
  <c r="P311" i="41"/>
  <c r="H971" i="50"/>
  <c r="H1590" i="37"/>
  <c r="H269" i="37"/>
  <c r="H612" i="50"/>
  <c r="H1050" i="37"/>
  <c r="H250" i="49"/>
  <c r="H194" i="50" s="1"/>
  <c r="H1063" i="37"/>
  <c r="H130" i="37"/>
  <c r="J24" i="42"/>
  <c r="P105" i="50"/>
  <c r="M24" i="42"/>
  <c r="I333" i="42"/>
  <c r="I385" i="42" s="1"/>
  <c r="I386" i="42" s="1"/>
  <c r="I24" i="42"/>
  <c r="H758" i="37"/>
  <c r="Q236" i="43"/>
  <c r="L236" i="43"/>
  <c r="L481" i="50"/>
  <c r="I47" i="41"/>
  <c r="L214" i="50"/>
  <c r="I44" i="41"/>
  <c r="L218" i="50"/>
  <c r="H1160" i="50"/>
  <c r="G1163" i="50" s="1"/>
  <c r="N1154" i="50"/>
  <c r="I46" i="41"/>
  <c r="I39" i="41"/>
  <c r="I49" i="41" s="1"/>
  <c r="A22" i="10"/>
  <c r="A23" i="10" s="1"/>
  <c r="A24" i="10" s="1"/>
  <c r="A32" i="10" s="1"/>
  <c r="A42" i="10" s="1"/>
  <c r="A43" i="10" s="1"/>
  <c r="A44" i="10" s="1"/>
  <c r="A45" i="10" s="1"/>
  <c r="H1142" i="50"/>
  <c r="H329" i="41"/>
  <c r="H421" i="50" s="1"/>
  <c r="H229" i="50"/>
  <c r="H249" i="41"/>
  <c r="H350" i="50" s="1"/>
  <c r="H722" i="37"/>
  <c r="H102" i="41"/>
  <c r="H255" i="50" s="1"/>
  <c r="H986" i="50"/>
  <c r="H638" i="37"/>
  <c r="H125" i="37"/>
  <c r="H191" i="47"/>
  <c r="H222" i="50"/>
  <c r="H248" i="41"/>
  <c r="H349" i="50" s="1"/>
  <c r="H607" i="50"/>
  <c r="H1350" i="37"/>
  <c r="H746" i="50"/>
  <c r="H310" i="41"/>
  <c r="H404" i="50" s="1"/>
  <c r="H110" i="37"/>
  <c r="H558" i="50"/>
  <c r="H16" i="41"/>
  <c r="H420" i="41"/>
  <c r="H303" i="41"/>
  <c r="H398" i="50" s="1"/>
  <c r="H487" i="50"/>
  <c r="H495" i="50"/>
  <c r="H106" i="42"/>
  <c r="H1618" i="37"/>
  <c r="H132" i="42"/>
  <c r="J481" i="50"/>
  <c r="H518" i="37"/>
  <c r="H385" i="42"/>
  <c r="H296" i="41"/>
  <c r="H391" i="50" s="1"/>
  <c r="H555" i="50"/>
  <c r="H110" i="41"/>
  <c r="H261" i="50" s="1"/>
  <c r="H374" i="37"/>
  <c r="H393" i="41"/>
  <c r="H1439" i="37"/>
  <c r="H1895" i="37"/>
  <c r="H411" i="41"/>
  <c r="K362" i="43"/>
  <c r="L33" i="50" s="1"/>
  <c r="N541" i="50"/>
  <c r="H312" i="41"/>
  <c r="H406" i="50" s="1"/>
  <c r="H572" i="50"/>
  <c r="H92" i="41"/>
  <c r="H247" i="50" s="1"/>
  <c r="H354" i="37"/>
  <c r="H787" i="50"/>
  <c r="H190" i="37"/>
  <c r="H748" i="50"/>
  <c r="I48" i="41"/>
  <c r="I131" i="49"/>
  <c r="I153" i="50" s="1"/>
  <c r="I137" i="49"/>
  <c r="I156" i="50" s="1"/>
  <c r="N481" i="50"/>
  <c r="H343" i="47"/>
  <c r="H1046" i="37"/>
  <c r="H1609" i="37"/>
  <c r="B61" i="34"/>
  <c r="P1167" i="50"/>
  <c r="P1187" i="50"/>
  <c r="H358" i="41"/>
  <c r="H440" i="50" s="1"/>
  <c r="H367" i="41"/>
  <c r="P1174" i="50"/>
  <c r="H1671" i="37"/>
  <c r="J213" i="50"/>
  <c r="P37" i="41"/>
  <c r="P46" i="41"/>
  <c r="M214" i="50"/>
  <c r="J216" i="50"/>
  <c r="K214" i="50"/>
  <c r="H515" i="50"/>
  <c r="H696" i="50"/>
  <c r="P232" i="41"/>
  <c r="P233" i="41"/>
  <c r="P229" i="41"/>
  <c r="P1162" i="50"/>
  <c r="P1183" i="50"/>
  <c r="P228" i="41"/>
  <c r="H352" i="41"/>
  <c r="H438" i="50" s="1"/>
  <c r="P1172" i="50"/>
  <c r="P227" i="41"/>
  <c r="E1154" i="50"/>
  <c r="P1186" i="50"/>
  <c r="P1160" i="50"/>
  <c r="H98" i="49"/>
  <c r="H815" i="50"/>
  <c r="H991" i="37"/>
  <c r="H636" i="50"/>
  <c r="P1176" i="50"/>
  <c r="H935" i="50"/>
  <c r="H630" i="50"/>
  <c r="P1185" i="50"/>
  <c r="P1182" i="50"/>
  <c r="P1173" i="50"/>
  <c r="R1151" i="50"/>
  <c r="P1179" i="50"/>
  <c r="H351" i="41"/>
  <c r="H437" i="50" s="1"/>
  <c r="H988" i="50"/>
  <c r="R237" i="43"/>
  <c r="Q237" i="43"/>
  <c r="P1184" i="50"/>
  <c r="H1154" i="50"/>
  <c r="S1151" i="50" s="1"/>
  <c r="H631" i="37"/>
  <c r="H1056" i="50"/>
  <c r="P1163" i="50"/>
  <c r="H1531" i="37"/>
  <c r="K240" i="43"/>
  <c r="R240" i="43"/>
  <c r="Q240" i="43"/>
  <c r="H344" i="47"/>
  <c r="H350" i="47"/>
  <c r="J161" i="43"/>
  <c r="H686" i="37"/>
  <c r="H86" i="42"/>
  <c r="H1129" i="50"/>
  <c r="H853" i="50"/>
  <c r="H785" i="50"/>
  <c r="H269" i="49"/>
  <c r="H201" i="50" s="1"/>
  <c r="H283" i="42"/>
  <c r="H104" i="50"/>
  <c r="H591" i="37"/>
  <c r="H1246" i="50"/>
  <c r="H222" i="49"/>
  <c r="H190" i="50" s="1"/>
  <c r="H1766" i="37"/>
  <c r="H326" i="37"/>
  <c r="H216" i="49"/>
  <c r="H189" i="50" s="1"/>
  <c r="H147" i="47"/>
  <c r="H965" i="50"/>
  <c r="H878" i="37"/>
  <c r="H98" i="50"/>
  <c r="H529" i="37"/>
  <c r="H315" i="49"/>
  <c r="H1033" i="37"/>
  <c r="H545" i="50"/>
  <c r="H404" i="41"/>
  <c r="H553" i="50"/>
  <c r="H872" i="50"/>
  <c r="H210" i="47"/>
  <c r="H338" i="37"/>
  <c r="H1226" i="37"/>
  <c r="H108" i="50"/>
  <c r="H1586" i="37"/>
  <c r="H58" i="49"/>
  <c r="H71" i="50" s="1"/>
  <c r="H40" i="49"/>
  <c r="H1753" i="37"/>
  <c r="H41" i="49"/>
  <c r="H105" i="50"/>
  <c r="H106" i="50"/>
  <c r="H866" i="37"/>
  <c r="H96" i="50"/>
  <c r="H709" i="37"/>
  <c r="H163" i="47"/>
  <c r="H56" i="49"/>
  <c r="H69" i="50" s="1"/>
  <c r="H506" i="37"/>
  <c r="H54" i="49"/>
  <c r="H67" i="50" s="1"/>
  <c r="H102" i="50"/>
  <c r="H55" i="49"/>
  <c r="H68" i="50" s="1"/>
  <c r="H1237" i="50"/>
  <c r="H19" i="49"/>
  <c r="H698" i="37"/>
  <c r="H97" i="50"/>
  <c r="H94" i="50"/>
  <c r="H181" i="47"/>
  <c r="H1789" i="37"/>
  <c r="H1778" i="37"/>
  <c r="H20" i="49"/>
  <c r="H1033" i="50"/>
  <c r="H1089" i="50"/>
  <c r="H665" i="50"/>
  <c r="H137" i="37"/>
  <c r="H613" i="50"/>
  <c r="H209" i="47"/>
  <c r="H197" i="47"/>
  <c r="H673" i="37"/>
  <c r="H1418" i="37"/>
  <c r="H190" i="47"/>
  <c r="H321" i="47"/>
  <c r="H1069" i="37"/>
  <c r="H21" i="49"/>
  <c r="H113" i="47"/>
  <c r="H973" i="50"/>
  <c r="H288" i="47"/>
  <c r="H100" i="50"/>
  <c r="H733" i="50"/>
  <c r="H493" i="50"/>
  <c r="H1393" i="37"/>
  <c r="H340" i="47"/>
  <c r="H1207" i="50"/>
  <c r="H316" i="49"/>
  <c r="H93" i="50"/>
  <c r="H1406" i="37"/>
  <c r="H1025" i="50"/>
  <c r="H1058" i="37"/>
  <c r="H1598" i="37"/>
  <c r="H845" i="50"/>
  <c r="H208" i="47"/>
  <c r="H107" i="50"/>
  <c r="H189" i="47"/>
  <c r="H605" i="50"/>
  <c r="H349" i="37"/>
  <c r="H889" i="37"/>
  <c r="H43" i="49"/>
  <c r="H341" i="47"/>
  <c r="H379" i="42"/>
  <c r="H798" i="50"/>
  <c r="H485" i="50"/>
  <c r="G362" i="43"/>
  <c r="H362" i="43" s="1"/>
  <c r="E33" i="50" s="1"/>
  <c r="H1041" i="50"/>
  <c r="H1106" i="50"/>
  <c r="H406" i="41"/>
  <c r="H1757" i="37"/>
  <c r="H294" i="41"/>
  <c r="H389" i="50" s="1"/>
  <c r="H23" i="49"/>
  <c r="H242" i="42"/>
  <c r="H414" i="41"/>
  <c r="H1133" i="50"/>
  <c r="H1037" i="37"/>
  <c r="H313" i="37"/>
  <c r="M131" i="49"/>
  <c r="M132" i="49" s="1"/>
  <c r="M154" i="50" s="1"/>
  <c r="H853" i="37"/>
  <c r="H810" i="50"/>
  <c r="H1241" i="50"/>
  <c r="H993" i="37"/>
  <c r="H790" i="50"/>
  <c r="H293" i="49"/>
  <c r="H205" i="50" s="1"/>
  <c r="K236" i="43"/>
  <c r="H206" i="42"/>
  <c r="H128" i="41"/>
  <c r="H269" i="50" s="1"/>
  <c r="H946" i="37"/>
  <c r="H39" i="49"/>
  <c r="H327" i="41"/>
  <c r="H419" i="50" s="1"/>
  <c r="H1035" i="50"/>
  <c r="H107" i="41"/>
  <c r="H258" i="50" s="1"/>
  <c r="H325" i="41"/>
  <c r="H417" i="50" s="1"/>
  <c r="H561" i="50"/>
  <c r="H981" i="50"/>
  <c r="H109" i="50"/>
  <c r="H899" i="37"/>
  <c r="H635" i="50"/>
  <c r="H936" i="50"/>
  <c r="H771" i="37"/>
  <c r="H575" i="50"/>
  <c r="H154" i="49"/>
  <c r="H1171" i="37"/>
  <c r="H451" i="37"/>
  <c r="H756" i="50"/>
  <c r="H875" i="50"/>
  <c r="H876" i="50"/>
  <c r="H361" i="41"/>
  <c r="H441" i="50" s="1"/>
  <c r="H271" i="37"/>
  <c r="H1711" i="37"/>
  <c r="H995" i="50"/>
  <c r="H816" i="50"/>
  <c r="H516" i="50"/>
  <c r="H996" i="50"/>
  <c r="B42" i="34"/>
  <c r="H411" i="37"/>
  <c r="H951" i="37"/>
  <c r="H1131" i="37"/>
  <c r="H695" i="50"/>
  <c r="H225" i="37"/>
  <c r="H1851" i="37"/>
  <c r="M137" i="49"/>
  <c r="M156" i="50" s="1"/>
  <c r="K919" i="37"/>
  <c r="H755" i="50"/>
  <c r="H1055" i="50"/>
  <c r="P1159" i="50"/>
  <c r="H255" i="47"/>
  <c r="H176" i="41"/>
  <c r="H307" i="50" s="1"/>
  <c r="H332" i="41"/>
  <c r="H424" i="50" s="1"/>
  <c r="H135" i="41"/>
  <c r="H274" i="50" s="1"/>
  <c r="H938" i="37"/>
  <c r="H226" i="50"/>
  <c r="H1169" i="50"/>
  <c r="H95" i="50"/>
  <c r="H1267" i="50"/>
  <c r="H905" i="50"/>
  <c r="H673" i="50"/>
  <c r="H274" i="49"/>
  <c r="H202" i="50" s="1"/>
  <c r="H101" i="50"/>
  <c r="H793" i="50"/>
  <c r="H1573" i="37"/>
  <c r="H99" i="50"/>
  <c r="H450" i="42"/>
  <c r="H913" i="50"/>
  <c r="H151" i="37"/>
  <c r="H1429" i="37"/>
  <c r="H725" i="50"/>
  <c r="H1213" i="37"/>
  <c r="H342" i="47"/>
  <c r="H1238" i="37"/>
  <c r="H355" i="41"/>
  <c r="H439" i="50" s="1"/>
  <c r="H42" i="37"/>
  <c r="H403" i="41"/>
  <c r="H1274" i="37"/>
  <c r="H314" i="42"/>
  <c r="H450" i="37"/>
  <c r="H1044" i="50"/>
  <c r="H358" i="37"/>
  <c r="H498" i="50"/>
  <c r="H407" i="41"/>
  <c r="H359" i="37"/>
  <c r="V4" i="59"/>
  <c r="P1180" i="50"/>
  <c r="H811" i="37"/>
  <c r="H1351" i="37"/>
  <c r="H1311" i="37"/>
  <c r="H1094" i="37"/>
  <c r="B41" i="34"/>
  <c r="H39" i="41" s="1"/>
  <c r="H388" i="42"/>
  <c r="H681" i="50"/>
  <c r="C61" i="34"/>
  <c r="H308" i="47"/>
  <c r="H1098" i="50"/>
  <c r="H256" i="41"/>
  <c r="H357" i="50" s="1"/>
  <c r="H332" i="37"/>
  <c r="H309" i="41"/>
  <c r="H403" i="50" s="1"/>
  <c r="H99" i="42"/>
  <c r="H1538" i="37"/>
  <c r="H183" i="49"/>
  <c r="H182" i="50" s="1"/>
  <c r="H164" i="37"/>
  <c r="H93" i="41"/>
  <c r="H248" i="50" s="1"/>
  <c r="H1650" i="37"/>
  <c r="H314" i="41"/>
  <c r="H408" i="50" s="1"/>
  <c r="H1530" i="37"/>
  <c r="H289" i="41"/>
  <c r="H385" i="50" s="1"/>
  <c r="H1478" i="37"/>
  <c r="H930" i="50"/>
  <c r="H750" i="50"/>
  <c r="H1799" i="37"/>
  <c r="H230" i="50"/>
  <c r="H209" i="37"/>
  <c r="H417" i="41"/>
  <c r="H297" i="41"/>
  <c r="H392" i="50" s="1"/>
  <c r="H91" i="41"/>
  <c r="H246" i="50" s="1"/>
  <c r="H766" i="37"/>
  <c r="H461" i="42"/>
  <c r="H227" i="42"/>
  <c r="H269" i="41"/>
  <c r="H368" i="50" s="1"/>
  <c r="H388" i="41"/>
  <c r="H1079" i="37"/>
  <c r="H195" i="41"/>
  <c r="H321" i="50" s="1"/>
  <c r="H738" i="50"/>
  <c r="H205" i="41"/>
  <c r="H329" i="50" s="1"/>
  <c r="H801" i="50"/>
  <c r="H538" i="37"/>
  <c r="H924" i="50"/>
  <c r="H1232" i="37"/>
  <c r="H277" i="41"/>
  <c r="H374" i="50" s="1"/>
  <c r="H907" i="50"/>
  <c r="H678" i="50"/>
  <c r="H921" i="50"/>
  <c r="H1182" i="50"/>
  <c r="H497" i="37"/>
  <c r="H677" i="37"/>
  <c r="H872" i="37"/>
  <c r="H692" i="50"/>
  <c r="H209" i="41"/>
  <c r="H333" i="50" s="1"/>
  <c r="H1126" i="37"/>
  <c r="H165" i="41"/>
  <c r="H298" i="50" s="1"/>
  <c r="H399" i="41"/>
  <c r="H227" i="50"/>
  <c r="H1259" i="37"/>
  <c r="H168" i="37"/>
  <c r="H306" i="42"/>
  <c r="H1794" i="37"/>
  <c r="H344" i="37"/>
  <c r="H276" i="41"/>
  <c r="H373" i="50" s="1"/>
  <c r="H739" i="50"/>
  <c r="H302" i="42"/>
  <c r="H218" i="50"/>
  <c r="H1438" i="37"/>
  <c r="H142" i="41"/>
  <c r="H281" i="50" s="1"/>
  <c r="H84" i="41"/>
  <c r="H241" i="50" s="1"/>
  <c r="H164" i="41"/>
  <c r="H297" i="50" s="1"/>
  <c r="H915" i="50"/>
  <c r="H400" i="41"/>
  <c r="H1178" i="37"/>
  <c r="H559" i="50"/>
  <c r="H914" i="37"/>
  <c r="H539" i="37"/>
  <c r="H317" i="41"/>
  <c r="H411" i="50" s="1"/>
  <c r="H224" i="50"/>
  <c r="H547" i="50"/>
  <c r="H168" i="41"/>
  <c r="H301" i="50" s="1"/>
  <c r="H570" i="50"/>
  <c r="H566" i="50"/>
  <c r="H859" i="50"/>
  <c r="H59" i="49"/>
  <c r="H72" i="50" s="1"/>
  <c r="H213" i="50"/>
  <c r="H215" i="41"/>
  <c r="H337" i="50" s="1"/>
  <c r="H928" i="50"/>
  <c r="H808" i="50"/>
  <c r="H313" i="41"/>
  <c r="H407" i="50" s="1"/>
  <c r="H1282" i="37"/>
  <c r="H331" i="41"/>
  <c r="H423" i="50" s="1"/>
  <c r="H714" i="37"/>
  <c r="H861" i="50"/>
  <c r="H1038" i="50"/>
  <c r="H1217" i="50"/>
  <c r="H99" i="49"/>
  <c r="H139" i="50" s="1"/>
  <c r="H1027" i="50"/>
  <c r="H143" i="37"/>
  <c r="H165" i="37"/>
  <c r="H318" i="42"/>
  <c r="H1486" i="37"/>
  <c r="H333" i="41"/>
  <c r="H425" i="50" s="1"/>
  <c r="H1118" i="37"/>
  <c r="H1258" i="37"/>
  <c r="H285" i="41"/>
  <c r="H381" i="50" s="1"/>
  <c r="H1434" i="37"/>
  <c r="H1087" i="50"/>
  <c r="H278" i="41"/>
  <c r="H375" i="50" s="1"/>
  <c r="H286" i="41"/>
  <c r="H382" i="50" s="1"/>
  <c r="H291" i="42"/>
  <c r="H223" i="50"/>
  <c r="H857" i="37"/>
  <c r="H284" i="41"/>
  <c r="H380" i="50" s="1"/>
  <c r="H196" i="41"/>
  <c r="H322" i="50" s="1"/>
  <c r="H1100" i="50"/>
  <c r="H389" i="41"/>
  <c r="H628" i="50"/>
  <c r="H626" i="50"/>
  <c r="H250" i="41"/>
  <c r="H351" i="50" s="1"/>
  <c r="H219" i="42"/>
  <c r="H564" i="50"/>
  <c r="H297" i="42"/>
  <c r="H578" i="37"/>
  <c r="H1462" i="37"/>
  <c r="H990" i="37"/>
  <c r="H884" i="37"/>
  <c r="H512" i="50"/>
  <c r="H218" i="37"/>
  <c r="H692" i="37"/>
  <c r="H1890" i="37"/>
  <c r="H146" i="49"/>
  <c r="H162" i="50" s="1"/>
  <c r="H562" i="37"/>
  <c r="H300" i="41"/>
  <c r="H395" i="50" s="1"/>
  <c r="H870" i="50"/>
  <c r="H139" i="42"/>
  <c r="H421" i="41"/>
  <c r="H1262" i="37"/>
  <c r="H1052" i="50"/>
  <c r="H215" i="42"/>
  <c r="H148" i="41"/>
  <c r="H287" i="50" s="1"/>
  <c r="H1830" i="37"/>
  <c r="H992" i="50"/>
  <c r="H508" i="50"/>
  <c r="H1798" i="37"/>
  <c r="H301" i="41"/>
  <c r="H396" i="50" s="1"/>
  <c r="H137" i="41"/>
  <c r="H276" i="50" s="1"/>
  <c r="H295" i="41"/>
  <c r="H390" i="50" s="1"/>
  <c r="H1091" i="50"/>
  <c r="H1254" i="37"/>
  <c r="H255" i="41"/>
  <c r="H356" i="50" s="1"/>
  <c r="H630" i="37"/>
  <c r="H858" i="50"/>
  <c r="H984" i="50"/>
  <c r="H632" i="50"/>
  <c r="H735" i="50"/>
  <c r="H194" i="41"/>
  <c r="H320" i="50" s="1"/>
  <c r="H864" i="50"/>
  <c r="H742" i="37"/>
  <c r="H90" i="41"/>
  <c r="H245" i="50" s="1"/>
  <c r="H752" i="50"/>
  <c r="H140" i="41"/>
  <c r="H279" i="50" s="1"/>
  <c r="H504" i="50"/>
  <c r="H998" i="37"/>
  <c r="H458" i="37"/>
  <c r="H198" i="41"/>
  <c r="H324" i="50" s="1"/>
  <c r="H197" i="42"/>
  <c r="H684" i="50"/>
  <c r="H1102" i="50"/>
  <c r="H930" i="37"/>
  <c r="H214" i="50"/>
  <c r="H534" i="37"/>
  <c r="H233" i="50"/>
  <c r="H99" i="41"/>
  <c r="H252" i="50" s="1"/>
  <c r="H211" i="42"/>
  <c r="H667" i="50"/>
  <c r="H542" i="37"/>
  <c r="H252" i="41"/>
  <c r="H353" i="50" s="1"/>
  <c r="H866" i="50"/>
  <c r="H568" i="50"/>
  <c r="H143" i="41"/>
  <c r="H282" i="50" s="1"/>
  <c r="H180" i="41"/>
  <c r="H309" i="50" s="1"/>
  <c r="H141" i="41"/>
  <c r="H280" i="50" s="1"/>
  <c r="H138" i="49"/>
  <c r="H157" i="50" s="1"/>
  <c r="H382" i="37"/>
  <c r="H1298" i="37"/>
  <c r="H391" i="42"/>
  <c r="H812" i="50"/>
  <c r="H304" i="41"/>
  <c r="H399" i="50" s="1"/>
  <c r="H167" i="41"/>
  <c r="H300" i="50" s="1"/>
  <c r="H975" i="50"/>
  <c r="H1048" i="50"/>
  <c r="H1050" i="50"/>
  <c r="H223" i="42"/>
  <c r="H1412" i="37"/>
  <c r="H410" i="41"/>
  <c r="H1170" i="37"/>
  <c r="H1104" i="50"/>
  <c r="H136" i="41"/>
  <c r="H275" i="50" s="1"/>
  <c r="H1078" i="37"/>
  <c r="H1102" i="37"/>
  <c r="H270" i="37"/>
  <c r="H718" i="37"/>
  <c r="H499" i="50"/>
  <c r="H1424" i="37"/>
  <c r="H362" i="37"/>
  <c r="H166" i="41"/>
  <c r="H299" i="50" s="1"/>
  <c r="H621" i="50"/>
  <c r="H1216" i="50"/>
  <c r="H88" i="49"/>
  <c r="H137" i="50" s="1"/>
  <c r="H727" i="50"/>
  <c r="H1217" i="37"/>
  <c r="H586" i="37"/>
  <c r="H1470" i="37"/>
  <c r="H230" i="42"/>
  <c r="H1211" i="50"/>
  <c r="H181" i="37"/>
  <c r="H679" i="50"/>
  <c r="H1239" i="50"/>
  <c r="H455" i="42"/>
  <c r="H1838" i="37"/>
  <c r="H810" i="37"/>
  <c r="H990" i="50"/>
  <c r="H978" i="50"/>
  <c r="H139" i="41"/>
  <c r="H278" i="50" s="1"/>
  <c r="H799" i="50"/>
  <c r="H818" i="37"/>
  <c r="H124" i="42"/>
  <c r="H418" i="41"/>
  <c r="H338" i="41"/>
  <c r="H429" i="50" s="1"/>
  <c r="H619" i="50"/>
  <c r="H686" i="50"/>
  <c r="H1784" i="37"/>
  <c r="H1167" i="50"/>
  <c r="H266" i="41"/>
  <c r="H365" i="50" s="1"/>
  <c r="H1144" i="50"/>
  <c r="H744" i="50"/>
  <c r="H894" i="37"/>
  <c r="H283" i="41"/>
  <c r="H379" i="50" s="1"/>
  <c r="H1710" i="37"/>
  <c r="H373" i="47"/>
  <c r="H675" i="50"/>
  <c r="H311" i="41"/>
  <c r="H405" i="50" s="1"/>
  <c r="H902" i="37"/>
  <c r="H734" i="37"/>
  <c r="H741" i="50"/>
  <c r="H554" i="37"/>
  <c r="H278" i="37"/>
  <c r="H200" i="42"/>
  <c r="H898" i="37"/>
  <c r="H392" i="41"/>
  <c r="H310" i="42"/>
  <c r="H93" i="49"/>
  <c r="H138" i="50" s="1"/>
  <c r="H328" i="41"/>
  <c r="H420" i="50" s="1"/>
  <c r="H215" i="50"/>
  <c r="H127" i="41"/>
  <c r="H268" i="50" s="1"/>
  <c r="H1146" i="50"/>
  <c r="H144" i="41"/>
  <c r="H283" i="50" s="1"/>
  <c r="H334" i="41"/>
  <c r="H426" i="50" s="1"/>
  <c r="H1846" i="37"/>
  <c r="H1074" i="37"/>
  <c r="H1046" i="50"/>
  <c r="H160" i="37"/>
  <c r="H1802" i="37"/>
  <c r="H326" i="41"/>
  <c r="H418" i="50" s="1"/>
  <c r="H254" i="41"/>
  <c r="H355" i="50" s="1"/>
  <c r="H299" i="41"/>
  <c r="H394" i="50" s="1"/>
  <c r="H501" i="50"/>
  <c r="H398" i="37"/>
  <c r="H128" i="42"/>
  <c r="H615" i="50"/>
  <c r="H199" i="41"/>
  <c r="H325" i="50" s="1"/>
  <c r="H1131" i="50"/>
  <c r="H253" i="41"/>
  <c r="H354" i="50" s="1"/>
  <c r="H321" i="42"/>
  <c r="H129" i="41"/>
  <c r="H270" i="50" s="1"/>
  <c r="H298" i="41"/>
  <c r="H393" i="50" s="1"/>
  <c r="H1127" i="50"/>
  <c r="H1184" i="50"/>
  <c r="H919" i="50"/>
  <c r="H1592" i="37"/>
  <c r="H217" i="50"/>
  <c r="H265" i="41"/>
  <c r="H364" i="50" s="1"/>
  <c r="H234" i="50"/>
  <c r="H44" i="49"/>
  <c r="H120" i="42"/>
  <c r="H1209" i="50"/>
  <c r="H524" i="37"/>
  <c r="H688" i="50"/>
  <c r="H221" i="50"/>
  <c r="H847" i="50"/>
  <c r="H506" i="50"/>
  <c r="H216" i="50"/>
  <c r="H232" i="50"/>
  <c r="H137" i="49"/>
  <c r="H156" i="50" s="1"/>
  <c r="H932" i="50"/>
  <c r="H323" i="41"/>
  <c r="H415" i="50" s="1"/>
  <c r="H100" i="41"/>
  <c r="H253" i="50" s="1"/>
  <c r="H979" i="50"/>
  <c r="H1604" i="37"/>
  <c r="H1614" i="37"/>
  <c r="H96" i="42"/>
  <c r="H1634" i="37"/>
  <c r="H1454" i="37"/>
  <c r="H750" i="37"/>
  <c r="H918" i="50"/>
  <c r="H231" i="50"/>
  <c r="H390" i="37"/>
  <c r="H1814" i="37"/>
  <c r="H1290" i="37"/>
  <c r="H926" i="50"/>
  <c r="H182" i="49"/>
  <c r="H181" i="50" s="1"/>
  <c r="H24" i="49"/>
  <c r="H570" i="37"/>
  <c r="H967" i="50"/>
  <c r="H1171" i="50"/>
  <c r="H1140" i="50"/>
  <c r="H1178" i="50"/>
  <c r="H228" i="50"/>
  <c r="H406" i="37"/>
  <c r="H868" i="50"/>
  <c r="H330" i="41"/>
  <c r="H422" i="50" s="1"/>
  <c r="H1642" i="37"/>
  <c r="H1039" i="50"/>
  <c r="H1658" i="37"/>
  <c r="H1772" i="37"/>
  <c r="H155" i="49"/>
  <c r="H164" i="50" s="1"/>
  <c r="H458" i="42"/>
  <c r="H150" i="49"/>
  <c r="H163" i="50" s="1"/>
  <c r="H342" i="50"/>
  <c r="H169" i="41"/>
  <c r="H302" i="50" s="1"/>
  <c r="H1244" i="37"/>
  <c r="H1186" i="50"/>
  <c r="H806" i="50"/>
  <c r="H1442" i="37"/>
  <c r="H704" i="37"/>
  <c r="H618" i="50"/>
  <c r="H413" i="41"/>
  <c r="H1577" i="37"/>
  <c r="H719" i="37"/>
  <c r="K739" i="37"/>
  <c r="K1068" i="37"/>
  <c r="U1068" i="37" s="1"/>
  <c r="K150" i="37"/>
  <c r="U150" i="37" s="1"/>
  <c r="J362" i="43"/>
  <c r="I33" i="50" s="1"/>
  <c r="AX4" i="56"/>
  <c r="K25" i="37"/>
  <c r="U26" i="37" s="1"/>
  <c r="K1608" i="37"/>
  <c r="U1608" i="37" s="1"/>
  <c r="K1893" i="37"/>
  <c r="K798" i="37"/>
  <c r="U799" i="37" s="1"/>
  <c r="K492" i="37"/>
  <c r="U492" i="37" s="1"/>
  <c r="K1777" i="37"/>
  <c r="U1781" i="37" s="1"/>
  <c r="K697" i="37"/>
  <c r="U701" i="37" s="1"/>
  <c r="K1663" i="37"/>
  <c r="U1666" i="37" s="1"/>
  <c r="K1752" i="37"/>
  <c r="U1752" i="37" s="1"/>
  <c r="K124" i="37"/>
  <c r="U128" i="37" s="1"/>
  <c r="K348" i="37"/>
  <c r="U348" i="37" s="1"/>
  <c r="K935" i="37"/>
  <c r="U937" i="37" s="1"/>
  <c r="K316" i="37"/>
  <c r="K312" i="37"/>
  <c r="U312" i="37" s="1"/>
  <c r="K650" i="37"/>
  <c r="K258" i="37"/>
  <c r="U259" i="37" s="1"/>
  <c r="K1261" i="37"/>
  <c r="U1261" i="37" s="1"/>
  <c r="K1765" i="37"/>
  <c r="U1769" i="37" s="1"/>
  <c r="K1130" i="37"/>
  <c r="U1130" i="37" s="1"/>
  <c r="K1143" i="37"/>
  <c r="K950" i="37"/>
  <c r="U950" i="37" s="1"/>
  <c r="K1639" i="37"/>
  <c r="K357" i="37"/>
  <c r="K1835" i="37"/>
  <c r="U1837" i="37" s="1"/>
  <c r="K1405" i="37"/>
  <c r="U1409" i="37" s="1"/>
  <c r="K1490" i="37"/>
  <c r="U1490" i="37" s="1"/>
  <c r="K721" i="37"/>
  <c r="U721" i="37" s="1"/>
  <c r="K242" i="37"/>
  <c r="K1433" i="37"/>
  <c r="U1433" i="37" s="1"/>
  <c r="K1396" i="37"/>
  <c r="K238" i="43"/>
  <c r="K1850" i="37"/>
  <c r="U1850" i="37" s="1"/>
  <c r="K387" i="37"/>
  <c r="U389" i="37" s="1"/>
  <c r="K590" i="37"/>
  <c r="U590" i="37" s="1"/>
  <c r="K1115" i="37"/>
  <c r="U1117" i="37" s="1"/>
  <c r="K215" i="37"/>
  <c r="U218" i="37" s="1"/>
  <c r="K1788" i="37"/>
  <c r="U1788" i="37" s="1"/>
  <c r="K1679" i="37"/>
  <c r="K1730" i="37"/>
  <c r="K713" i="37"/>
  <c r="U713" i="37" s="1"/>
  <c r="K575" i="37"/>
  <c r="U577" i="37" s="1"/>
  <c r="K1216" i="37"/>
  <c r="K559" i="37"/>
  <c r="K1621" i="37"/>
  <c r="U1621" i="37" s="1"/>
  <c r="K672" i="37"/>
  <c r="U672" i="37" s="1"/>
  <c r="K1190" i="37"/>
  <c r="K187" i="37"/>
  <c r="K1576" i="37"/>
  <c r="K893" i="37"/>
  <c r="U893" i="37" s="1"/>
  <c r="K1257" i="37"/>
  <c r="K1499" i="37"/>
  <c r="K1303" i="37"/>
  <c r="U1306" i="37" s="1"/>
  <c r="K1670" i="37"/>
  <c r="U1670" i="37" s="1"/>
  <c r="K599" i="37"/>
  <c r="K783" i="37"/>
  <c r="K1310" i="37"/>
  <c r="U1310" i="37" s="1"/>
  <c r="K1819" i="37"/>
  <c r="K763" i="37"/>
  <c r="U766" i="37" s="1"/>
  <c r="M193" i="41"/>
  <c r="M319" i="50" s="1"/>
  <c r="R236" i="43"/>
  <c r="K1323" i="37"/>
  <c r="K1248" i="37"/>
  <c r="U1248" i="37" s="1"/>
  <c r="J6" i="59"/>
  <c r="M21" i="49"/>
  <c r="M23" i="49" s="1"/>
  <c r="J6" i="56"/>
  <c r="M350" i="41"/>
  <c r="M436" i="50" s="1"/>
  <c r="M214" i="41"/>
  <c r="M336" i="50" s="1"/>
  <c r="M263" i="41"/>
  <c r="M362" i="50" s="1"/>
  <c r="M308" i="41"/>
  <c r="M402" i="50" s="1"/>
  <c r="X4" i="56"/>
  <c r="M134" i="41"/>
  <c r="M273" i="50" s="1"/>
  <c r="M282" i="41"/>
  <c r="M378" i="50" s="1"/>
  <c r="M204" i="41"/>
  <c r="M328" i="50" s="1"/>
  <c r="AD4" i="56"/>
  <c r="M126" i="41"/>
  <c r="M267" i="50" s="1"/>
  <c r="M175" i="41"/>
  <c r="M306" i="50" s="1"/>
  <c r="M322" i="41"/>
  <c r="M414" i="50" s="1"/>
  <c r="M43" i="41"/>
  <c r="M212" i="50" s="1"/>
  <c r="M398" i="41"/>
  <c r="M226" i="41"/>
  <c r="M106" i="41"/>
  <c r="M83" i="41"/>
  <c r="M240" i="50" s="1"/>
  <c r="M33" i="41"/>
  <c r="M15" i="41"/>
  <c r="J350" i="41"/>
  <c r="J436" i="50" s="1"/>
  <c r="M274" i="41"/>
  <c r="M371" i="50" s="1"/>
  <c r="M293" i="41"/>
  <c r="M388" i="50" s="1"/>
  <c r="M163" i="41"/>
  <c r="M296" i="50" s="1"/>
  <c r="M247" i="41"/>
  <c r="M348" i="50" s="1"/>
  <c r="T210" i="47"/>
  <c r="K71" i="50"/>
  <c r="K43" i="41"/>
  <c r="K212" i="50" s="1"/>
  <c r="AX4" i="59"/>
  <c r="AB4" i="59"/>
  <c r="K214" i="41"/>
  <c r="K336" i="50" s="1"/>
  <c r="AT4" i="59"/>
  <c r="AP4" i="59"/>
  <c r="T4" i="59"/>
  <c r="X4" i="59"/>
  <c r="P4" i="59"/>
  <c r="R4" i="59"/>
  <c r="AP4" i="56"/>
  <c r="AN4" i="59"/>
  <c r="AJ4" i="59"/>
  <c r="AT4" i="56"/>
  <c r="Z4" i="59"/>
  <c r="AL4" i="59"/>
  <c r="N4" i="59"/>
  <c r="D206" i="34"/>
  <c r="C207" i="34"/>
  <c r="K83" i="41"/>
  <c r="K240" i="50" s="1"/>
  <c r="AV4" i="59"/>
  <c r="AF4" i="59"/>
  <c r="AD4" i="59"/>
  <c r="J106" i="41"/>
  <c r="R4" i="56"/>
  <c r="K193" i="41"/>
  <c r="K319" i="50" s="1"/>
  <c r="J15" i="41"/>
  <c r="K66" i="37"/>
  <c r="K637" i="37" s="1"/>
  <c r="U637" i="37" s="1"/>
  <c r="K163" i="37"/>
  <c r="K1099" i="37"/>
  <c r="K224" i="37"/>
  <c r="U224" i="37" s="1"/>
  <c r="K1617" i="37"/>
  <c r="K238" i="37"/>
  <c r="K1451" i="37"/>
  <c r="K1081" i="37"/>
  <c r="U1081" i="37" s="1"/>
  <c r="K1613" i="37"/>
  <c r="U1613" i="37" s="1"/>
  <c r="K1572" i="37"/>
  <c r="U1572" i="37" s="1"/>
  <c r="K1631" i="37"/>
  <c r="K583" i="37"/>
  <c r="U586" i="37" s="1"/>
  <c r="K963" i="37"/>
  <c r="K1319" i="37"/>
  <c r="K337" i="37"/>
  <c r="U341" i="37" s="1"/>
  <c r="K865" i="37"/>
  <c r="U869" i="37" s="1"/>
  <c r="K1271" i="37"/>
  <c r="K1123" i="37"/>
  <c r="U1126" i="37" s="1"/>
  <c r="K167" i="37"/>
  <c r="U167" i="37" s="1"/>
  <c r="K603" i="37"/>
  <c r="K1428" i="37"/>
  <c r="U1428" i="37" s="1"/>
  <c r="K1467" i="37"/>
  <c r="U1469" i="37" s="1"/>
  <c r="Q234" i="43"/>
  <c r="R234" i="43"/>
  <c r="K234" i="43"/>
  <c r="J263" i="41"/>
  <c r="J362" i="50" s="1"/>
  <c r="AF4" i="56"/>
  <c r="AB4" i="56"/>
  <c r="K134" i="41"/>
  <c r="K273" i="50" s="1"/>
  <c r="J398" i="41"/>
  <c r="K1107" i="37"/>
  <c r="U1109" i="37" s="1"/>
  <c r="K731" i="37"/>
  <c r="K1073" i="37"/>
  <c r="U1073" i="37" s="1"/>
  <c r="K517" i="37"/>
  <c r="U521" i="37" s="1"/>
  <c r="K1392" i="37"/>
  <c r="U1392" i="37" s="1"/>
  <c r="K537" i="37"/>
  <c r="K1032" i="37"/>
  <c r="U1032" i="37" s="1"/>
  <c r="K403" i="37"/>
  <c r="U406" i="37" s="1"/>
  <c r="K717" i="37"/>
  <c r="K1843" i="37"/>
  <c r="U1846" i="37" s="1"/>
  <c r="K567" i="37"/>
  <c r="U569" i="37" s="1"/>
  <c r="K361" i="37"/>
  <c r="U361" i="37" s="1"/>
  <c r="K551" i="37"/>
  <c r="K1756" i="37"/>
  <c r="K1550" i="37"/>
  <c r="K1518" i="37"/>
  <c r="U1519" i="37" s="1"/>
  <c r="K136" i="37"/>
  <c r="U140" i="37" s="1"/>
  <c r="K1237" i="37"/>
  <c r="U1241" i="37" s="1"/>
  <c r="K877" i="37"/>
  <c r="U881" i="37" s="1"/>
  <c r="K1036" i="37"/>
  <c r="K1698" i="37"/>
  <c r="U1699" i="37" s="1"/>
  <c r="K1683" i="37"/>
  <c r="K1647" i="37"/>
  <c r="U1649" i="37" s="1"/>
  <c r="R238" i="43"/>
  <c r="H1120" i="50"/>
  <c r="G1123" i="50" s="1"/>
  <c r="N1115" i="50"/>
  <c r="N1114" i="50"/>
  <c r="AN4" i="56"/>
  <c r="V4" i="56"/>
  <c r="J282" i="41"/>
  <c r="J378" i="50" s="1"/>
  <c r="J89" i="41"/>
  <c r="J244" i="50" s="1"/>
  <c r="K541" i="37"/>
  <c r="U541" i="37" s="1"/>
  <c r="K1045" i="37"/>
  <c r="U1049" i="37" s="1"/>
  <c r="K1483" i="37"/>
  <c r="U1486" i="37" s="1"/>
  <c r="K1057" i="37"/>
  <c r="U1061" i="37" s="1"/>
  <c r="K1253" i="37"/>
  <c r="U1253" i="37" s="1"/>
  <c r="K1077" i="37"/>
  <c r="K1225" i="37"/>
  <c r="U1229" i="37" s="1"/>
  <c r="K109" i="37"/>
  <c r="K685" i="37"/>
  <c r="U689" i="37" s="1"/>
  <c r="K927" i="37"/>
  <c r="U929" i="37" s="1"/>
  <c r="K1437" i="37"/>
  <c r="K101" i="37"/>
  <c r="U101" i="37" s="1"/>
  <c r="K438" i="37"/>
  <c r="U439" i="37" s="1"/>
  <c r="K1417" i="37"/>
  <c r="U1421" i="37" s="1"/>
  <c r="K1370" i="37"/>
  <c r="K1811" i="37"/>
  <c r="K1801" i="37"/>
  <c r="U1801" i="37" s="1"/>
  <c r="K1827" i="37"/>
  <c r="U1829" i="37" s="1"/>
  <c r="K676" i="37"/>
  <c r="K856" i="37"/>
  <c r="K1158" i="37"/>
  <c r="U1159" i="37" s="1"/>
  <c r="K1797" i="37"/>
  <c r="L147" i="50"/>
  <c r="L131" i="49"/>
  <c r="K137" i="49"/>
  <c r="K148" i="50"/>
  <c r="K131" i="49"/>
  <c r="N1116" i="50"/>
  <c r="T4" i="56"/>
  <c r="AR4" i="56"/>
  <c r="J214" i="41"/>
  <c r="J336" i="50" s="1"/>
  <c r="J274" i="41"/>
  <c r="J371" i="50" s="1"/>
  <c r="J175" i="41"/>
  <c r="J306" i="50" s="1"/>
  <c r="K1655" i="37"/>
  <c r="U1657" i="37" s="1"/>
  <c r="K395" i="37"/>
  <c r="U397" i="37" s="1"/>
  <c r="K1793" i="37"/>
  <c r="U1793" i="37" s="1"/>
  <c r="K897" i="37"/>
  <c r="K755" i="37"/>
  <c r="U757" i="37" s="1"/>
  <c r="K1139" i="37"/>
  <c r="K353" i="37"/>
  <c r="U353" i="37" s="1"/>
  <c r="K1597" i="37"/>
  <c r="U1601" i="37" s="1"/>
  <c r="K1863" i="37"/>
  <c r="K852" i="37"/>
  <c r="U852" i="37" s="1"/>
  <c r="K959" i="37"/>
  <c r="K770" i="37"/>
  <c r="U770" i="37" s="1"/>
  <c r="K325" i="37"/>
  <c r="U329" i="37" s="1"/>
  <c r="K1859" i="37"/>
  <c r="K1295" i="37"/>
  <c r="U1297" i="37" s="1"/>
  <c r="K978" i="37"/>
  <c r="U979" i="37" s="1"/>
  <c r="K1010" i="37"/>
  <c r="K1091" i="37"/>
  <c r="K901" i="37"/>
  <c r="U901" i="37" s="1"/>
  <c r="K533" i="37"/>
  <c r="U533" i="37" s="1"/>
  <c r="K779" i="37"/>
  <c r="K1279" i="37"/>
  <c r="K1503" i="37"/>
  <c r="L21" i="49"/>
  <c r="L23" i="49" s="1"/>
  <c r="AV4" i="56"/>
  <c r="J322" i="41"/>
  <c r="J414" i="50" s="1"/>
  <c r="K505" i="37"/>
  <c r="U509" i="37" s="1"/>
  <c r="K1459" i="37"/>
  <c r="K1212" i="37"/>
  <c r="U1212" i="37" s="1"/>
  <c r="K888" i="37"/>
  <c r="U888" i="37" s="1"/>
  <c r="K911" i="37"/>
  <c r="K528" i="37"/>
  <c r="U528" i="37" s="1"/>
  <c r="K830" i="37"/>
  <c r="K1888" i="37"/>
  <c r="K371" i="37"/>
  <c r="K197" i="37"/>
  <c r="U199" i="37" s="1"/>
  <c r="K1338" i="37"/>
  <c r="U1339" i="37" s="1"/>
  <c r="K618" i="37"/>
  <c r="U619" i="37" s="1"/>
  <c r="K379" i="37"/>
  <c r="K1585" i="37"/>
  <c r="U1589" i="37" s="1"/>
  <c r="K159" i="37"/>
  <c r="U159" i="37" s="1"/>
  <c r="K747" i="37"/>
  <c r="U749" i="37" s="1"/>
  <c r="K178" i="37"/>
  <c r="K470" i="37"/>
  <c r="K419" i="37"/>
  <c r="K206" i="37"/>
  <c r="U208" i="37" s="1"/>
  <c r="K1441" i="37"/>
  <c r="U1441" i="37" s="1"/>
  <c r="J137" i="49"/>
  <c r="J131" i="49"/>
  <c r="J147" i="50"/>
  <c r="AH4" i="59"/>
  <c r="J83" i="41"/>
  <c r="J240" i="50" s="1"/>
  <c r="J226" i="41"/>
  <c r="J43" i="41"/>
  <c r="J212" i="50" s="1"/>
  <c r="J293" i="41"/>
  <c r="J388" i="50" s="1"/>
  <c r="J163" i="41"/>
  <c r="J296" i="50" s="1"/>
  <c r="R260" i="43"/>
  <c r="K260" i="43"/>
  <c r="J98" i="41"/>
  <c r="J251" i="50" s="1"/>
  <c r="J308" i="41"/>
  <c r="J402" i="50" s="1"/>
  <c r="J126" i="41"/>
  <c r="J267" i="50" s="1"/>
  <c r="K274" i="41"/>
  <c r="K371" i="50" s="1"/>
  <c r="K163" i="41"/>
  <c r="K296" i="50" s="1"/>
  <c r="K204" i="41"/>
  <c r="K328" i="50" s="1"/>
  <c r="K322" i="41"/>
  <c r="K414" i="50" s="1"/>
  <c r="K398" i="41"/>
  <c r="K175" i="41"/>
  <c r="K306" i="50" s="1"/>
  <c r="K98" i="41"/>
  <c r="K251" i="50" s="1"/>
  <c r="K126" i="41"/>
  <c r="K267" i="50" s="1"/>
  <c r="K308" i="41"/>
  <c r="K402" i="50" s="1"/>
  <c r="K226" i="41"/>
  <c r="K263" i="41"/>
  <c r="K362" i="50" s="1"/>
  <c r="K350" i="41"/>
  <c r="K436" i="50" s="1"/>
  <c r="K15" i="41"/>
  <c r="K247" i="41"/>
  <c r="K348" i="50" s="1"/>
  <c r="K33" i="41"/>
  <c r="K89" i="41"/>
  <c r="K244" i="50" s="1"/>
  <c r="K282" i="41"/>
  <c r="K378" i="50" s="1"/>
  <c r="K106" i="41"/>
  <c r="T209" i="47"/>
  <c r="T208" i="47"/>
  <c r="T375" i="47"/>
  <c r="J193" i="41"/>
  <c r="J319" i="50" s="1"/>
  <c r="J33" i="41"/>
  <c r="J204" i="41"/>
  <c r="J328" i="50" s="1"/>
  <c r="J134" i="41"/>
  <c r="J273" i="50" s="1"/>
  <c r="D263" i="43"/>
  <c r="E262" i="43"/>
  <c r="P262" i="43" s="1"/>
  <c r="K261" i="43"/>
  <c r="R261" i="43"/>
  <c r="K562" i="42"/>
  <c r="K1400" i="50"/>
  <c r="K394" i="47"/>
  <c r="K383" i="41"/>
  <c r="K312" i="49"/>
  <c r="K333" i="43"/>
  <c r="K58" i="50" s="1"/>
  <c r="K1885" i="37"/>
  <c r="L51" i="49"/>
  <c r="L64" i="50" s="1"/>
  <c r="L16" i="49"/>
  <c r="U16" i="49" s="1"/>
  <c r="L273" i="49"/>
  <c r="L145" i="49"/>
  <c r="L161" i="50" s="1"/>
  <c r="L103" i="49"/>
  <c r="L122" i="49"/>
  <c r="L228" i="49"/>
  <c r="L242" i="49"/>
  <c r="L149" i="49"/>
  <c r="L171" i="49"/>
  <c r="L87" i="49"/>
  <c r="L136" i="50" s="1"/>
  <c r="L166" i="49"/>
  <c r="L171" i="50" s="1"/>
  <c r="L176" i="49"/>
  <c r="L136" i="49"/>
  <c r="L97" i="49"/>
  <c r="L36" i="49"/>
  <c r="L215" i="49"/>
  <c r="L113" i="49"/>
  <c r="L146" i="50" s="1"/>
  <c r="L153" i="49"/>
  <c r="L130" i="49"/>
  <c r="L221" i="49"/>
  <c r="L112" i="50"/>
  <c r="L292" i="49"/>
  <c r="L297" i="49"/>
  <c r="L65" i="49"/>
  <c r="L158" i="49"/>
  <c r="L166" i="50" s="1"/>
  <c r="L92" i="49"/>
  <c r="L141" i="50" s="1"/>
  <c r="L249" i="49"/>
  <c r="L181" i="49"/>
  <c r="L278" i="49"/>
  <c r="L233" i="49"/>
  <c r="V233" i="49" s="1"/>
  <c r="L282" i="49"/>
  <c r="V282" i="49" s="1"/>
  <c r="L92" i="50"/>
  <c r="L268" i="49"/>
  <c r="L200" i="50" s="1"/>
  <c r="U374" i="47"/>
  <c r="K287" i="47"/>
  <c r="K207" i="47"/>
  <c r="U207" i="47" s="1"/>
  <c r="U214" i="47" s="1"/>
  <c r="K274" i="47"/>
  <c r="K371" i="47"/>
  <c r="K349" i="47"/>
  <c r="K254" i="47"/>
  <c r="K128" i="47"/>
  <c r="K307" i="47"/>
  <c r="K94" i="47"/>
  <c r="K180" i="47"/>
  <c r="K188" i="47"/>
  <c r="K239" i="47"/>
  <c r="K155" i="47"/>
  <c r="K121" i="47"/>
  <c r="K146" i="47"/>
  <c r="K196" i="47"/>
  <c r="K313" i="47"/>
  <c r="K112" i="47"/>
  <c r="K320" i="47"/>
  <c r="K31" i="47"/>
  <c r="K280" i="47"/>
  <c r="K162" i="47"/>
  <c r="K339" i="47"/>
  <c r="K145" i="49"/>
  <c r="K161" i="50" s="1"/>
  <c r="K87" i="49"/>
  <c r="K136" i="50" s="1"/>
  <c r="K122" i="49"/>
  <c r="K181" i="49"/>
  <c r="K130" i="49"/>
  <c r="K136" i="49"/>
  <c r="K233" i="49"/>
  <c r="U233" i="49" s="1"/>
  <c r="K249" i="49"/>
  <c r="K242" i="49"/>
  <c r="K166" i="49"/>
  <c r="K171" i="50" s="1"/>
  <c r="K278" i="49"/>
  <c r="K51" i="49"/>
  <c r="K64" i="50" s="1"/>
  <c r="K97" i="49"/>
  <c r="K228" i="49"/>
  <c r="K149" i="49"/>
  <c r="K92" i="50"/>
  <c r="K292" i="49"/>
  <c r="K176" i="49"/>
  <c r="K16" i="49"/>
  <c r="T16" i="49" s="1"/>
  <c r="K273" i="49"/>
  <c r="K112" i="50"/>
  <c r="K282" i="49"/>
  <c r="U282" i="49" s="1"/>
  <c r="K221" i="49"/>
  <c r="K65" i="49"/>
  <c r="K171" i="49"/>
  <c r="K92" i="49"/>
  <c r="K141" i="50" s="1"/>
  <c r="K36" i="49"/>
  <c r="K158" i="49"/>
  <c r="K166" i="50" s="1"/>
  <c r="K215" i="49"/>
  <c r="K153" i="49"/>
  <c r="K113" i="49"/>
  <c r="K146" i="50" s="1"/>
  <c r="K268" i="49"/>
  <c r="K200" i="50" s="1"/>
  <c r="K103" i="49"/>
  <c r="K297" i="49"/>
  <c r="K160" i="43"/>
  <c r="K218" i="43"/>
  <c r="C52" i="9" s="1"/>
  <c r="P4" i="57"/>
  <c r="AX4" i="57"/>
  <c r="AR4" i="57"/>
  <c r="AP4" i="57"/>
  <c r="AD4" i="57"/>
  <c r="AT4" i="57"/>
  <c r="T4" i="57"/>
  <c r="J6" i="57"/>
  <c r="V4" i="57"/>
  <c r="AV4" i="57"/>
  <c r="AB4" i="57"/>
  <c r="AH4" i="57"/>
  <c r="AN4" i="57"/>
  <c r="N4" i="57"/>
  <c r="X4" i="57"/>
  <c r="Z4" i="57"/>
  <c r="AL4" i="57"/>
  <c r="AF4" i="57"/>
  <c r="AJ4" i="57"/>
  <c r="R4" i="57"/>
  <c r="U208" i="47"/>
  <c r="U375" i="47"/>
  <c r="U209" i="47"/>
  <c r="U376" i="47"/>
  <c r="U210" i="47"/>
  <c r="L1467" i="37"/>
  <c r="V1469" i="37" s="1"/>
  <c r="L1752" i="37"/>
  <c r="V1752" i="37" s="1"/>
  <c r="L361" i="37"/>
  <c r="V361" i="37" s="1"/>
  <c r="L717" i="37"/>
  <c r="L950" i="37"/>
  <c r="V950" i="37" s="1"/>
  <c r="L395" i="37"/>
  <c r="V397" i="37" s="1"/>
  <c r="L1797" i="37"/>
  <c r="L559" i="37"/>
  <c r="L685" i="37"/>
  <c r="V689" i="37" s="1"/>
  <c r="L258" i="37"/>
  <c r="V259" i="37" s="1"/>
  <c r="L533" i="37"/>
  <c r="V533" i="37" s="1"/>
  <c r="L1765" i="37"/>
  <c r="V1769" i="37" s="1"/>
  <c r="L187" i="37"/>
  <c r="L852" i="37"/>
  <c r="V852" i="37" s="1"/>
  <c r="L1158" i="37"/>
  <c r="V1159" i="37" s="1"/>
  <c r="L1190" i="37"/>
  <c r="L1647" i="37"/>
  <c r="V1649" i="37" s="1"/>
  <c r="L1483" i="37"/>
  <c r="V1486" i="37" s="1"/>
  <c r="L865" i="37"/>
  <c r="V869" i="37" s="1"/>
  <c r="L1850" i="37"/>
  <c r="V1850" i="37" s="1"/>
  <c r="L978" i="37"/>
  <c r="V979" i="37" s="1"/>
  <c r="L1893" i="37"/>
  <c r="L1788" i="37"/>
  <c r="V1788" i="37" s="1"/>
  <c r="L1370" i="37"/>
  <c r="L1212" i="37"/>
  <c r="V1212" i="37" s="1"/>
  <c r="L1451" i="37"/>
  <c r="L224" i="37"/>
  <c r="V224" i="37" s="1"/>
  <c r="L959" i="37"/>
  <c r="L1433" i="37"/>
  <c r="V1433" i="37" s="1"/>
  <c r="L136" i="37"/>
  <c r="V140" i="37" s="1"/>
  <c r="L1338" i="37"/>
  <c r="V1339" i="37" s="1"/>
  <c r="L1036" i="37"/>
  <c r="L877" i="37"/>
  <c r="V881" i="37" s="1"/>
  <c r="L528" i="37"/>
  <c r="V528" i="37" s="1"/>
  <c r="L1045" i="37"/>
  <c r="V1049" i="37" s="1"/>
  <c r="L747" i="37"/>
  <c r="V749" i="37" s="1"/>
  <c r="L197" i="37"/>
  <c r="V199" i="37" s="1"/>
  <c r="L1631" i="37"/>
  <c r="L919" i="37"/>
  <c r="L603" i="37"/>
  <c r="L1441" i="37"/>
  <c r="V1441" i="37" s="1"/>
  <c r="L387" i="37"/>
  <c r="V389" i="37" s="1"/>
  <c r="L618" i="37"/>
  <c r="V619" i="37" s="1"/>
  <c r="L1057" i="37"/>
  <c r="V1061" i="37" s="1"/>
  <c r="L798" i="37"/>
  <c r="V799" i="37" s="1"/>
  <c r="L672" i="37"/>
  <c r="V672" i="37" s="1"/>
  <c r="L911" i="37"/>
  <c r="L1863" i="37"/>
  <c r="L316" i="37"/>
  <c r="L1617" i="37"/>
  <c r="L438" i="37"/>
  <c r="V439" i="37" s="1"/>
  <c r="L492" i="37"/>
  <c r="V492" i="37" s="1"/>
  <c r="L1107" i="37"/>
  <c r="V1109" i="37" s="1"/>
  <c r="L1237" i="37"/>
  <c r="V1241" i="37" s="1"/>
  <c r="L1655" i="37"/>
  <c r="V1657" i="37" s="1"/>
  <c r="L167" i="37"/>
  <c r="V167" i="37" s="1"/>
  <c r="L1295" i="37"/>
  <c r="V1297" i="37" s="1"/>
  <c r="L755" i="37"/>
  <c r="V757" i="37" s="1"/>
  <c r="L1835" i="37"/>
  <c r="V1837" i="37" s="1"/>
  <c r="L124" i="37"/>
  <c r="V128" i="37" s="1"/>
  <c r="L238" i="37"/>
  <c r="L206" i="37"/>
  <c r="V208" i="37" s="1"/>
  <c r="L312" i="37"/>
  <c r="V312" i="37" s="1"/>
  <c r="L1271" i="37"/>
  <c r="L1115" i="37"/>
  <c r="V1117" i="37" s="1"/>
  <c r="L567" i="37"/>
  <c r="V569" i="37" s="1"/>
  <c r="L1597" i="37"/>
  <c r="V1601" i="37" s="1"/>
  <c r="L1010" i="37"/>
  <c r="L888" i="37"/>
  <c r="V888" i="37" s="1"/>
  <c r="L575" i="37"/>
  <c r="V577" i="37" s="1"/>
  <c r="L1663" i="37"/>
  <c r="V1666" i="37" s="1"/>
  <c r="L897" i="37"/>
  <c r="L353" i="37"/>
  <c r="V353" i="37" s="1"/>
  <c r="L1585" i="37"/>
  <c r="V1589" i="37" s="1"/>
  <c r="L1819" i="37"/>
  <c r="L410" i="37"/>
  <c r="V410" i="37" s="1"/>
  <c r="L697" i="37"/>
  <c r="V701" i="37" s="1"/>
  <c r="L1811" i="37"/>
  <c r="L163" i="37"/>
  <c r="L1310" i="37"/>
  <c r="V1310" i="37" s="1"/>
  <c r="L1417" i="37"/>
  <c r="V1421" i="37" s="1"/>
  <c r="L379" i="37"/>
  <c r="L1130" i="37"/>
  <c r="V1130" i="37" s="1"/>
  <c r="L1428" i="37"/>
  <c r="V1428" i="37" s="1"/>
  <c r="L779" i="37"/>
  <c r="L1287" i="37"/>
  <c r="V1289" i="37" s="1"/>
  <c r="L1459" i="37"/>
  <c r="L551" i="37"/>
  <c r="L1077" i="37"/>
  <c r="L1793" i="37"/>
  <c r="V1793" i="37" s="1"/>
  <c r="L901" i="37"/>
  <c r="V901" i="37" s="1"/>
  <c r="L1576" i="37"/>
  <c r="L25" i="37"/>
  <c r="V26" i="37" s="1"/>
  <c r="L1621" i="37"/>
  <c r="V1621" i="37" s="1"/>
  <c r="L242" i="37"/>
  <c r="L935" i="37"/>
  <c r="V937" i="37" s="1"/>
  <c r="L1859" i="37"/>
  <c r="L1032" i="37"/>
  <c r="V1032" i="37" s="1"/>
  <c r="L1099" i="37"/>
  <c r="L770" i="37"/>
  <c r="V770" i="37" s="1"/>
  <c r="L371" i="37"/>
  <c r="L1683" i="37"/>
  <c r="L1123" i="37"/>
  <c r="V1126" i="37" s="1"/>
  <c r="L943" i="37"/>
  <c r="V946" i="37" s="1"/>
  <c r="L1392" i="37"/>
  <c r="V1392" i="37" s="1"/>
  <c r="L763" i="37"/>
  <c r="V766" i="37" s="1"/>
  <c r="L1303" i="37"/>
  <c r="V1306" i="37" s="1"/>
  <c r="L423" i="37"/>
  <c r="L830" i="37"/>
  <c r="L325" i="37"/>
  <c r="V329" i="37" s="1"/>
  <c r="L599" i="37"/>
  <c r="L1091" i="37"/>
  <c r="L739" i="37"/>
  <c r="L1396" i="37"/>
  <c r="L470" i="37"/>
  <c r="L357" i="37"/>
  <c r="L1139" i="37"/>
  <c r="L541" i="37"/>
  <c r="V541" i="37" s="1"/>
  <c r="L1490" i="37"/>
  <c r="V1490" i="37" s="1"/>
  <c r="L1670" i="37"/>
  <c r="V1670" i="37" s="1"/>
  <c r="L590" i="37"/>
  <c r="V590" i="37" s="1"/>
  <c r="L1639" i="37"/>
  <c r="L505" i="37"/>
  <c r="V509" i="37" s="1"/>
  <c r="L290" i="37"/>
  <c r="L517" i="37"/>
  <c r="V521" i="37" s="1"/>
  <c r="L1248" i="37"/>
  <c r="V1248" i="37" s="1"/>
  <c r="L1698" i="37"/>
  <c r="V1699" i="37" s="1"/>
  <c r="L893" i="37"/>
  <c r="V893" i="37" s="1"/>
  <c r="L1253" i="37"/>
  <c r="V1253" i="37" s="1"/>
  <c r="L650" i="37"/>
  <c r="L337" i="37"/>
  <c r="V341" i="37" s="1"/>
  <c r="L1518" i="37"/>
  <c r="V1519" i="37" s="1"/>
  <c r="L1216" i="37"/>
  <c r="L783" i="37"/>
  <c r="L927" i="37"/>
  <c r="V929" i="37" s="1"/>
  <c r="L1827" i="37"/>
  <c r="V1829" i="37" s="1"/>
  <c r="L721" i="37"/>
  <c r="V721" i="37" s="1"/>
  <c r="L1143" i="37"/>
  <c r="L109" i="37"/>
  <c r="L1756" i="37"/>
  <c r="L419" i="37"/>
  <c r="L713" i="37"/>
  <c r="V713" i="37" s="1"/>
  <c r="L1081" i="37"/>
  <c r="V1081" i="37" s="1"/>
  <c r="L178" i="37"/>
  <c r="L1730" i="37"/>
  <c r="L1323" i="37"/>
  <c r="L1073" i="37"/>
  <c r="V1073" i="37" s="1"/>
  <c r="L1475" i="37"/>
  <c r="V1477" i="37" s="1"/>
  <c r="L1437" i="37"/>
  <c r="L963" i="37"/>
  <c r="L215" i="37"/>
  <c r="V218" i="37" s="1"/>
  <c r="L1225" i="37"/>
  <c r="V1229" i="37" s="1"/>
  <c r="L403" i="37"/>
  <c r="V406" i="37" s="1"/>
  <c r="L1777" i="37"/>
  <c r="V1781" i="37" s="1"/>
  <c r="L1801" i="37"/>
  <c r="V1801" i="37" s="1"/>
  <c r="L1843" i="37"/>
  <c r="V1846" i="37" s="1"/>
  <c r="L1257" i="37"/>
  <c r="L1608" i="37"/>
  <c r="V1608" i="37" s="1"/>
  <c r="L1613" i="37"/>
  <c r="V1613" i="37" s="1"/>
  <c r="L583" i="37"/>
  <c r="V586" i="37" s="1"/>
  <c r="L1572" i="37"/>
  <c r="V1572" i="37" s="1"/>
  <c r="L676" i="37"/>
  <c r="L1261" i="37"/>
  <c r="V1261" i="37" s="1"/>
  <c r="L496" i="37"/>
  <c r="L66" i="37"/>
  <c r="L1503" i="37"/>
  <c r="L159" i="37"/>
  <c r="V159" i="37" s="1"/>
  <c r="L348" i="37"/>
  <c r="V348" i="37" s="1"/>
  <c r="L1888" i="37"/>
  <c r="L1279" i="37"/>
  <c r="L856" i="37"/>
  <c r="L708" i="37"/>
  <c r="V708" i="37" s="1"/>
  <c r="L1405" i="37"/>
  <c r="V1409" i="37" s="1"/>
  <c r="L1499" i="37"/>
  <c r="L537" i="37"/>
  <c r="L150" i="37"/>
  <c r="V150" i="37" s="1"/>
  <c r="L1550" i="37"/>
  <c r="L1068" i="37"/>
  <c r="V1068" i="37" s="1"/>
  <c r="L101" i="37"/>
  <c r="V101" i="37" s="1"/>
  <c r="L1679" i="37"/>
  <c r="L1319" i="37"/>
  <c r="L731" i="37"/>
  <c r="L160" i="43"/>
  <c r="L218" i="43"/>
  <c r="C53" i="9" s="1"/>
  <c r="W209" i="47"/>
  <c r="W208" i="47"/>
  <c r="W376" i="47"/>
  <c r="W375" i="47"/>
  <c r="W210" i="47"/>
  <c r="L308" i="41"/>
  <c r="L402" i="50" s="1"/>
  <c r="L193" i="41"/>
  <c r="L319" i="50" s="1"/>
  <c r="L126" i="41"/>
  <c r="L267" i="50" s="1"/>
  <c r="L43" i="41"/>
  <c r="L212" i="50" s="1"/>
  <c r="L293" i="41"/>
  <c r="L388" i="50" s="1"/>
  <c r="L214" i="41"/>
  <c r="L336" i="50" s="1"/>
  <c r="L15" i="41"/>
  <c r="L398" i="41"/>
  <c r="L282" i="41"/>
  <c r="L378" i="50" s="1"/>
  <c r="L134" i="41"/>
  <c r="L273" i="50" s="1"/>
  <c r="L89" i="41"/>
  <c r="L244" i="50" s="1"/>
  <c r="L226" i="41"/>
  <c r="L163" i="41"/>
  <c r="L296" i="50" s="1"/>
  <c r="L175" i="41"/>
  <c r="L306" i="50" s="1"/>
  <c r="L83" i="41"/>
  <c r="L240" i="50" s="1"/>
  <c r="L322" i="41"/>
  <c r="L414" i="50" s="1"/>
  <c r="L98" i="41"/>
  <c r="L251" i="50" s="1"/>
  <c r="L274" i="41"/>
  <c r="L371" i="50" s="1"/>
  <c r="L106" i="41"/>
  <c r="L263" i="41"/>
  <c r="L362" i="50" s="1"/>
  <c r="L350" i="41"/>
  <c r="L436" i="50" s="1"/>
  <c r="L247" i="41"/>
  <c r="L348" i="50" s="1"/>
  <c r="L33" i="41"/>
  <c r="L204" i="41"/>
  <c r="L328" i="50" s="1"/>
  <c r="M87" i="49"/>
  <c r="M136" i="50" s="1"/>
  <c r="M153" i="49"/>
  <c r="M113" i="49"/>
  <c r="M146" i="50" s="1"/>
  <c r="M36" i="49"/>
  <c r="M149" i="49"/>
  <c r="M97" i="49"/>
  <c r="M292" i="49"/>
  <c r="M249" i="49"/>
  <c r="M282" i="49"/>
  <c r="W282" i="49" s="1"/>
  <c r="M166" i="49"/>
  <c r="M171" i="50" s="1"/>
  <c r="M112" i="50"/>
  <c r="M268" i="49"/>
  <c r="M200" i="50" s="1"/>
  <c r="M273" i="49"/>
  <c r="M242" i="49"/>
  <c r="M65" i="49"/>
  <c r="M278" i="49"/>
  <c r="M215" i="49"/>
  <c r="M233" i="49"/>
  <c r="W233" i="49" s="1"/>
  <c r="M297" i="49"/>
  <c r="M16" i="49"/>
  <c r="V16" i="49" s="1"/>
  <c r="M158" i="49"/>
  <c r="M166" i="50" s="1"/>
  <c r="M51" i="49"/>
  <c r="M64" i="50" s="1"/>
  <c r="M221" i="49"/>
  <c r="M136" i="49"/>
  <c r="M171" i="49"/>
  <c r="M176" i="49"/>
  <c r="M130" i="49"/>
  <c r="M228" i="49"/>
  <c r="M145" i="49"/>
  <c r="M161" i="50" s="1"/>
  <c r="M92" i="50"/>
  <c r="M181" i="49"/>
  <c r="M103" i="49"/>
  <c r="M122" i="49"/>
  <c r="M92" i="49"/>
  <c r="M141" i="50" s="1"/>
  <c r="J239" i="47"/>
  <c r="J339" i="47"/>
  <c r="J188" i="47"/>
  <c r="J31" i="47"/>
  <c r="J128" i="47"/>
  <c r="J155" i="47"/>
  <c r="T374" i="47"/>
  <c r="J313" i="47"/>
  <c r="J274" i="47"/>
  <c r="J280" i="47"/>
  <c r="J254" i="47"/>
  <c r="J307" i="47"/>
  <c r="J121" i="47"/>
  <c r="J94" i="47"/>
  <c r="J207" i="47"/>
  <c r="T207" i="47" s="1"/>
  <c r="T214" i="47" s="1"/>
  <c r="J287" i="47"/>
  <c r="J112" i="47"/>
  <c r="J180" i="47"/>
  <c r="J320" i="47"/>
  <c r="J146" i="47"/>
  <c r="J371" i="47"/>
  <c r="J162" i="47"/>
  <c r="J349" i="47"/>
  <c r="J196" i="47"/>
  <c r="AF4" i="58"/>
  <c r="P4" i="58"/>
  <c r="Z4" i="58"/>
  <c r="AP4" i="58"/>
  <c r="R4" i="58"/>
  <c r="AR4" i="58"/>
  <c r="AX4" i="58"/>
  <c r="T4" i="58"/>
  <c r="AD4" i="58"/>
  <c r="AT4" i="58"/>
  <c r="AH4" i="58"/>
  <c r="V4" i="58"/>
  <c r="AJ4" i="58"/>
  <c r="AV4" i="58"/>
  <c r="J6" i="58"/>
  <c r="X4" i="58"/>
  <c r="AB4" i="58"/>
  <c r="AL4" i="58"/>
  <c r="AN4" i="58"/>
  <c r="N4" i="58"/>
  <c r="I188" i="47"/>
  <c r="S374" i="47"/>
  <c r="I349" i="47"/>
  <c r="I128" i="47"/>
  <c r="I196" i="47"/>
  <c r="I254" i="47"/>
  <c r="I180" i="47"/>
  <c r="I287" i="47"/>
  <c r="I121" i="47"/>
  <c r="I339" i="47"/>
  <c r="I313" i="47"/>
  <c r="I280" i="47"/>
  <c r="I155" i="47"/>
  <c r="I239" i="47"/>
  <c r="I94" i="47"/>
  <c r="I162" i="47"/>
  <c r="I307" i="47"/>
  <c r="I207" i="47"/>
  <c r="S207" i="47" s="1"/>
  <c r="S214" i="47" s="1"/>
  <c r="I371" i="47"/>
  <c r="I274" i="47"/>
  <c r="I112" i="47"/>
  <c r="I146" i="47"/>
  <c r="I31" i="47"/>
  <c r="I320" i="47"/>
  <c r="I893" i="37"/>
  <c r="S893" i="37" s="1"/>
  <c r="I943" i="37"/>
  <c r="S946" i="37" s="1"/>
  <c r="I1143" i="37"/>
  <c r="I1303" i="37"/>
  <c r="S1306" i="37" s="1"/>
  <c r="I1212" i="37"/>
  <c r="S1212" i="37" s="1"/>
  <c r="I1271" i="37"/>
  <c r="I1859" i="37"/>
  <c r="I1370" i="37"/>
  <c r="I1756" i="37"/>
  <c r="I1843" i="37"/>
  <c r="S1846" i="37" s="1"/>
  <c r="I1158" i="37"/>
  <c r="S1159" i="37" s="1"/>
  <c r="I496" i="37"/>
  <c r="I603" i="37"/>
  <c r="I258" i="37"/>
  <c r="S259" i="37" s="1"/>
  <c r="I650" i="37"/>
  <c r="I1225" i="37"/>
  <c r="S1229" i="37" s="1"/>
  <c r="I1670" i="37"/>
  <c r="S1670" i="37" s="1"/>
  <c r="I109" i="37"/>
  <c r="I676" i="37"/>
  <c r="I1730" i="37"/>
  <c r="I312" i="37"/>
  <c r="S312" i="37" s="1"/>
  <c r="I1010" i="37"/>
  <c r="I1287" i="37"/>
  <c r="S1289" i="37" s="1"/>
  <c r="I325" i="37"/>
  <c r="S329" i="37" s="1"/>
  <c r="I1433" i="37"/>
  <c r="S1433" i="37" s="1"/>
  <c r="I747" i="37"/>
  <c r="S749" i="37" s="1"/>
  <c r="I1077" i="37"/>
  <c r="I1585" i="37"/>
  <c r="S1589" i="37" s="1"/>
  <c r="I1827" i="37"/>
  <c r="S1829" i="37" s="1"/>
  <c r="I379" i="37"/>
  <c r="I950" i="37"/>
  <c r="S950" i="37" s="1"/>
  <c r="I224" i="37"/>
  <c r="S224" i="37" s="1"/>
  <c r="I1777" i="37"/>
  <c r="S1781" i="37" s="1"/>
  <c r="I1081" i="37"/>
  <c r="S1081" i="37" s="1"/>
  <c r="I1788" i="37"/>
  <c r="S1788" i="37" s="1"/>
  <c r="I963" i="37"/>
  <c r="I1123" i="37"/>
  <c r="S1126" i="37" s="1"/>
  <c r="I1459" i="37"/>
  <c r="I1396" i="37"/>
  <c r="I978" i="37"/>
  <c r="S979" i="37" s="1"/>
  <c r="I1475" i="37"/>
  <c r="S1477" i="37" s="1"/>
  <c r="I159" i="37"/>
  <c r="S159" i="37" s="1"/>
  <c r="I1437" i="37"/>
  <c r="I1617" i="37"/>
  <c r="I533" i="37"/>
  <c r="S533" i="37" s="1"/>
  <c r="I101" i="37"/>
  <c r="S101" i="37" s="1"/>
  <c r="I685" i="37"/>
  <c r="S689" i="37" s="1"/>
  <c r="I387" i="37"/>
  <c r="S389" i="37" s="1"/>
  <c r="I1073" i="37"/>
  <c r="S1073" i="37" s="1"/>
  <c r="I1130" i="37"/>
  <c r="S1130" i="37" s="1"/>
  <c r="I1467" i="37"/>
  <c r="S1469" i="37" s="1"/>
  <c r="I537" i="37"/>
  <c r="I470" i="37"/>
  <c r="I1698" i="37"/>
  <c r="S1699" i="37" s="1"/>
  <c r="I1621" i="37"/>
  <c r="S1621" i="37" s="1"/>
  <c r="I599" i="37"/>
  <c r="I901" i="37"/>
  <c r="S901" i="37" s="1"/>
  <c r="I1801" i="37"/>
  <c r="S1801" i="37" s="1"/>
  <c r="I590" i="37"/>
  <c r="S590" i="37" s="1"/>
  <c r="I348" i="37"/>
  <c r="S348" i="37" s="1"/>
  <c r="I1323" i="37"/>
  <c r="I290" i="37"/>
  <c r="I1631" i="37"/>
  <c r="I783" i="37"/>
  <c r="I517" i="37"/>
  <c r="S521" i="37" s="1"/>
  <c r="I1483" i="37"/>
  <c r="S1486" i="37" s="1"/>
  <c r="I1099" i="37"/>
  <c r="I1405" i="37"/>
  <c r="S1409" i="37" s="1"/>
  <c r="I541" i="37"/>
  <c r="S541" i="37" s="1"/>
  <c r="I1613" i="37"/>
  <c r="S1613" i="37" s="1"/>
  <c r="I410" i="37"/>
  <c r="S410" i="37" s="1"/>
  <c r="I1499" i="37"/>
  <c r="I721" i="37"/>
  <c r="S721" i="37" s="1"/>
  <c r="I1518" i="37"/>
  <c r="S1519" i="37" s="1"/>
  <c r="I1190" i="37"/>
  <c r="I1319" i="37"/>
  <c r="I1863" i="37"/>
  <c r="I1057" i="37"/>
  <c r="S1061" i="37" s="1"/>
  <c r="I919" i="37"/>
  <c r="I559" i="37"/>
  <c r="I1679" i="37"/>
  <c r="I1819" i="37"/>
  <c r="I1811" i="37"/>
  <c r="I1139" i="37"/>
  <c r="I770" i="37"/>
  <c r="S770" i="37" s="1"/>
  <c r="I403" i="37"/>
  <c r="S406" i="37" s="1"/>
  <c r="I865" i="37"/>
  <c r="S869" i="37" s="1"/>
  <c r="I1115" i="37"/>
  <c r="S1117" i="37" s="1"/>
  <c r="I739" i="37"/>
  <c r="I1639" i="37"/>
  <c r="I1647" i="37"/>
  <c r="S1649" i="37" s="1"/>
  <c r="I911" i="37"/>
  <c r="I1295" i="37"/>
  <c r="S1297" i="37" s="1"/>
  <c r="I1576" i="37"/>
  <c r="I163" i="37"/>
  <c r="I1752" i="37"/>
  <c r="S1752" i="37" s="1"/>
  <c r="I888" i="37"/>
  <c r="S888" i="37" s="1"/>
  <c r="I1036" i="37"/>
  <c r="I927" i="37"/>
  <c r="S929" i="37" s="1"/>
  <c r="I1608" i="37"/>
  <c r="S1608" i="37" s="1"/>
  <c r="I1248" i="37"/>
  <c r="S1248" i="37" s="1"/>
  <c r="I1663" i="37"/>
  <c r="S1666" i="37" s="1"/>
  <c r="I167" i="37"/>
  <c r="S167" i="37" s="1"/>
  <c r="I124" i="37"/>
  <c r="S128" i="37" s="1"/>
  <c r="I1572" i="37"/>
  <c r="S1572" i="37" s="1"/>
  <c r="I763" i="37"/>
  <c r="S766" i="37" s="1"/>
  <c r="I877" i="37"/>
  <c r="S881" i="37" s="1"/>
  <c r="I1451" i="37"/>
  <c r="I419" i="37"/>
  <c r="I798" i="37"/>
  <c r="S799" i="37" s="1"/>
  <c r="I238" i="37"/>
  <c r="I337" i="37"/>
  <c r="S341" i="37" s="1"/>
  <c r="I856" i="37"/>
  <c r="I150" i="37"/>
  <c r="S150" i="37" s="1"/>
  <c r="I779" i="37"/>
  <c r="I1091" i="37"/>
  <c r="I215" i="37"/>
  <c r="S218" i="37" s="1"/>
  <c r="I672" i="37"/>
  <c r="S672" i="37" s="1"/>
  <c r="I1310" i="37"/>
  <c r="S1310" i="37" s="1"/>
  <c r="I353" i="37"/>
  <c r="S353" i="37" s="1"/>
  <c r="I1835" i="37"/>
  <c r="S1837" i="37" s="1"/>
  <c r="I1893" i="37"/>
  <c r="I1490" i="37"/>
  <c r="S1490" i="37" s="1"/>
  <c r="I1392" i="37"/>
  <c r="S1392" i="37" s="1"/>
  <c r="I1107" i="37"/>
  <c r="S1109" i="37" s="1"/>
  <c r="I423" i="37"/>
  <c r="I755" i="37"/>
  <c r="S757" i="37" s="1"/>
  <c r="I1216" i="37"/>
  <c r="I1417" i="37"/>
  <c r="S1421" i="37" s="1"/>
  <c r="I567" i="37"/>
  <c r="S569" i="37" s="1"/>
  <c r="I935" i="37"/>
  <c r="S937" i="37" s="1"/>
  <c r="I1068" i="37"/>
  <c r="S1068" i="37" s="1"/>
  <c r="I1032" i="37"/>
  <c r="S1032" i="37" s="1"/>
  <c r="I1655" i="37"/>
  <c r="S1657" i="37" s="1"/>
  <c r="I505" i="37"/>
  <c r="S509" i="37" s="1"/>
  <c r="I1888" i="37"/>
  <c r="I187" i="37"/>
  <c r="I1261" i="37"/>
  <c r="S1261" i="37" s="1"/>
  <c r="I731" i="37"/>
  <c r="I1597" i="37"/>
  <c r="S1601" i="37" s="1"/>
  <c r="I1550" i="37"/>
  <c r="I1338" i="37"/>
  <c r="S1339" i="37" s="1"/>
  <c r="I1428" i="37"/>
  <c r="S1428" i="37" s="1"/>
  <c r="I583" i="37"/>
  <c r="S586" i="37" s="1"/>
  <c r="I697" i="37"/>
  <c r="S701" i="37" s="1"/>
  <c r="I361" i="37"/>
  <c r="S361" i="37" s="1"/>
  <c r="I66" i="37"/>
  <c r="I708" i="37"/>
  <c r="S708" i="37" s="1"/>
  <c r="I1045" i="37"/>
  <c r="S1049" i="37" s="1"/>
  <c r="I717" i="37"/>
  <c r="I1279" i="37"/>
  <c r="I959" i="37"/>
  <c r="I25" i="37"/>
  <c r="S26" i="37" s="1"/>
  <c r="I1793" i="37"/>
  <c r="S1793" i="37" s="1"/>
  <c r="I551" i="37"/>
  <c r="I371" i="37"/>
  <c r="I1797" i="37"/>
  <c r="I1683" i="37"/>
  <c r="I242" i="37"/>
  <c r="I1503" i="37"/>
  <c r="I197" i="37"/>
  <c r="S199" i="37" s="1"/>
  <c r="I1441" i="37"/>
  <c r="S1441" i="37" s="1"/>
  <c r="I206" i="37"/>
  <c r="S208" i="37" s="1"/>
  <c r="I136" i="37"/>
  <c r="S140" i="37" s="1"/>
  <c r="I1253" i="37"/>
  <c r="S1253" i="37" s="1"/>
  <c r="I852" i="37"/>
  <c r="S852" i="37" s="1"/>
  <c r="I357" i="37"/>
  <c r="I316" i="37"/>
  <c r="I178" i="37"/>
  <c r="I395" i="37"/>
  <c r="S397" i="37" s="1"/>
  <c r="I438" i="37"/>
  <c r="S439" i="37" s="1"/>
  <c r="I1765" i="37"/>
  <c r="S1769" i="37" s="1"/>
  <c r="I1850" i="37"/>
  <c r="S1850" i="37" s="1"/>
  <c r="I492" i="37"/>
  <c r="S492" i="37" s="1"/>
  <c r="I618" i="37"/>
  <c r="S619" i="37" s="1"/>
  <c r="I713" i="37"/>
  <c r="S713" i="37" s="1"/>
  <c r="I1257" i="37"/>
  <c r="I830" i="37"/>
  <c r="I897" i="37"/>
  <c r="I575" i="37"/>
  <c r="S577" i="37" s="1"/>
  <c r="I528" i="37"/>
  <c r="S528" i="37" s="1"/>
  <c r="I1237" i="37"/>
  <c r="S1241" i="37" s="1"/>
  <c r="AL4" i="56"/>
  <c r="Z4" i="56"/>
  <c r="P4" i="56"/>
  <c r="N4" i="56"/>
  <c r="AJ4" i="56"/>
  <c r="J1655" i="37"/>
  <c r="T1657" i="37" s="1"/>
  <c r="J1045" i="37"/>
  <c r="T1049" i="37" s="1"/>
  <c r="J1888" i="37"/>
  <c r="J877" i="37"/>
  <c r="T881" i="37" s="1"/>
  <c r="J1287" i="37"/>
  <c r="T1289" i="37" s="1"/>
  <c r="J911" i="37"/>
  <c r="J1123" i="37"/>
  <c r="T1126" i="37" s="1"/>
  <c r="J551" i="37"/>
  <c r="J1143" i="37"/>
  <c r="J1843" i="37"/>
  <c r="T1846" i="37" s="1"/>
  <c r="J1730" i="37"/>
  <c r="J1827" i="37"/>
  <c r="T1829" i="37" s="1"/>
  <c r="J1850" i="37"/>
  <c r="T1850" i="37" s="1"/>
  <c r="J927" i="37"/>
  <c r="T929" i="37" s="1"/>
  <c r="J1158" i="37"/>
  <c r="T1159" i="37" s="1"/>
  <c r="J1893" i="37"/>
  <c r="J1585" i="37"/>
  <c r="T1589" i="37" s="1"/>
  <c r="J1303" i="37"/>
  <c r="T1306" i="37" s="1"/>
  <c r="J830" i="37"/>
  <c r="J1010" i="37"/>
  <c r="J763" i="37"/>
  <c r="T766" i="37" s="1"/>
  <c r="J950" i="37"/>
  <c r="T950" i="37" s="1"/>
  <c r="J163" i="37"/>
  <c r="J1670" i="37"/>
  <c r="T1670" i="37" s="1"/>
  <c r="J959" i="37"/>
  <c r="J403" i="37"/>
  <c r="T406" i="37" s="1"/>
  <c r="J935" i="37"/>
  <c r="T937" i="37" s="1"/>
  <c r="J618" i="37"/>
  <c r="T619" i="37" s="1"/>
  <c r="J717" i="37"/>
  <c r="J1190" i="37"/>
  <c r="J676" i="37"/>
  <c r="J410" i="37"/>
  <c r="T410" i="37" s="1"/>
  <c r="J290" i="37"/>
  <c r="J492" i="37"/>
  <c r="T492" i="37" s="1"/>
  <c r="J901" i="37"/>
  <c r="T901" i="37" s="1"/>
  <c r="J583" i="37"/>
  <c r="T586" i="37" s="1"/>
  <c r="J1811" i="37"/>
  <c r="J865" i="37"/>
  <c r="T869" i="37" s="1"/>
  <c r="J1338" i="37"/>
  <c r="T1339" i="37" s="1"/>
  <c r="J1310" i="37"/>
  <c r="T1310" i="37" s="1"/>
  <c r="J919" i="37"/>
  <c r="J721" i="37"/>
  <c r="T721" i="37" s="1"/>
  <c r="J1099" i="37"/>
  <c r="J496" i="37"/>
  <c r="J1835" i="37"/>
  <c r="T1837" i="37" s="1"/>
  <c r="J1396" i="37"/>
  <c r="J747" i="37"/>
  <c r="T749" i="37" s="1"/>
  <c r="J1459" i="37"/>
  <c r="J1797" i="37"/>
  <c r="J1081" i="37"/>
  <c r="T1081" i="37" s="1"/>
  <c r="J943" i="37"/>
  <c r="T946" i="37" s="1"/>
  <c r="J567" i="37"/>
  <c r="T569" i="37" s="1"/>
  <c r="J470" i="37"/>
  <c r="J1271" i="37"/>
  <c r="J1765" i="37"/>
  <c r="T1769" i="37" s="1"/>
  <c r="J1752" i="37"/>
  <c r="T1752" i="37" s="1"/>
  <c r="J197" i="37"/>
  <c r="T199" i="37" s="1"/>
  <c r="J348" i="37"/>
  <c r="T348" i="37" s="1"/>
  <c r="J650" i="37"/>
  <c r="J25" i="37"/>
  <c r="T26" i="37" s="1"/>
  <c r="J357" i="37"/>
  <c r="J541" i="37"/>
  <c r="T541" i="37" s="1"/>
  <c r="J1139" i="37"/>
  <c r="J1248" i="37"/>
  <c r="T1248" i="37" s="1"/>
  <c r="J708" i="37"/>
  <c r="T708" i="37" s="1"/>
  <c r="J963" i="37"/>
  <c r="J1608" i="37"/>
  <c r="T1608" i="37" s="1"/>
  <c r="J1295" i="37"/>
  <c r="T1297" i="37" s="1"/>
  <c r="J101" i="37"/>
  <c r="T101" i="37" s="1"/>
  <c r="J1550" i="37"/>
  <c r="J187" i="37"/>
  <c r="J779" i="37"/>
  <c r="J387" i="37"/>
  <c r="T389" i="37" s="1"/>
  <c r="J1212" i="37"/>
  <c r="T1212" i="37" s="1"/>
  <c r="J590" i="37"/>
  <c r="T590" i="37" s="1"/>
  <c r="J1032" i="37"/>
  <c r="T1032" i="37" s="1"/>
  <c r="J856" i="37"/>
  <c r="J1091" i="37"/>
  <c r="J1433" i="37"/>
  <c r="T1433" i="37" s="1"/>
  <c r="J242" i="37"/>
  <c r="J852" i="37"/>
  <c r="T852" i="37" s="1"/>
  <c r="J575" i="37"/>
  <c r="T577" i="37" s="1"/>
  <c r="J1437" i="37"/>
  <c r="J1621" i="37"/>
  <c r="T1621" i="37" s="1"/>
  <c r="J1597" i="37"/>
  <c r="T1601" i="37" s="1"/>
  <c r="J1130" i="37"/>
  <c r="T1130" i="37" s="1"/>
  <c r="J1572" i="37"/>
  <c r="T1572" i="37" s="1"/>
  <c r="J224" i="37"/>
  <c r="T224" i="37" s="1"/>
  <c r="J1679" i="37"/>
  <c r="J1073" i="37"/>
  <c r="T1073" i="37" s="1"/>
  <c r="J1467" i="37"/>
  <c r="T1469" i="37" s="1"/>
  <c r="J66" i="37"/>
  <c r="J215" i="37"/>
  <c r="T218" i="37" s="1"/>
  <c r="J978" i="37"/>
  <c r="T979" i="37" s="1"/>
  <c r="J755" i="37"/>
  <c r="T757" i="37" s="1"/>
  <c r="J770" i="37"/>
  <c r="T770" i="37" s="1"/>
  <c r="J1819" i="37"/>
  <c r="J1631" i="37"/>
  <c r="J505" i="37"/>
  <c r="T509" i="37" s="1"/>
  <c r="J1225" i="37"/>
  <c r="T1229" i="37" s="1"/>
  <c r="J1216" i="37"/>
  <c r="J1499" i="37"/>
  <c r="J1617" i="37"/>
  <c r="J136" i="37"/>
  <c r="T140" i="37" s="1"/>
  <c r="J1370" i="37"/>
  <c r="J1237" i="37"/>
  <c r="T1241" i="37" s="1"/>
  <c r="J238" i="37"/>
  <c r="J672" i="37"/>
  <c r="T672" i="37" s="1"/>
  <c r="J1490" i="37"/>
  <c r="T1490" i="37" s="1"/>
  <c r="J1279" i="37"/>
  <c r="J1663" i="37"/>
  <c r="T1666" i="37" s="1"/>
  <c r="J124" i="37"/>
  <c r="T128" i="37" s="1"/>
  <c r="J1107" i="37"/>
  <c r="T1109" i="37" s="1"/>
  <c r="J1698" i="37"/>
  <c r="T1699" i="37" s="1"/>
  <c r="J685" i="37"/>
  <c r="T689" i="37" s="1"/>
  <c r="J423" i="37"/>
  <c r="J537" i="37"/>
  <c r="J1475" i="37"/>
  <c r="T1477" i="37" s="1"/>
  <c r="J178" i="37"/>
  <c r="J1788" i="37"/>
  <c r="T1788" i="37" s="1"/>
  <c r="J1801" i="37"/>
  <c r="T1801" i="37" s="1"/>
  <c r="J1428" i="37"/>
  <c r="T1428" i="37" s="1"/>
  <c r="J888" i="37"/>
  <c r="T888" i="37" s="1"/>
  <c r="J599" i="37"/>
  <c r="J1417" i="37"/>
  <c r="T1421" i="37" s="1"/>
  <c r="J1859" i="37"/>
  <c r="J1483" i="37"/>
  <c r="T1486" i="37" s="1"/>
  <c r="J1068" i="37"/>
  <c r="T1068" i="37" s="1"/>
  <c r="J379" i="37"/>
  <c r="J1756" i="37"/>
  <c r="J1257" i="37"/>
  <c r="J1683" i="37"/>
  <c r="J739" i="37"/>
  <c r="J1036" i="37"/>
  <c r="J1503" i="37"/>
  <c r="J438" i="37"/>
  <c r="T439" i="37" s="1"/>
  <c r="J1392" i="37"/>
  <c r="T1392" i="37" s="1"/>
  <c r="J528" i="37"/>
  <c r="T528" i="37" s="1"/>
  <c r="J159" i="37"/>
  <c r="T159" i="37" s="1"/>
  <c r="J603" i="37"/>
  <c r="J1261" i="37"/>
  <c r="T1261" i="37" s="1"/>
  <c r="J1777" i="37"/>
  <c r="T1781" i="37" s="1"/>
  <c r="J1057" i="37"/>
  <c r="T1061" i="37" s="1"/>
  <c r="J517" i="37"/>
  <c r="T521" i="37" s="1"/>
  <c r="J1863" i="37"/>
  <c r="J1323" i="37"/>
  <c r="J897" i="37"/>
  <c r="J697" i="37"/>
  <c r="T701" i="37" s="1"/>
  <c r="J109" i="37"/>
  <c r="J1793" i="37"/>
  <c r="T1793" i="37" s="1"/>
  <c r="J371" i="37"/>
  <c r="J312" i="37"/>
  <c r="T312" i="37" s="1"/>
  <c r="J1647" i="37"/>
  <c r="T1649" i="37" s="1"/>
  <c r="J150" i="37"/>
  <c r="T150" i="37" s="1"/>
  <c r="J361" i="37"/>
  <c r="T361" i="37" s="1"/>
  <c r="J1441" i="37"/>
  <c r="T1441" i="37" s="1"/>
  <c r="J1405" i="37"/>
  <c r="T1409" i="37" s="1"/>
  <c r="J395" i="37"/>
  <c r="T397" i="37" s="1"/>
  <c r="J316" i="37"/>
  <c r="J1451" i="37"/>
  <c r="J1319" i="37"/>
  <c r="J325" i="37"/>
  <c r="T329" i="37" s="1"/>
  <c r="J1613" i="37"/>
  <c r="T1613" i="37" s="1"/>
  <c r="J1518" i="37"/>
  <c r="T1519" i="37" s="1"/>
  <c r="J1115" i="37"/>
  <c r="T1117" i="37" s="1"/>
  <c r="J337" i="37"/>
  <c r="T341" i="37" s="1"/>
  <c r="J798" i="37"/>
  <c r="T799" i="37" s="1"/>
  <c r="J713" i="37"/>
  <c r="T713" i="37" s="1"/>
  <c r="J731" i="37"/>
  <c r="J1576" i="37"/>
  <c r="J1639" i="37"/>
  <c r="J1077" i="37"/>
  <c r="J353" i="37"/>
  <c r="T353" i="37" s="1"/>
  <c r="J258" i="37"/>
  <c r="T259" i="37" s="1"/>
  <c r="J419" i="37"/>
  <c r="J533" i="37"/>
  <c r="T533" i="37" s="1"/>
  <c r="J783" i="37"/>
  <c r="J893" i="37"/>
  <c r="T893" i="37" s="1"/>
  <c r="J1253" i="37"/>
  <c r="T1253" i="37" s="1"/>
  <c r="J167" i="37"/>
  <c r="T167" i="37" s="1"/>
  <c r="J559" i="37"/>
  <c r="J206" i="37"/>
  <c r="T208" i="37" s="1"/>
  <c r="I171" i="42"/>
  <c r="I287" i="42"/>
  <c r="I449" i="42"/>
  <c r="S449" i="42" s="1"/>
  <c r="I356" i="42"/>
  <c r="I226" i="42"/>
  <c r="S226" i="42" s="1"/>
  <c r="I378" i="42"/>
  <c r="S378" i="42" s="1"/>
  <c r="I537" i="42"/>
  <c r="I473" i="42"/>
  <c r="I282" i="42"/>
  <c r="S282" i="42" s="1"/>
  <c r="I85" i="42"/>
  <c r="S85" i="42" s="1"/>
  <c r="I317" i="42"/>
  <c r="S317" i="42" s="1"/>
  <c r="I309" i="42"/>
  <c r="S309" i="42" s="1"/>
  <c r="I222" i="42"/>
  <c r="S222" i="42" s="1"/>
  <c r="I119" i="42"/>
  <c r="S119" i="42" s="1"/>
  <c r="I214" i="42"/>
  <c r="S214" i="42" s="1"/>
  <c r="I205" i="42"/>
  <c r="I516" i="42"/>
  <c r="S516" i="42" s="1"/>
  <c r="I53" i="42"/>
  <c r="I135" i="42"/>
  <c r="S135" i="42" s="1"/>
  <c r="I191" i="42"/>
  <c r="S191" i="42" s="1"/>
  <c r="I123" i="42"/>
  <c r="S123" i="42" s="1"/>
  <c r="I332" i="42"/>
  <c r="S332" i="42" s="1"/>
  <c r="I262" i="42"/>
  <c r="I405" i="42"/>
  <c r="S405" i="42" s="1"/>
  <c r="I241" i="42"/>
  <c r="S241" i="42" s="1"/>
  <c r="I150" i="42"/>
  <c r="S150" i="42" s="1"/>
  <c r="I301" i="42"/>
  <c r="S301" i="42" s="1"/>
  <c r="I384" i="42"/>
  <c r="S385" i="42" s="1"/>
  <c r="I105" i="42"/>
  <c r="I296" i="42"/>
  <c r="I23" i="42"/>
  <c r="S23" i="42" s="1"/>
  <c r="I313" i="42"/>
  <c r="S313" i="42" s="1"/>
  <c r="I95" i="42"/>
  <c r="I131" i="42"/>
  <c r="S131" i="42" s="1"/>
  <c r="I218" i="42"/>
  <c r="S218" i="42" s="1"/>
  <c r="I305" i="42"/>
  <c r="S305" i="42" s="1"/>
  <c r="I127" i="42"/>
  <c r="S127" i="42" s="1"/>
  <c r="I495" i="42"/>
  <c r="I196" i="42"/>
  <c r="I210" i="42"/>
  <c r="S210" i="42" s="1"/>
  <c r="I429" i="42"/>
  <c r="I454" i="42"/>
  <c r="S455" i="42" s="1"/>
  <c r="J296" i="42"/>
  <c r="J317" i="42"/>
  <c r="T317" i="42" s="1"/>
  <c r="J150" i="42"/>
  <c r="T150" i="42" s="1"/>
  <c r="J537" i="42"/>
  <c r="J305" i="42"/>
  <c r="T305" i="42" s="1"/>
  <c r="J135" i="42"/>
  <c r="T135" i="42" s="1"/>
  <c r="J85" i="42"/>
  <c r="T85" i="42" s="1"/>
  <c r="J313" i="42"/>
  <c r="T313" i="42" s="1"/>
  <c r="J449" i="42"/>
  <c r="T449" i="42" s="1"/>
  <c r="J473" i="42"/>
  <c r="J332" i="42"/>
  <c r="T332" i="42" s="1"/>
  <c r="J105" i="42"/>
  <c r="J218" i="42"/>
  <c r="T218" i="42" s="1"/>
  <c r="J241" i="42"/>
  <c r="T241" i="42" s="1"/>
  <c r="J23" i="42"/>
  <c r="T23" i="42" s="1"/>
  <c r="J226" i="42"/>
  <c r="T226" i="42" s="1"/>
  <c r="J405" i="42"/>
  <c r="T405" i="42" s="1"/>
  <c r="J123" i="42"/>
  <c r="T123" i="42" s="1"/>
  <c r="J95" i="42"/>
  <c r="J214" i="42"/>
  <c r="T214" i="42" s="1"/>
  <c r="J301" i="42"/>
  <c r="T301" i="42" s="1"/>
  <c r="J222" i="42"/>
  <c r="T222" i="42" s="1"/>
  <c r="J309" i="42"/>
  <c r="T309" i="42" s="1"/>
  <c r="J53" i="42"/>
  <c r="J191" i="42"/>
  <c r="T191" i="42" s="1"/>
  <c r="J429" i="42"/>
  <c r="J262" i="42"/>
  <c r="J378" i="42"/>
  <c r="T378" i="42" s="1"/>
  <c r="J282" i="42"/>
  <c r="T282" i="42" s="1"/>
  <c r="J516" i="42"/>
  <c r="T516" i="42" s="1"/>
  <c r="J205" i="42"/>
  <c r="J356" i="42"/>
  <c r="J196" i="42"/>
  <c r="J454" i="42"/>
  <c r="T455" i="42" s="1"/>
  <c r="J287" i="42"/>
  <c r="J131" i="42"/>
  <c r="T131" i="42" s="1"/>
  <c r="J171" i="42"/>
  <c r="J119" i="42"/>
  <c r="T119" i="42" s="1"/>
  <c r="J384" i="42"/>
  <c r="T385" i="42" s="1"/>
  <c r="J495" i="42"/>
  <c r="J127" i="42"/>
  <c r="T127" i="42" s="1"/>
  <c r="J210" i="42"/>
  <c r="T210" i="42" s="1"/>
  <c r="G379" i="43"/>
  <c r="L1286" i="50"/>
  <c r="L604" i="50"/>
  <c r="L57" i="50"/>
  <c r="L1324" i="50"/>
  <c r="L1354" i="50"/>
  <c r="L1086" i="50"/>
  <c r="L784" i="50"/>
  <c r="L340" i="50"/>
  <c r="L1228" i="50"/>
  <c r="L484" i="50"/>
  <c r="L1367" i="50"/>
  <c r="L596" i="50"/>
  <c r="L1258" i="50"/>
  <c r="L476" i="50"/>
  <c r="L1078" i="50"/>
  <c r="L1166" i="50"/>
  <c r="L896" i="50"/>
  <c r="L1024" i="50"/>
  <c r="L836" i="50"/>
  <c r="L1236" i="50"/>
  <c r="L1126" i="50"/>
  <c r="L1198" i="50"/>
  <c r="L956" i="50"/>
  <c r="L1016" i="50"/>
  <c r="L1278" i="50"/>
  <c r="L1361" i="50"/>
  <c r="L964" i="50"/>
  <c r="L1158" i="50"/>
  <c r="L1118" i="50"/>
  <c r="L1266" i="50"/>
  <c r="L716" i="50"/>
  <c r="L544" i="50"/>
  <c r="L656" i="50"/>
  <c r="L1206" i="50"/>
  <c r="L536" i="50"/>
  <c r="L1317" i="50"/>
  <c r="L724" i="50"/>
  <c r="L1348" i="50"/>
  <c r="L664" i="50"/>
  <c r="L844" i="50"/>
  <c r="L776" i="50"/>
  <c r="L904" i="50"/>
  <c r="J1354" i="50"/>
  <c r="J1118" i="50"/>
  <c r="J776" i="50"/>
  <c r="J1198" i="50"/>
  <c r="J604" i="50"/>
  <c r="J716" i="50"/>
  <c r="J1078" i="50"/>
  <c r="J844" i="50"/>
  <c r="J484" i="50"/>
  <c r="J596" i="50"/>
  <c r="J1367" i="50"/>
  <c r="J1317" i="50"/>
  <c r="J1086" i="50"/>
  <c r="J964" i="50"/>
  <c r="J836" i="50"/>
  <c r="J57" i="50"/>
  <c r="J904" i="50"/>
  <c r="J1206" i="50"/>
  <c r="J1348" i="50"/>
  <c r="J664" i="50"/>
  <c r="J656" i="50"/>
  <c r="J1158" i="50"/>
  <c r="J1258" i="50"/>
  <c r="J1016" i="50"/>
  <c r="J1166" i="50"/>
  <c r="J1266" i="50"/>
  <c r="J724" i="50"/>
  <c r="J1228" i="50"/>
  <c r="J1024" i="50"/>
  <c r="J956" i="50"/>
  <c r="J544" i="50"/>
  <c r="J896" i="50"/>
  <c r="J536" i="50"/>
  <c r="J1286" i="50"/>
  <c r="J1126" i="50"/>
  <c r="J476" i="50"/>
  <c r="J1324" i="50"/>
  <c r="J1236" i="50"/>
  <c r="J784" i="50"/>
  <c r="J1278" i="50"/>
  <c r="J1361" i="50"/>
  <c r="J340" i="50"/>
  <c r="J48" i="41"/>
  <c r="J46" i="41"/>
  <c r="J44" i="41"/>
  <c r="J39" i="41"/>
  <c r="J49" i="41" s="1"/>
  <c r="J45" i="41"/>
  <c r="J47" i="41"/>
  <c r="M180" i="47"/>
  <c r="M254" i="47"/>
  <c r="M339" i="47"/>
  <c r="M371" i="47"/>
  <c r="M280" i="47"/>
  <c r="M155" i="47"/>
  <c r="M121" i="47"/>
  <c r="M207" i="47"/>
  <c r="W207" i="47" s="1"/>
  <c r="W214" i="47" s="1"/>
  <c r="M307" i="47"/>
  <c r="M287" i="47"/>
  <c r="M128" i="47"/>
  <c r="M313" i="47"/>
  <c r="M239" i="47"/>
  <c r="M94" i="47"/>
  <c r="M349" i="47"/>
  <c r="M146" i="47"/>
  <c r="M112" i="47"/>
  <c r="M188" i="47"/>
  <c r="W374" i="47"/>
  <c r="M196" i="47"/>
  <c r="M320" i="47"/>
  <c r="M274" i="47"/>
  <c r="M31" i="47"/>
  <c r="M162" i="47"/>
  <c r="S208" i="47"/>
  <c r="S376" i="47"/>
  <c r="S209" i="47"/>
  <c r="S375" i="47"/>
  <c r="S210" i="47"/>
  <c r="M160" i="43"/>
  <c r="U235" i="43"/>
  <c r="U242" i="43"/>
  <c r="U240" i="43"/>
  <c r="U263" i="43"/>
  <c r="U260" i="43"/>
  <c r="U241" i="43"/>
  <c r="U259" i="43"/>
  <c r="U236" i="43"/>
  <c r="U239" i="43"/>
  <c r="M218" i="43"/>
  <c r="C54" i="9" s="1"/>
  <c r="U262" i="43"/>
  <c r="U264" i="43"/>
  <c r="U237" i="43"/>
  <c r="U243" i="43"/>
  <c r="U261" i="43"/>
  <c r="U238" i="43"/>
  <c r="U265" i="43"/>
  <c r="U234" i="43"/>
  <c r="K72" i="50"/>
  <c r="K16" i="41"/>
  <c r="G364" i="43"/>
  <c r="H364" i="43"/>
  <c r="E35" i="50" s="1"/>
  <c r="K364" i="43"/>
  <c r="L35" i="50" s="1"/>
  <c r="J364" i="43"/>
  <c r="I35" i="50" s="1"/>
  <c r="M333" i="50"/>
  <c r="K340" i="50"/>
  <c r="K776" i="50"/>
  <c r="K1198" i="50"/>
  <c r="K904" i="50"/>
  <c r="K57" i="50"/>
  <c r="K1286" i="50"/>
  <c r="K836" i="50"/>
  <c r="K1266" i="50"/>
  <c r="K1126" i="50"/>
  <c r="K476" i="50"/>
  <c r="K484" i="50"/>
  <c r="K1158" i="50"/>
  <c r="K784" i="50"/>
  <c r="K596" i="50"/>
  <c r="K1317" i="50"/>
  <c r="K1078" i="50"/>
  <c r="K1086" i="50"/>
  <c r="K1348" i="50"/>
  <c r="K1206" i="50"/>
  <c r="K544" i="50"/>
  <c r="K956" i="50"/>
  <c r="K656" i="50"/>
  <c r="K1166" i="50"/>
  <c r="K1016" i="50"/>
  <c r="K1361" i="50"/>
  <c r="K896" i="50"/>
  <c r="K1324" i="50"/>
  <c r="K844" i="50"/>
  <c r="K1118" i="50"/>
  <c r="K716" i="50"/>
  <c r="K1354" i="50"/>
  <c r="K664" i="50"/>
  <c r="K1278" i="50"/>
  <c r="K1228" i="50"/>
  <c r="K1024" i="50"/>
  <c r="K604" i="50"/>
  <c r="K964" i="50"/>
  <c r="K1258" i="50"/>
  <c r="K1236" i="50"/>
  <c r="K536" i="50"/>
  <c r="K724" i="50"/>
  <c r="K1367" i="50"/>
  <c r="I181" i="49"/>
  <c r="I97" i="49"/>
  <c r="I51" i="49"/>
  <c r="I64" i="50" s="1"/>
  <c r="I158" i="49"/>
  <c r="I166" i="50" s="1"/>
  <c r="I16" i="49"/>
  <c r="R16" i="49" s="1"/>
  <c r="I228" i="49"/>
  <c r="I145" i="49"/>
  <c r="I161" i="50" s="1"/>
  <c r="I130" i="49"/>
  <c r="I278" i="49"/>
  <c r="I249" i="49"/>
  <c r="I166" i="49"/>
  <c r="I171" i="50" s="1"/>
  <c r="I233" i="49"/>
  <c r="S233" i="49" s="1"/>
  <c r="I103" i="49"/>
  <c r="I92" i="49"/>
  <c r="I141" i="50" s="1"/>
  <c r="I87" i="49"/>
  <c r="I136" i="50" s="1"/>
  <c r="I149" i="49"/>
  <c r="I176" i="49"/>
  <c r="I292" i="49"/>
  <c r="I136" i="49"/>
  <c r="I282" i="49"/>
  <c r="S282" i="49" s="1"/>
  <c r="I113" i="49"/>
  <c r="I146" i="50" s="1"/>
  <c r="I112" i="50"/>
  <c r="I221" i="49"/>
  <c r="I273" i="49"/>
  <c r="I65" i="49"/>
  <c r="I171" i="49"/>
  <c r="I122" i="49"/>
  <c r="I215" i="49"/>
  <c r="I268" i="49"/>
  <c r="I200" i="50" s="1"/>
  <c r="I242" i="49"/>
  <c r="I153" i="49"/>
  <c r="I92" i="50"/>
  <c r="I297" i="49"/>
  <c r="I36" i="49"/>
  <c r="M590" i="37"/>
  <c r="W590" i="37" s="1"/>
  <c r="M893" i="37"/>
  <c r="W893" i="37" s="1"/>
  <c r="M1081" i="37"/>
  <c r="W1081" i="37" s="1"/>
  <c r="M1475" i="37"/>
  <c r="W1477" i="37" s="1"/>
  <c r="M1099" i="37"/>
  <c r="M567" i="37"/>
  <c r="W569" i="37" s="1"/>
  <c r="M1730" i="37"/>
  <c r="M1045" i="37"/>
  <c r="W1049" i="37" s="1"/>
  <c r="M959" i="37"/>
  <c r="M943" i="37"/>
  <c r="W946" i="37" s="1"/>
  <c r="M1550" i="37"/>
  <c r="M919" i="37"/>
  <c r="M1670" i="37"/>
  <c r="W1670" i="37" s="1"/>
  <c r="M1123" i="37"/>
  <c r="W1126" i="37" s="1"/>
  <c r="M25" i="37"/>
  <c r="W26" i="37" s="1"/>
  <c r="M395" i="37"/>
  <c r="W397" i="37" s="1"/>
  <c r="M1490" i="37"/>
  <c r="W1490" i="37" s="1"/>
  <c r="M325" i="37"/>
  <c r="W329" i="37" s="1"/>
  <c r="M1396" i="37"/>
  <c r="M650" i="37"/>
  <c r="M1303" i="37"/>
  <c r="W1306" i="37" s="1"/>
  <c r="M1437" i="37"/>
  <c r="M312" i="37"/>
  <c r="W312" i="37" s="1"/>
  <c r="M1036" i="37"/>
  <c r="M517" i="37"/>
  <c r="W521" i="37" s="1"/>
  <c r="M708" i="37"/>
  <c r="W708" i="37" s="1"/>
  <c r="M438" i="37"/>
  <c r="W439" i="37" s="1"/>
  <c r="M1608" i="37"/>
  <c r="W1608" i="37" s="1"/>
  <c r="M1793" i="37"/>
  <c r="W1793" i="37" s="1"/>
  <c r="M1190" i="37"/>
  <c r="M1756" i="37"/>
  <c r="M66" i="37"/>
  <c r="M316" i="37"/>
  <c r="M755" i="37"/>
  <c r="W757" i="37" s="1"/>
  <c r="M1107" i="37"/>
  <c r="W1109" i="37" s="1"/>
  <c r="M1655" i="37"/>
  <c r="W1657" i="37" s="1"/>
  <c r="M1010" i="37"/>
  <c r="M1835" i="37"/>
  <c r="W1837" i="37" s="1"/>
  <c r="M1253" i="37"/>
  <c r="W1253" i="37" s="1"/>
  <c r="M1279" i="37"/>
  <c r="M1585" i="37"/>
  <c r="W1589" i="37" s="1"/>
  <c r="M618" i="37"/>
  <c r="W619" i="37" s="1"/>
  <c r="M337" i="37"/>
  <c r="W341" i="37" s="1"/>
  <c r="M242" i="37"/>
  <c r="M1139" i="37"/>
  <c r="M950" i="37"/>
  <c r="W950" i="37" s="1"/>
  <c r="M1451" i="37"/>
  <c r="M1433" i="37"/>
  <c r="W1433" i="37" s="1"/>
  <c r="M1647" i="37"/>
  <c r="W1649" i="37" s="1"/>
  <c r="M387" i="37"/>
  <c r="W389" i="37" s="1"/>
  <c r="M697" i="37"/>
  <c r="W701" i="37" s="1"/>
  <c r="M1459" i="37"/>
  <c r="M1130" i="37"/>
  <c r="W1130" i="37" s="1"/>
  <c r="M290" i="37"/>
  <c r="M371" i="37"/>
  <c r="M537" i="37"/>
  <c r="M361" i="37"/>
  <c r="W361" i="37" s="1"/>
  <c r="M1323" i="37"/>
  <c r="M353" i="37"/>
  <c r="W353" i="37" s="1"/>
  <c r="M783" i="37"/>
  <c r="M167" i="37"/>
  <c r="W167" i="37" s="1"/>
  <c r="M1068" i="37"/>
  <c r="W1068" i="37" s="1"/>
  <c r="M1572" i="37"/>
  <c r="W1572" i="37" s="1"/>
  <c r="M1248" i="37"/>
  <c r="W1248" i="37" s="1"/>
  <c r="M348" i="37"/>
  <c r="W348" i="37" s="1"/>
  <c r="M888" i="37"/>
  <c r="W888" i="37" s="1"/>
  <c r="M1850" i="37"/>
  <c r="W1850" i="37" s="1"/>
  <c r="M551" i="37"/>
  <c r="M1257" i="37"/>
  <c r="M1819" i="37"/>
  <c r="M124" i="37"/>
  <c r="W128" i="37" s="1"/>
  <c r="M1683" i="37"/>
  <c r="M935" i="37"/>
  <c r="W937" i="37" s="1"/>
  <c r="M856" i="37"/>
  <c r="M1499" i="37"/>
  <c r="M528" i="37"/>
  <c r="W528" i="37" s="1"/>
  <c r="M1417" i="37"/>
  <c r="W1421" i="37" s="1"/>
  <c r="M770" i="37"/>
  <c r="W770" i="37" s="1"/>
  <c r="M685" i="37"/>
  <c r="W689" i="37" s="1"/>
  <c r="M1216" i="37"/>
  <c r="M101" i="37"/>
  <c r="W101" i="37" s="1"/>
  <c r="M379" i="37"/>
  <c r="M1679" i="37"/>
  <c r="M731" i="37"/>
  <c r="M1158" i="37"/>
  <c r="W1159" i="37" s="1"/>
  <c r="M1225" i="37"/>
  <c r="W1229" i="37" s="1"/>
  <c r="M911" i="37"/>
  <c r="M1639" i="37"/>
  <c r="M978" i="37"/>
  <c r="W979" i="37" s="1"/>
  <c r="M357" i="37"/>
  <c r="M1617" i="37"/>
  <c r="M672" i="37"/>
  <c r="W672" i="37" s="1"/>
  <c r="M1271" i="37"/>
  <c r="M1765" i="37"/>
  <c r="W1769" i="37" s="1"/>
  <c r="M1613" i="37"/>
  <c r="W1613" i="37" s="1"/>
  <c r="M1503" i="37"/>
  <c r="M1777" i="37"/>
  <c r="W1781" i="37" s="1"/>
  <c r="M1077" i="37"/>
  <c r="M1663" i="37"/>
  <c r="W1666" i="37" s="1"/>
  <c r="M1467" i="37"/>
  <c r="W1469" i="37" s="1"/>
  <c r="M533" i="37"/>
  <c r="W533" i="37" s="1"/>
  <c r="M583" i="37"/>
  <c r="W586" i="37" s="1"/>
  <c r="M1518" i="37"/>
  <c r="W1519" i="37" s="1"/>
  <c r="M1441" i="37"/>
  <c r="W1441" i="37" s="1"/>
  <c r="M178" i="37"/>
  <c r="M852" i="37"/>
  <c r="W852" i="37" s="1"/>
  <c r="M1392" i="37"/>
  <c r="W1392" i="37" s="1"/>
  <c r="M1576" i="37"/>
  <c r="M206" i="37"/>
  <c r="W208" i="37" s="1"/>
  <c r="M109" i="37"/>
  <c r="M258" i="37"/>
  <c r="W259" i="37" s="1"/>
  <c r="M575" i="37"/>
  <c r="W577" i="37" s="1"/>
  <c r="M1752" i="37"/>
  <c r="W1752" i="37" s="1"/>
  <c r="M410" i="37"/>
  <c r="W410" i="37" s="1"/>
  <c r="M1428" i="37"/>
  <c r="W1428" i="37" s="1"/>
  <c r="M1261" i="37"/>
  <c r="W1261" i="37" s="1"/>
  <c r="M224" i="37"/>
  <c r="W224" i="37" s="1"/>
  <c r="M559" i="37"/>
  <c r="M215" i="37"/>
  <c r="W218" i="37" s="1"/>
  <c r="M505" i="37"/>
  <c r="W509" i="37" s="1"/>
  <c r="M1863" i="37"/>
  <c r="M1370" i="37"/>
  <c r="M676" i="37"/>
  <c r="M470" i="37"/>
  <c r="M159" i="37"/>
  <c r="W159" i="37" s="1"/>
  <c r="M1319" i="37"/>
  <c r="M599" i="37"/>
  <c r="M1631" i="37"/>
  <c r="M1338" i="37"/>
  <c r="W1339" i="37" s="1"/>
  <c r="M197" i="37"/>
  <c r="W199" i="37" s="1"/>
  <c r="M1310" i="37"/>
  <c r="W1310" i="37" s="1"/>
  <c r="M403" i="37"/>
  <c r="W406" i="37" s="1"/>
  <c r="M1811" i="37"/>
  <c r="M541" i="37"/>
  <c r="W541" i="37" s="1"/>
  <c r="M1057" i="37"/>
  <c r="W1061" i="37" s="1"/>
  <c r="M830" i="37"/>
  <c r="M1859" i="37"/>
  <c r="M1032" i="37"/>
  <c r="W1032" i="37" s="1"/>
  <c r="M877" i="37"/>
  <c r="W881" i="37" s="1"/>
  <c r="M1788" i="37"/>
  <c r="W1788" i="37" s="1"/>
  <c r="M1888" i="37"/>
  <c r="M963" i="37"/>
  <c r="M419" i="37"/>
  <c r="M238" i="37"/>
  <c r="M492" i="37"/>
  <c r="W492" i="37" s="1"/>
  <c r="M1843" i="37"/>
  <c r="W1846" i="37" s="1"/>
  <c r="M150" i="37"/>
  <c r="W150" i="37" s="1"/>
  <c r="M423" i="37"/>
  <c r="M1893" i="37"/>
  <c r="M1698" i="37"/>
  <c r="W1699" i="37" s="1"/>
  <c r="M1091" i="37"/>
  <c r="M927" i="37"/>
  <c r="W929" i="37" s="1"/>
  <c r="M187" i="37"/>
  <c r="M1405" i="37"/>
  <c r="W1409" i="37" s="1"/>
  <c r="M603" i="37"/>
  <c r="M1483" i="37"/>
  <c r="W1486" i="37" s="1"/>
  <c r="M901" i="37"/>
  <c r="W901" i="37" s="1"/>
  <c r="M739" i="37"/>
  <c r="M1073" i="37"/>
  <c r="W1073" i="37" s="1"/>
  <c r="M779" i="37"/>
  <c r="M1801" i="37"/>
  <c r="W1801" i="37" s="1"/>
  <c r="M721" i="37"/>
  <c r="W721" i="37" s="1"/>
  <c r="M1621" i="37"/>
  <c r="W1621" i="37" s="1"/>
  <c r="M763" i="37"/>
  <c r="W766" i="37" s="1"/>
  <c r="M496" i="37"/>
  <c r="M717" i="37"/>
  <c r="M1287" i="37"/>
  <c r="W1289" i="37" s="1"/>
  <c r="M747" i="37"/>
  <c r="W749" i="37" s="1"/>
  <c r="M1115" i="37"/>
  <c r="W1117" i="37" s="1"/>
  <c r="M1295" i="37"/>
  <c r="W1297" i="37" s="1"/>
  <c r="M865" i="37"/>
  <c r="W869" i="37" s="1"/>
  <c r="M713" i="37"/>
  <c r="W713" i="37" s="1"/>
  <c r="M897" i="37"/>
  <c r="M136" i="37"/>
  <c r="W140" i="37" s="1"/>
  <c r="M1237" i="37"/>
  <c r="W1241" i="37" s="1"/>
  <c r="M798" i="37"/>
  <c r="W799" i="37" s="1"/>
  <c r="M1827" i="37"/>
  <c r="W1829" i="37" s="1"/>
  <c r="M1797" i="37"/>
  <c r="M1143" i="37"/>
  <c r="M1597" i="37"/>
  <c r="W1601" i="37" s="1"/>
  <c r="M163" i="37"/>
  <c r="M1212" i="37"/>
  <c r="W1212" i="37" s="1"/>
  <c r="E366" i="43"/>
  <c r="F365" i="43"/>
  <c r="I261" i="50"/>
  <c r="I399" i="41"/>
  <c r="I406" i="41" s="1"/>
  <c r="I413" i="41" s="1"/>
  <c r="I420" i="41" s="1"/>
  <c r="I176" i="41"/>
  <c r="I116" i="41"/>
  <c r="I264" i="50" s="1"/>
  <c r="I400" i="41"/>
  <c r="I407" i="41" s="1"/>
  <c r="L162" i="47"/>
  <c r="L155" i="47"/>
  <c r="L274" i="47"/>
  <c r="L128" i="47"/>
  <c r="L188" i="47"/>
  <c r="L371" i="47"/>
  <c r="L307" i="47"/>
  <c r="L94" i="47"/>
  <c r="L207" i="47"/>
  <c r="V207" i="47" s="1"/>
  <c r="V214" i="47" s="1"/>
  <c r="L196" i="47"/>
  <c r="L180" i="47"/>
  <c r="L112" i="47"/>
  <c r="L31" i="47"/>
  <c r="L121" i="47"/>
  <c r="L320" i="47"/>
  <c r="V374" i="47"/>
  <c r="L349" i="47"/>
  <c r="L239" i="47"/>
  <c r="L254" i="47"/>
  <c r="L146" i="47"/>
  <c r="L339" i="47"/>
  <c r="L313" i="47"/>
  <c r="N320" i="47" s="1"/>
  <c r="L280" i="47"/>
  <c r="L287" i="47"/>
  <c r="J166" i="49"/>
  <c r="J171" i="50" s="1"/>
  <c r="J242" i="49"/>
  <c r="J181" i="49"/>
  <c r="J158" i="49"/>
  <c r="J166" i="50" s="1"/>
  <c r="J292" i="49"/>
  <c r="J282" i="49"/>
  <c r="T282" i="49" s="1"/>
  <c r="J249" i="49"/>
  <c r="J176" i="49"/>
  <c r="J233" i="49"/>
  <c r="T233" i="49" s="1"/>
  <c r="J87" i="49"/>
  <c r="J136" i="50" s="1"/>
  <c r="J145" i="49"/>
  <c r="J161" i="50" s="1"/>
  <c r="J92" i="50"/>
  <c r="J51" i="49"/>
  <c r="J64" i="50" s="1"/>
  <c r="J103" i="49"/>
  <c r="J273" i="49"/>
  <c r="J65" i="49"/>
  <c r="J268" i="49"/>
  <c r="J200" i="50" s="1"/>
  <c r="J136" i="49"/>
  <c r="J278" i="49"/>
  <c r="J97" i="49"/>
  <c r="J130" i="49"/>
  <c r="J112" i="50"/>
  <c r="J122" i="49"/>
  <c r="J228" i="49"/>
  <c r="J36" i="49"/>
  <c r="J297" i="49"/>
  <c r="J16" i="49"/>
  <c r="S16" i="49" s="1"/>
  <c r="J92" i="49"/>
  <c r="J141" i="50" s="1"/>
  <c r="J221" i="49"/>
  <c r="J153" i="49"/>
  <c r="J149" i="49"/>
  <c r="J113" i="49"/>
  <c r="J146" i="50" s="1"/>
  <c r="J171" i="49"/>
  <c r="J215" i="49"/>
  <c r="R482" i="42"/>
  <c r="E474" i="42"/>
  <c r="K449" i="42"/>
  <c r="U449" i="42" s="1"/>
  <c r="K378" i="42"/>
  <c r="U378" i="42" s="1"/>
  <c r="K356" i="42"/>
  <c r="K241" i="42"/>
  <c r="U241" i="42" s="1"/>
  <c r="K309" i="42"/>
  <c r="U309" i="42" s="1"/>
  <c r="K191" i="42"/>
  <c r="U191" i="42" s="1"/>
  <c r="K95" i="42"/>
  <c r="K429" i="42"/>
  <c r="K105" i="42"/>
  <c r="K150" i="42"/>
  <c r="U150" i="42" s="1"/>
  <c r="K222" i="42"/>
  <c r="U222" i="42" s="1"/>
  <c r="K282" i="42"/>
  <c r="U282" i="42" s="1"/>
  <c r="K119" i="42"/>
  <c r="U119" i="42" s="1"/>
  <c r="K218" i="42"/>
  <c r="U218" i="42" s="1"/>
  <c r="K214" i="42"/>
  <c r="U214" i="42" s="1"/>
  <c r="K473" i="42"/>
  <c r="K301" i="42"/>
  <c r="U301" i="42" s="1"/>
  <c r="K287" i="42"/>
  <c r="K384" i="42"/>
  <c r="U385" i="42" s="1"/>
  <c r="K332" i="42"/>
  <c r="U332" i="42" s="1"/>
  <c r="K210" i="42"/>
  <c r="U210" i="42" s="1"/>
  <c r="K171" i="42"/>
  <c r="K123" i="42"/>
  <c r="U123" i="42" s="1"/>
  <c r="K537" i="42"/>
  <c r="K53" i="42"/>
  <c r="K262" i="42"/>
  <c r="K495" i="42"/>
  <c r="K23" i="42"/>
  <c r="U23" i="42" s="1"/>
  <c r="K317" i="42"/>
  <c r="U317" i="42" s="1"/>
  <c r="K296" i="42"/>
  <c r="K131" i="42"/>
  <c r="U131" i="42" s="1"/>
  <c r="K313" i="42"/>
  <c r="U313" i="42" s="1"/>
  <c r="K135" i="42"/>
  <c r="U135" i="42" s="1"/>
  <c r="K305" i="42"/>
  <c r="U305" i="42" s="1"/>
  <c r="K205" i="42"/>
  <c r="K516" i="42"/>
  <c r="U516" i="42" s="1"/>
  <c r="K226" i="42"/>
  <c r="U226" i="42" s="1"/>
  <c r="K405" i="42"/>
  <c r="U405" i="42" s="1"/>
  <c r="K454" i="42"/>
  <c r="U455" i="42" s="1"/>
  <c r="K85" i="42"/>
  <c r="U85" i="42" s="1"/>
  <c r="K127" i="42"/>
  <c r="U127" i="42" s="1"/>
  <c r="K196" i="42"/>
  <c r="P108" i="50"/>
  <c r="S108" i="50"/>
  <c r="E128" i="50"/>
  <c r="V210" i="47"/>
  <c r="V376" i="47"/>
  <c r="V208" i="47"/>
  <c r="V375" i="47"/>
  <c r="V209" i="47"/>
  <c r="M356" i="42"/>
  <c r="M53" i="42"/>
  <c r="M378" i="42"/>
  <c r="W378" i="42" s="1"/>
  <c r="M473" i="42"/>
  <c r="M309" i="42"/>
  <c r="W309" i="42" s="1"/>
  <c r="M95" i="42"/>
  <c r="M131" i="42"/>
  <c r="W131" i="42" s="1"/>
  <c r="M226" i="42"/>
  <c r="W226" i="42" s="1"/>
  <c r="M454" i="42"/>
  <c r="W455" i="42" s="1"/>
  <c r="M384" i="42"/>
  <c r="W385" i="42" s="1"/>
  <c r="M191" i="42"/>
  <c r="W191" i="42" s="1"/>
  <c r="M296" i="42"/>
  <c r="M449" i="42"/>
  <c r="W449" i="42" s="1"/>
  <c r="M23" i="42"/>
  <c r="W23" i="42" s="1"/>
  <c r="M210" i="42"/>
  <c r="W210" i="42" s="1"/>
  <c r="M537" i="42"/>
  <c r="M313" i="42"/>
  <c r="W313" i="42" s="1"/>
  <c r="M262" i="42"/>
  <c r="M429" i="42"/>
  <c r="M301" i="42"/>
  <c r="W301" i="42" s="1"/>
  <c r="M123" i="42"/>
  <c r="W123" i="42" s="1"/>
  <c r="M241" i="42"/>
  <c r="W241" i="42" s="1"/>
  <c r="M135" i="42"/>
  <c r="W135" i="42" s="1"/>
  <c r="M287" i="42"/>
  <c r="M205" i="42"/>
  <c r="M171" i="42"/>
  <c r="M516" i="42"/>
  <c r="W516" i="42" s="1"/>
  <c r="M119" i="42"/>
  <c r="W119" i="42" s="1"/>
  <c r="M218" i="42"/>
  <c r="W218" i="42" s="1"/>
  <c r="M305" i="42"/>
  <c r="W305" i="42" s="1"/>
  <c r="M127" i="42"/>
  <c r="W127" i="42" s="1"/>
  <c r="M222" i="42"/>
  <c r="W222" i="42" s="1"/>
  <c r="M317" i="42"/>
  <c r="W317" i="42" s="1"/>
  <c r="M85" i="42"/>
  <c r="W85" i="42" s="1"/>
  <c r="M105" i="42"/>
  <c r="M282" i="42"/>
  <c r="W282" i="42" s="1"/>
  <c r="M150" i="42"/>
  <c r="W150" i="42" s="1"/>
  <c r="M332" i="42"/>
  <c r="W332" i="42" s="1"/>
  <c r="M214" i="42"/>
  <c r="W214" i="42" s="1"/>
  <c r="M495" i="42"/>
  <c r="M405" i="42"/>
  <c r="W405" i="42" s="1"/>
  <c r="M196" i="42"/>
  <c r="L473" i="42"/>
  <c r="L378" i="42"/>
  <c r="V378" i="42" s="1"/>
  <c r="L171" i="42"/>
  <c r="L309" i="42"/>
  <c r="V309" i="42" s="1"/>
  <c r="L356" i="42"/>
  <c r="L214" i="42"/>
  <c r="V214" i="42" s="1"/>
  <c r="L429" i="42"/>
  <c r="L405" i="42"/>
  <c r="V405" i="42" s="1"/>
  <c r="L262" i="42"/>
  <c r="L85" i="42"/>
  <c r="V85" i="42" s="1"/>
  <c r="L135" i="42"/>
  <c r="V135" i="42" s="1"/>
  <c r="L287" i="42"/>
  <c r="L241" i="42"/>
  <c r="V241" i="42" s="1"/>
  <c r="L119" i="42"/>
  <c r="V119" i="42" s="1"/>
  <c r="L53" i="42"/>
  <c r="L384" i="42"/>
  <c r="V385" i="42" s="1"/>
  <c r="L218" i="42"/>
  <c r="V218" i="42" s="1"/>
  <c r="L226" i="42"/>
  <c r="V226" i="42" s="1"/>
  <c r="L95" i="42"/>
  <c r="L537" i="42"/>
  <c r="L332" i="42"/>
  <c r="V332" i="42" s="1"/>
  <c r="L23" i="42"/>
  <c r="V23" i="42" s="1"/>
  <c r="L313" i="42"/>
  <c r="V313" i="42" s="1"/>
  <c r="L516" i="42"/>
  <c r="V516" i="42" s="1"/>
  <c r="L317" i="42"/>
  <c r="V317" i="42" s="1"/>
  <c r="L454" i="42"/>
  <c r="V455" i="42" s="1"/>
  <c r="L191" i="42"/>
  <c r="V191" i="42" s="1"/>
  <c r="L196" i="42"/>
  <c r="L131" i="42"/>
  <c r="V131" i="42" s="1"/>
  <c r="L305" i="42"/>
  <c r="V305" i="42" s="1"/>
  <c r="L495" i="42"/>
  <c r="L296" i="42"/>
  <c r="L222" i="42"/>
  <c r="V222" i="42" s="1"/>
  <c r="L127" i="42"/>
  <c r="V127" i="42" s="1"/>
  <c r="L123" i="42"/>
  <c r="V123" i="42" s="1"/>
  <c r="L210" i="42"/>
  <c r="V210" i="42" s="1"/>
  <c r="L282" i="42"/>
  <c r="V282" i="42" s="1"/>
  <c r="L150" i="42"/>
  <c r="V150" i="42" s="1"/>
  <c r="L301" i="42"/>
  <c r="V301" i="42" s="1"/>
  <c r="L105" i="42"/>
  <c r="L205" i="42"/>
  <c r="I214" i="41"/>
  <c r="I336" i="50" s="1"/>
  <c r="I89" i="41"/>
  <c r="I244" i="50" s="1"/>
  <c r="I274" i="41"/>
  <c r="I371" i="50" s="1"/>
  <c r="I226" i="41"/>
  <c r="I43" i="41"/>
  <c r="I212" i="50" s="1"/>
  <c r="I175" i="41"/>
  <c r="I306" i="50" s="1"/>
  <c r="I83" i="41"/>
  <c r="I240" i="50" s="1"/>
  <c r="I263" i="41"/>
  <c r="I362" i="50" s="1"/>
  <c r="I98" i="41"/>
  <c r="I251" i="50" s="1"/>
  <c r="I204" i="41"/>
  <c r="I328" i="50" s="1"/>
  <c r="I126" i="41"/>
  <c r="I267" i="50" s="1"/>
  <c r="I282" i="41"/>
  <c r="I378" i="50" s="1"/>
  <c r="I33" i="41"/>
  <c r="I398" i="41"/>
  <c r="I106" i="41"/>
  <c r="I134" i="41"/>
  <c r="I273" i="50" s="1"/>
  <c r="I308" i="41"/>
  <c r="I402" i="50" s="1"/>
  <c r="I322" i="41"/>
  <c r="I414" i="50" s="1"/>
  <c r="I247" i="41"/>
  <c r="I348" i="50" s="1"/>
  <c r="I193" i="41"/>
  <c r="I319" i="50" s="1"/>
  <c r="I293" i="41"/>
  <c r="I388" i="50" s="1"/>
  <c r="I350" i="41"/>
  <c r="I436" i="50" s="1"/>
  <c r="I15" i="41"/>
  <c r="I163" i="41"/>
  <c r="I296" i="50" s="1"/>
  <c r="I476" i="50"/>
  <c r="I836" i="50"/>
  <c r="I1317" i="50"/>
  <c r="I956" i="50"/>
  <c r="I1024" i="50"/>
  <c r="I1324" i="50"/>
  <c r="I57" i="50"/>
  <c r="I776" i="50"/>
  <c r="I1354" i="50"/>
  <c r="I1236" i="50"/>
  <c r="I604" i="50"/>
  <c r="I340" i="50"/>
  <c r="I904" i="50"/>
  <c r="I1086" i="50"/>
  <c r="I1126" i="50"/>
  <c r="I1206" i="50"/>
  <c r="I544" i="50"/>
  <c r="I1367" i="50"/>
  <c r="I1118" i="50"/>
  <c r="I656" i="50"/>
  <c r="I596" i="50"/>
  <c r="I1016" i="50"/>
  <c r="I724" i="50"/>
  <c r="I896" i="50"/>
  <c r="I1278" i="50"/>
  <c r="I1198" i="50"/>
  <c r="I844" i="50"/>
  <c r="I1078" i="50"/>
  <c r="I1228" i="50"/>
  <c r="I536" i="50"/>
  <c r="I784" i="50"/>
  <c r="I484" i="50"/>
  <c r="I1158" i="50"/>
  <c r="I1361" i="50"/>
  <c r="I1258" i="50"/>
  <c r="I1348" i="50"/>
  <c r="I664" i="50"/>
  <c r="I1266" i="50"/>
  <c r="I716" i="50"/>
  <c r="I1286" i="50"/>
  <c r="I964" i="50"/>
  <c r="I1166" i="50"/>
  <c r="I70" i="50"/>
  <c r="AJ4" i="55"/>
  <c r="P4" i="55"/>
  <c r="Z4" i="55"/>
  <c r="T4" i="55"/>
  <c r="AF4" i="55"/>
  <c r="AL4" i="55"/>
  <c r="AT4" i="55"/>
  <c r="AH4" i="55"/>
  <c r="AX4" i="55"/>
  <c r="AV4" i="55"/>
  <c r="AD4" i="55"/>
  <c r="AN4" i="55"/>
  <c r="AB4" i="55"/>
  <c r="N4" i="55"/>
  <c r="X4" i="55"/>
  <c r="J6" i="55"/>
  <c r="R4" i="55"/>
  <c r="V4" i="55"/>
  <c r="AR4" i="55"/>
  <c r="AP4" i="55"/>
  <c r="L67" i="50"/>
  <c r="L56" i="49"/>
  <c r="M896" i="50"/>
  <c r="M1118" i="50"/>
  <c r="M664" i="50"/>
  <c r="M784" i="50"/>
  <c r="M604" i="50"/>
  <c r="M57" i="50"/>
  <c r="M904" i="50"/>
  <c r="M1266" i="50"/>
  <c r="M1324" i="50"/>
  <c r="M1236" i="50"/>
  <c r="M844" i="50"/>
  <c r="M964" i="50"/>
  <c r="M1206" i="50"/>
  <c r="M596" i="50"/>
  <c r="M1078" i="50"/>
  <c r="M484" i="50"/>
  <c r="M724" i="50"/>
  <c r="M1258" i="50"/>
  <c r="M1158" i="50"/>
  <c r="M536" i="50"/>
  <c r="M1278" i="50"/>
  <c r="M1016" i="50"/>
  <c r="M1367" i="50"/>
  <c r="M656" i="50"/>
  <c r="M1086" i="50"/>
  <c r="M1228" i="50"/>
  <c r="M476" i="50"/>
  <c r="M1286" i="50"/>
  <c r="M1348" i="50"/>
  <c r="M340" i="50"/>
  <c r="M1166" i="50"/>
  <c r="M1126" i="50"/>
  <c r="M716" i="50"/>
  <c r="M1198" i="50"/>
  <c r="M1317" i="50"/>
  <c r="M956" i="50"/>
  <c r="M544" i="50"/>
  <c r="M1354" i="50"/>
  <c r="M836" i="50"/>
  <c r="M776" i="50"/>
  <c r="M1024" i="50"/>
  <c r="M1361" i="50"/>
  <c r="M65" i="50"/>
  <c r="M56" i="49"/>
  <c r="J56" i="49"/>
  <c r="J65" i="50"/>
  <c r="K183" i="49" l="1"/>
  <c r="K182" i="50" s="1"/>
  <c r="H24" i="42"/>
  <c r="I58" i="49"/>
  <c r="I71" i="50" s="1"/>
  <c r="K307" i="50"/>
  <c r="K180" i="41"/>
  <c r="K184" i="41" s="1"/>
  <c r="K313" i="50" s="1"/>
  <c r="K205" i="41"/>
  <c r="K329" i="50" s="1"/>
  <c r="C829" i="50"/>
  <c r="C889" i="50" s="1"/>
  <c r="D769" i="50"/>
  <c r="J181" i="41"/>
  <c r="J310" i="50" s="1"/>
  <c r="J307" i="50"/>
  <c r="K178" i="50"/>
  <c r="J205" i="41"/>
  <c r="J206" i="41" s="1"/>
  <c r="J330" i="50" s="1"/>
  <c r="P1153" i="37"/>
  <c r="I181" i="50"/>
  <c r="Q24" i="42"/>
  <c r="M183" i="49"/>
  <c r="M182" i="50" s="1"/>
  <c r="K151" i="42"/>
  <c r="Q151" i="42" s="1"/>
  <c r="L1171" i="50"/>
  <c r="M178" i="50"/>
  <c r="J178" i="49"/>
  <c r="J179" i="50" s="1"/>
  <c r="J178" i="50"/>
  <c r="P1210" i="50"/>
  <c r="M1210" i="50" s="1"/>
  <c r="P1216" i="50"/>
  <c r="L1216" i="50" s="1"/>
  <c r="P1209" i="50"/>
  <c r="M1209" i="50" s="1"/>
  <c r="E1194" i="50"/>
  <c r="P1202" i="50"/>
  <c r="P1214" i="50"/>
  <c r="L1214" i="50" s="1"/>
  <c r="R1191" i="50"/>
  <c r="P1211" i="50"/>
  <c r="L1211" i="50" s="1"/>
  <c r="P1203" i="50"/>
  <c r="P1217" i="50"/>
  <c r="M1217" i="50" s="1"/>
  <c r="H1194" i="50"/>
  <c r="P1212" i="50"/>
  <c r="M1212" i="50" s="1"/>
  <c r="P1199" i="50"/>
  <c r="P1200" i="50"/>
  <c r="L180" i="41"/>
  <c r="L205" i="41"/>
  <c r="L181" i="41"/>
  <c r="L310" i="50" s="1"/>
  <c r="L307" i="50"/>
  <c r="I178" i="49"/>
  <c r="I179" i="50" s="1"/>
  <c r="M46" i="41"/>
  <c r="H741" i="37"/>
  <c r="M1195" i="50"/>
  <c r="M1194" i="50"/>
  <c r="L178" i="49"/>
  <c r="L179" i="50" s="1"/>
  <c r="L178" i="50"/>
  <c r="Q1221" i="50"/>
  <c r="L1224" i="50"/>
  <c r="H1229" i="50" s="1"/>
  <c r="C1251" i="50"/>
  <c r="M1221" i="50"/>
  <c r="D1221" i="50"/>
  <c r="I1221" i="50"/>
  <c r="J309" i="50"/>
  <c r="J215" i="41"/>
  <c r="M307" i="50"/>
  <c r="M205" i="41"/>
  <c r="M181" i="41"/>
  <c r="M310" i="50" s="1"/>
  <c r="M180" i="41"/>
  <c r="K69" i="50"/>
  <c r="C1513" i="37"/>
  <c r="P1333" i="37"/>
  <c r="K66" i="49"/>
  <c r="K108" i="50" s="1"/>
  <c r="K315" i="49" s="1"/>
  <c r="N1195" i="50"/>
  <c r="H1200" i="50"/>
  <c r="G1203" i="50" s="1"/>
  <c r="N1196" i="50"/>
  <c r="N1194" i="50"/>
  <c r="L183" i="49"/>
  <c r="L182" i="50" s="1"/>
  <c r="L181" i="50"/>
  <c r="L138" i="49"/>
  <c r="L157" i="50" s="1"/>
  <c r="S1111" i="50"/>
  <c r="K1318" i="50"/>
  <c r="K1319" i="50"/>
  <c r="I1349" i="50"/>
  <c r="I1362" i="50" s="1"/>
  <c r="M44" i="41"/>
  <c r="I1319" i="50"/>
  <c r="I1318" i="50"/>
  <c r="M39" i="41"/>
  <c r="M49" i="41" s="1"/>
  <c r="J1319" i="50"/>
  <c r="J1318" i="50"/>
  <c r="L1349" i="50"/>
  <c r="L1362" i="50" s="1"/>
  <c r="M47" i="41"/>
  <c r="K1349" i="50"/>
  <c r="K1362" i="50" s="1"/>
  <c r="J1349" i="50"/>
  <c r="J1362" i="50" s="1"/>
  <c r="M48" i="41"/>
  <c r="M1318" i="50"/>
  <c r="M1319" i="50"/>
  <c r="M1349" i="50"/>
  <c r="M1362" i="50" s="1"/>
  <c r="L1319" i="50"/>
  <c r="L1318" i="50"/>
  <c r="I138" i="49"/>
  <c r="I157" i="50" s="1"/>
  <c r="H123" i="53"/>
  <c r="T162" i="9" s="1"/>
  <c r="H1125" i="37"/>
  <c r="Q406" i="42"/>
  <c r="K1708" i="37"/>
  <c r="U1710" i="37" s="1"/>
  <c r="H733" i="37"/>
  <c r="H585" i="37"/>
  <c r="H749" i="37"/>
  <c r="H199" i="37"/>
  <c r="Q242" i="42"/>
  <c r="Q262" i="43"/>
  <c r="Q333" i="42"/>
  <c r="S1154" i="50"/>
  <c r="K277" i="37"/>
  <c r="U277" i="37" s="1"/>
  <c r="K808" i="37"/>
  <c r="U810" i="37" s="1"/>
  <c r="K457" i="37"/>
  <c r="U457" i="37" s="1"/>
  <c r="K997" i="37"/>
  <c r="U997" i="37" s="1"/>
  <c r="K1528" i="37"/>
  <c r="U1530" i="37" s="1"/>
  <c r="K1179" i="50"/>
  <c r="M1179" i="50"/>
  <c r="L1179" i="50"/>
  <c r="J1179" i="50"/>
  <c r="I1179" i="50"/>
  <c r="L1172" i="50"/>
  <c r="M1172" i="50"/>
  <c r="K1172" i="50"/>
  <c r="I1172" i="50"/>
  <c r="J1172" i="50"/>
  <c r="L1210" i="50"/>
  <c r="J1146" i="50"/>
  <c r="Q260" i="43"/>
  <c r="M1146" i="50"/>
  <c r="L1106" i="50"/>
  <c r="M1171" i="50"/>
  <c r="K1210" i="50"/>
  <c r="Q261" i="43"/>
  <c r="J1173" i="50"/>
  <c r="K1173" i="50"/>
  <c r="L1173" i="50"/>
  <c r="M1173" i="50"/>
  <c r="I1173" i="50"/>
  <c r="M1174" i="50"/>
  <c r="J1174" i="50"/>
  <c r="I1174" i="50"/>
  <c r="K1174" i="50"/>
  <c r="L1174" i="50"/>
  <c r="Q259" i="43"/>
  <c r="J1181" i="50"/>
  <c r="M1102" i="50"/>
  <c r="L1184" i="50"/>
  <c r="J1184" i="50"/>
  <c r="K1184" i="50"/>
  <c r="M1184" i="50"/>
  <c r="I1184" i="50"/>
  <c r="M1182" i="50"/>
  <c r="I1182" i="50"/>
  <c r="K1182" i="50"/>
  <c r="L1182" i="50"/>
  <c r="J1182" i="50"/>
  <c r="J1183" i="50"/>
  <c r="K1183" i="50"/>
  <c r="I1183" i="50"/>
  <c r="M1183" i="50"/>
  <c r="L1183" i="50"/>
  <c r="M1106" i="50"/>
  <c r="L1185" i="50"/>
  <c r="I1185" i="50"/>
  <c r="K1185" i="50"/>
  <c r="M1185" i="50"/>
  <c r="J1185" i="50"/>
  <c r="L1104" i="50"/>
  <c r="K1104" i="50"/>
  <c r="M1186" i="50"/>
  <c r="L1186" i="50"/>
  <c r="K1186" i="50"/>
  <c r="I1186" i="50"/>
  <c r="J1186" i="50"/>
  <c r="I1187" i="50"/>
  <c r="J1187" i="50"/>
  <c r="K1187" i="50"/>
  <c r="M1187" i="50"/>
  <c r="L1187" i="50"/>
  <c r="I1102" i="50"/>
  <c r="K1140" i="50"/>
  <c r="J1167" i="50"/>
  <c r="L1167" i="50"/>
  <c r="K1167" i="50"/>
  <c r="I1167" i="50"/>
  <c r="M1167" i="50"/>
  <c r="J1210" i="50"/>
  <c r="L1181" i="50"/>
  <c r="K1171" i="50"/>
  <c r="I1127" i="50"/>
  <c r="M1132" i="50"/>
  <c r="J1094" i="50"/>
  <c r="I1098" i="50"/>
  <c r="J1099" i="50"/>
  <c r="M1092" i="50"/>
  <c r="L1091" i="50"/>
  <c r="M1093" i="50"/>
  <c r="L1142" i="50"/>
  <c r="J1138" i="50"/>
  <c r="L1147" i="50"/>
  <c r="I1134" i="50"/>
  <c r="J1140" i="50"/>
  <c r="K1134" i="50"/>
  <c r="J1132" i="50"/>
  <c r="I1178" i="50"/>
  <c r="I1139" i="50"/>
  <c r="J1147" i="50"/>
  <c r="M1127" i="50"/>
  <c r="M1178" i="50"/>
  <c r="K1216" i="50"/>
  <c r="K1214" i="50"/>
  <c r="I1147" i="50"/>
  <c r="K1133" i="50"/>
  <c r="J1127" i="50"/>
  <c r="K1139" i="50"/>
  <c r="K1144" i="50"/>
  <c r="J1087" i="50"/>
  <c r="J1093" i="50"/>
  <c r="K1106" i="50"/>
  <c r="I1104" i="50"/>
  <c r="L1102" i="50"/>
  <c r="K1099" i="50"/>
  <c r="L1107" i="50"/>
  <c r="L1141" i="50"/>
  <c r="K1127" i="50"/>
  <c r="L1132" i="50"/>
  <c r="I1132" i="50"/>
  <c r="M1140" i="50"/>
  <c r="L1133" i="50"/>
  <c r="I1210" i="50"/>
  <c r="L1144" i="50"/>
  <c r="K1138" i="50"/>
  <c r="L1092" i="50"/>
  <c r="M1098" i="50"/>
  <c r="K1107" i="50"/>
  <c r="L1099" i="50"/>
  <c r="K1091" i="50"/>
  <c r="I1091" i="50"/>
  <c r="L1098" i="50"/>
  <c r="I1105" i="50"/>
  <c r="I1096" i="50"/>
  <c r="M1101" i="50"/>
  <c r="M1091" i="50"/>
  <c r="K1103" i="50"/>
  <c r="J1143" i="50"/>
  <c r="K1136" i="50"/>
  <c r="K1147" i="50"/>
  <c r="I1141" i="50"/>
  <c r="K1178" i="50"/>
  <c r="L1139" i="50"/>
  <c r="K1100" i="50"/>
  <c r="I1171" i="50"/>
  <c r="J1144" i="50"/>
  <c r="I1103" i="50"/>
  <c r="I1101" i="50"/>
  <c r="I1092" i="50"/>
  <c r="J1096" i="50"/>
  <c r="L1096" i="50"/>
  <c r="I1094" i="50"/>
  <c r="J1092" i="50"/>
  <c r="I1106" i="50"/>
  <c r="K1094" i="50"/>
  <c r="L1103" i="50"/>
  <c r="J1136" i="50"/>
  <c r="M1139" i="50"/>
  <c r="M1138" i="50"/>
  <c r="J1145" i="50"/>
  <c r="K1141" i="50"/>
  <c r="I1136" i="50"/>
  <c r="J1141" i="50"/>
  <c r="I1131" i="50"/>
  <c r="L1100" i="50"/>
  <c r="J1133" i="50"/>
  <c r="J1104" i="50"/>
  <c r="L1101" i="50"/>
  <c r="L1093" i="50"/>
  <c r="M1094" i="50"/>
  <c r="K1092" i="50"/>
  <c r="M1099" i="50"/>
  <c r="L1105" i="50"/>
  <c r="M1103" i="50"/>
  <c r="I1146" i="50"/>
  <c r="L1146" i="50"/>
  <c r="L1127" i="50"/>
  <c r="M1144" i="50"/>
  <c r="I1143" i="50"/>
  <c r="K1132" i="50"/>
  <c r="J1102" i="50"/>
  <c r="I1107" i="50"/>
  <c r="I1099" i="50"/>
  <c r="J1107" i="50"/>
  <c r="J1101" i="50"/>
  <c r="J1106" i="50"/>
  <c r="M1100" i="50"/>
  <c r="J1105" i="50"/>
  <c r="J1100" i="50"/>
  <c r="I1133" i="50"/>
  <c r="M1142" i="50"/>
  <c r="M1143" i="50"/>
  <c r="K1142" i="50"/>
  <c r="M1134" i="50"/>
  <c r="L1217" i="50"/>
  <c r="I1142" i="50"/>
  <c r="I1087" i="50"/>
  <c r="L1140" i="50"/>
  <c r="J1134" i="50"/>
  <c r="J1103" i="50"/>
  <c r="M1105" i="50"/>
  <c r="L1094" i="50"/>
  <c r="J1091" i="50"/>
  <c r="K1096" i="50"/>
  <c r="M1096" i="50"/>
  <c r="K1101" i="50"/>
  <c r="K1102" i="50"/>
  <c r="I1145" i="50"/>
  <c r="J1139" i="50"/>
  <c r="J1142" i="50"/>
  <c r="L1143" i="50"/>
  <c r="M1147" i="50"/>
  <c r="K1131" i="50"/>
  <c r="M1131" i="50"/>
  <c r="M1133" i="50"/>
  <c r="K1143" i="50"/>
  <c r="L1134" i="50"/>
  <c r="L1145" i="50"/>
  <c r="M1104" i="50"/>
  <c r="K1087" i="50"/>
  <c r="M1107" i="50"/>
  <c r="J1098" i="50"/>
  <c r="L1087" i="50"/>
  <c r="K1093" i="50"/>
  <c r="M1087" i="50"/>
  <c r="K1105" i="50"/>
  <c r="I1100" i="50"/>
  <c r="I1138" i="50"/>
  <c r="I1140" i="50"/>
  <c r="L1131" i="50"/>
  <c r="I1144" i="50"/>
  <c r="M1136" i="50"/>
  <c r="M1145" i="50"/>
  <c r="L1178" i="50"/>
  <c r="M1141" i="50"/>
  <c r="L1136" i="50"/>
  <c r="L1138" i="50"/>
  <c r="J1178" i="50"/>
  <c r="J1131" i="50"/>
  <c r="K1145" i="50"/>
  <c r="I1093" i="50"/>
  <c r="K1098" i="50"/>
  <c r="M1180" i="50"/>
  <c r="I1180" i="50"/>
  <c r="J1180" i="50"/>
  <c r="K1180" i="50"/>
  <c r="L1180" i="50"/>
  <c r="K1176" i="50"/>
  <c r="J1176" i="50"/>
  <c r="M1176" i="50"/>
  <c r="L1176" i="50"/>
  <c r="I1176" i="50"/>
  <c r="J1171" i="50"/>
  <c r="K1181" i="50"/>
  <c r="I1181" i="50"/>
  <c r="M1181" i="50"/>
  <c r="K1146" i="50"/>
  <c r="K456" i="42"/>
  <c r="M153" i="50"/>
  <c r="H1117" i="37"/>
  <c r="K268" i="37"/>
  <c r="U270" i="37" s="1"/>
  <c r="K817" i="37"/>
  <c r="U817" i="37" s="1"/>
  <c r="K1717" i="37"/>
  <c r="U1717" i="37" s="1"/>
  <c r="H208" i="37"/>
  <c r="H757" i="37"/>
  <c r="H1477" i="37"/>
  <c r="H553" i="37"/>
  <c r="H1093" i="37"/>
  <c r="H561" i="37"/>
  <c r="H381" i="37"/>
  <c r="H913" i="37"/>
  <c r="K1177" i="37"/>
  <c r="U1177" i="37" s="1"/>
  <c r="K448" i="37"/>
  <c r="U450" i="37" s="1"/>
  <c r="H1297" i="37"/>
  <c r="H569" i="37"/>
  <c r="H1845" i="37"/>
  <c r="H929" i="37"/>
  <c r="H1273" i="37"/>
  <c r="I132" i="49"/>
  <c r="I154" i="50" s="1"/>
  <c r="K988" i="37"/>
  <c r="U990" i="37" s="1"/>
  <c r="K1357" i="37"/>
  <c r="U1357" i="37" s="1"/>
  <c r="H1657" i="37"/>
  <c r="H1101" i="37"/>
  <c r="H397" i="37"/>
  <c r="H1829" i="37"/>
  <c r="H1821" i="37"/>
  <c r="H389" i="37"/>
  <c r="K1348" i="37"/>
  <c r="U1350" i="37" s="1"/>
  <c r="K51" i="37"/>
  <c r="U51" i="37" s="1"/>
  <c r="H1453" i="37"/>
  <c r="H1469" i="37"/>
  <c r="H1109" i="37"/>
  <c r="H1485" i="37"/>
  <c r="H921" i="37"/>
  <c r="H1305" i="37"/>
  <c r="H1289" i="37"/>
  <c r="K628" i="37"/>
  <c r="U630" i="37" s="1"/>
  <c r="K39" i="37"/>
  <c r="U41" i="37" s="1"/>
  <c r="H1665" i="37"/>
  <c r="H1813" i="37"/>
  <c r="H1281" i="37"/>
  <c r="H1837" i="37"/>
  <c r="H217" i="37"/>
  <c r="H405" i="37"/>
  <c r="H1641" i="37"/>
  <c r="K1168" i="37"/>
  <c r="U1170" i="37" s="1"/>
  <c r="K1537" i="37"/>
  <c r="U1537" i="37" s="1"/>
  <c r="H577" i="37"/>
  <c r="H1649" i="37"/>
  <c r="H765" i="37"/>
  <c r="H937" i="37"/>
  <c r="H373" i="37"/>
  <c r="M138" i="49"/>
  <c r="M157" i="50" s="1"/>
  <c r="H347" i="43"/>
  <c r="H353" i="43"/>
  <c r="I353" i="43" s="1"/>
  <c r="H343" i="43"/>
  <c r="H348" i="43"/>
  <c r="H354" i="43"/>
  <c r="I354" i="43" s="1"/>
  <c r="H344" i="43"/>
  <c r="E140" i="41" s="1"/>
  <c r="S140" i="41" s="1"/>
  <c r="H349" i="43"/>
  <c r="I349" i="43" s="1"/>
  <c r="H339" i="43"/>
  <c r="H346" i="43"/>
  <c r="H342" i="43"/>
  <c r="H345" i="43"/>
  <c r="I1153" i="37" s="1"/>
  <c r="H350" i="43"/>
  <c r="I350" i="43" s="1"/>
  <c r="H341" i="43"/>
  <c r="H352" i="43"/>
  <c r="I352" i="43" s="1"/>
  <c r="H351" i="43"/>
  <c r="I351" i="43" s="1"/>
  <c r="H340" i="43"/>
  <c r="H46" i="41"/>
  <c r="H49" i="41"/>
  <c r="H45" i="41"/>
  <c r="H229" i="41"/>
  <c r="H228" i="41"/>
  <c r="H231" i="41"/>
  <c r="H38" i="41"/>
  <c r="H232" i="41"/>
  <c r="H227" i="41"/>
  <c r="H44" i="41"/>
  <c r="H37" i="41"/>
  <c r="H36" i="41"/>
  <c r="H47" i="41"/>
  <c r="H34" i="41"/>
  <c r="H48" i="41"/>
  <c r="H189" i="37"/>
  <c r="H1633" i="37"/>
  <c r="H1461" i="37"/>
  <c r="H945" i="37"/>
  <c r="H180" i="37"/>
  <c r="H35" i="41"/>
  <c r="H233" i="41"/>
  <c r="O207" i="34"/>
  <c r="R207" i="34" s="1"/>
  <c r="D207" i="34"/>
  <c r="C208" i="34"/>
  <c r="K153" i="50"/>
  <c r="K132" i="49"/>
  <c r="K154" i="50" s="1"/>
  <c r="K138" i="49"/>
  <c r="K157" i="50" s="1"/>
  <c r="K156" i="50"/>
  <c r="J153" i="50"/>
  <c r="J132" i="49"/>
  <c r="J154" i="50" s="1"/>
  <c r="L132" i="49"/>
  <c r="L154" i="50" s="1"/>
  <c r="L153" i="50"/>
  <c r="J138" i="49"/>
  <c r="J157" i="50" s="1"/>
  <c r="J156" i="50"/>
  <c r="R262" i="43"/>
  <c r="K262" i="43"/>
  <c r="D264" i="43"/>
  <c r="E264" i="43" s="1"/>
  <c r="P264" i="43" s="1"/>
  <c r="E263" i="43"/>
  <c r="P263" i="43" s="1"/>
  <c r="Q263" i="43" s="1"/>
  <c r="J1348" i="37"/>
  <c r="T1350" i="37" s="1"/>
  <c r="J817" i="37"/>
  <c r="T817" i="37" s="1"/>
  <c r="J1168" i="37"/>
  <c r="T1170" i="37" s="1"/>
  <c r="J268" i="37"/>
  <c r="T270" i="37" s="1"/>
  <c r="J448" i="37"/>
  <c r="T450" i="37" s="1"/>
  <c r="J1537" i="37"/>
  <c r="T1537" i="37" s="1"/>
  <c r="J808" i="37"/>
  <c r="T810" i="37" s="1"/>
  <c r="J1528" i="37"/>
  <c r="T1530" i="37" s="1"/>
  <c r="J51" i="37"/>
  <c r="T51" i="37" s="1"/>
  <c r="J988" i="37"/>
  <c r="T990" i="37" s="1"/>
  <c r="J1717" i="37"/>
  <c r="T1717" i="37" s="1"/>
  <c r="J277" i="37"/>
  <c r="T277" i="37" s="1"/>
  <c r="J637" i="37"/>
  <c r="T637" i="37" s="1"/>
  <c r="J1357" i="37"/>
  <c r="T1357" i="37" s="1"/>
  <c r="J628" i="37"/>
  <c r="T630" i="37" s="1"/>
  <c r="J39" i="37"/>
  <c r="T41" i="37" s="1"/>
  <c r="J457" i="37"/>
  <c r="T457" i="37" s="1"/>
  <c r="J1177" i="37"/>
  <c r="T1177" i="37" s="1"/>
  <c r="J997" i="37"/>
  <c r="T997" i="37" s="1"/>
  <c r="J1708" i="37"/>
  <c r="T1710" i="37" s="1"/>
  <c r="K152" i="50"/>
  <c r="K177" i="50"/>
  <c r="R209" i="47"/>
  <c r="T481" i="42"/>
  <c r="T473" i="42"/>
  <c r="L177" i="50"/>
  <c r="L152" i="50"/>
  <c r="I1357" i="37"/>
  <c r="S1357" i="37" s="1"/>
  <c r="I628" i="37"/>
  <c r="S630" i="37" s="1"/>
  <c r="I457" i="37"/>
  <c r="S457" i="37" s="1"/>
  <c r="I39" i="37"/>
  <c r="S41" i="37" s="1"/>
  <c r="I1168" i="37"/>
  <c r="S1170" i="37" s="1"/>
  <c r="I808" i="37"/>
  <c r="S810" i="37" s="1"/>
  <c r="I268" i="37"/>
  <c r="S270" i="37" s="1"/>
  <c r="I1537" i="37"/>
  <c r="S1537" i="37" s="1"/>
  <c r="I1348" i="37"/>
  <c r="S1350" i="37" s="1"/>
  <c r="I817" i="37"/>
  <c r="S817" i="37" s="1"/>
  <c r="I1177" i="37"/>
  <c r="S1177" i="37" s="1"/>
  <c r="I997" i="37"/>
  <c r="S997" i="37" s="1"/>
  <c r="I988" i="37"/>
  <c r="S990" i="37" s="1"/>
  <c r="I1708" i="37"/>
  <c r="S1710" i="37" s="1"/>
  <c r="I1528" i="37"/>
  <c r="S1530" i="37" s="1"/>
  <c r="I637" i="37"/>
  <c r="S637" i="37" s="1"/>
  <c r="I51" i="37"/>
  <c r="S51" i="37" s="1"/>
  <c r="I448" i="37"/>
  <c r="S450" i="37" s="1"/>
  <c r="I277" i="37"/>
  <c r="S277" i="37" s="1"/>
  <c r="I1717" i="37"/>
  <c r="S1717" i="37" s="1"/>
  <c r="M152" i="50"/>
  <c r="M177" i="50"/>
  <c r="S473" i="42"/>
  <c r="S481" i="42"/>
  <c r="L1717" i="37"/>
  <c r="V1717" i="37" s="1"/>
  <c r="L1348" i="37"/>
  <c r="V1350" i="37" s="1"/>
  <c r="L988" i="37"/>
  <c r="V990" i="37" s="1"/>
  <c r="L808" i="37"/>
  <c r="V810" i="37" s="1"/>
  <c r="L1357" i="37"/>
  <c r="V1357" i="37" s="1"/>
  <c r="L637" i="37"/>
  <c r="V637" i="37" s="1"/>
  <c r="L1537" i="37"/>
  <c r="V1537" i="37" s="1"/>
  <c r="L997" i="37"/>
  <c r="V997" i="37" s="1"/>
  <c r="L1528" i="37"/>
  <c r="V1530" i="37" s="1"/>
  <c r="L817" i="37"/>
  <c r="V817" i="37" s="1"/>
  <c r="L51" i="37"/>
  <c r="V51" i="37" s="1"/>
  <c r="L1177" i="37"/>
  <c r="V1177" i="37" s="1"/>
  <c r="L457" i="37"/>
  <c r="V457" i="37" s="1"/>
  <c r="L628" i="37"/>
  <c r="V630" i="37" s="1"/>
  <c r="L1168" i="37"/>
  <c r="V1170" i="37" s="1"/>
  <c r="L1708" i="37"/>
  <c r="V1710" i="37" s="1"/>
  <c r="L448" i="37"/>
  <c r="V450" i="37" s="1"/>
  <c r="L268" i="37"/>
  <c r="V270" i="37" s="1"/>
  <c r="L277" i="37"/>
  <c r="V277" i="37" s="1"/>
  <c r="L39" i="37"/>
  <c r="V41" i="37" s="1"/>
  <c r="J365" i="43"/>
  <c r="I36" i="50" s="1"/>
  <c r="K365" i="43"/>
  <c r="L36" i="50" s="1"/>
  <c r="G365" i="43"/>
  <c r="H365" i="43"/>
  <c r="E36" i="50" s="1"/>
  <c r="M637" i="37"/>
  <c r="W637" i="37" s="1"/>
  <c r="M997" i="37"/>
  <c r="W997" i="37" s="1"/>
  <c r="M1348" i="37"/>
  <c r="W1350" i="37" s="1"/>
  <c r="M457" i="37"/>
  <c r="W457" i="37" s="1"/>
  <c r="M1537" i="37"/>
  <c r="W1537" i="37" s="1"/>
  <c r="M988" i="37"/>
  <c r="W990" i="37" s="1"/>
  <c r="M628" i="37"/>
  <c r="W630" i="37" s="1"/>
  <c r="M808" i="37"/>
  <c r="W810" i="37" s="1"/>
  <c r="M817" i="37"/>
  <c r="W817" i="37" s="1"/>
  <c r="M1708" i="37"/>
  <c r="W1710" i="37" s="1"/>
  <c r="M268" i="37"/>
  <c r="W270" i="37" s="1"/>
  <c r="M51" i="37"/>
  <c r="W51" i="37" s="1"/>
  <c r="M1177" i="37"/>
  <c r="W1177" i="37" s="1"/>
  <c r="M1528" i="37"/>
  <c r="W1530" i="37" s="1"/>
  <c r="M1168" i="37"/>
  <c r="W1170" i="37" s="1"/>
  <c r="M1717" i="37"/>
  <c r="W1717" i="37" s="1"/>
  <c r="M448" i="37"/>
  <c r="W450" i="37" s="1"/>
  <c r="M39" i="37"/>
  <c r="W41" i="37" s="1"/>
  <c r="M277" i="37"/>
  <c r="W277" i="37" s="1"/>
  <c r="M1357" i="37"/>
  <c r="W1357" i="37" s="1"/>
  <c r="R208" i="47"/>
  <c r="J177" i="50"/>
  <c r="J152" i="50"/>
  <c r="E367" i="43"/>
  <c r="F366" i="43"/>
  <c r="I152" i="50"/>
  <c r="I177" i="50"/>
  <c r="W473" i="42"/>
  <c r="W481" i="42"/>
  <c r="K46" i="41"/>
  <c r="K48" i="41"/>
  <c r="K44" i="41"/>
  <c r="K47" i="41"/>
  <c r="K45" i="41"/>
  <c r="K39" i="41"/>
  <c r="K49" i="41" s="1"/>
  <c r="R210" i="47"/>
  <c r="V473" i="42"/>
  <c r="V481" i="42"/>
  <c r="U473" i="42"/>
  <c r="U481" i="42"/>
  <c r="P474" i="42"/>
  <c r="L1159" i="50" s="1"/>
  <c r="H474" i="42"/>
  <c r="I205" i="41"/>
  <c r="I307" i="50"/>
  <c r="I180" i="41"/>
  <c r="I181" i="41"/>
  <c r="I310" i="50" s="1"/>
  <c r="Q376" i="47"/>
  <c r="M58" i="49"/>
  <c r="M69" i="50"/>
  <c r="L69" i="50"/>
  <c r="L58" i="49"/>
  <c r="J69" i="50"/>
  <c r="J58" i="49"/>
  <c r="K206" i="41" l="1"/>
  <c r="K330" i="50" s="1"/>
  <c r="H1519" i="37"/>
  <c r="H1520" i="37" s="1"/>
  <c r="H1521" i="37" s="1"/>
  <c r="K103" i="50"/>
  <c r="K123" i="50" s="1"/>
  <c r="K109" i="50"/>
  <c r="K129" i="50" s="1"/>
  <c r="D829" i="50"/>
  <c r="K107" i="50"/>
  <c r="K127" i="50" s="1"/>
  <c r="K106" i="50"/>
  <c r="K126" i="50" s="1"/>
  <c r="I66" i="49"/>
  <c r="I97" i="50" s="1"/>
  <c r="I117" i="50" s="1"/>
  <c r="Q829" i="50"/>
  <c r="K215" i="41"/>
  <c r="K309" i="50"/>
  <c r="J184" i="41"/>
  <c r="J313" i="50" s="1"/>
  <c r="J329" i="50"/>
  <c r="M1211" i="50"/>
  <c r="K1211" i="50"/>
  <c r="J1211" i="50"/>
  <c r="I1211" i="50"/>
  <c r="K1209" i="50"/>
  <c r="L1209" i="50"/>
  <c r="K128" i="50"/>
  <c r="J1209" i="50"/>
  <c r="I1216" i="50"/>
  <c r="I1217" i="50"/>
  <c r="I1209" i="50"/>
  <c r="K105" i="50"/>
  <c r="K125" i="50" s="1"/>
  <c r="M1216" i="50"/>
  <c r="K1217" i="50"/>
  <c r="J1216" i="50"/>
  <c r="K1212" i="50"/>
  <c r="J1212" i="50"/>
  <c r="K104" i="50"/>
  <c r="K124" i="50" s="1"/>
  <c r="J1217" i="50"/>
  <c r="J1214" i="50"/>
  <c r="M1214" i="50"/>
  <c r="L1212" i="50"/>
  <c r="S1191" i="50"/>
  <c r="S1194" i="50"/>
  <c r="L184" i="41"/>
  <c r="L313" i="50" s="1"/>
  <c r="I1214" i="50"/>
  <c r="I1212" i="50"/>
  <c r="L329" i="50"/>
  <c r="L206" i="41"/>
  <c r="L330" i="50" s="1"/>
  <c r="L309" i="50"/>
  <c r="L215" i="41"/>
  <c r="N1225" i="50"/>
  <c r="N1224" i="50"/>
  <c r="H1230" i="50"/>
  <c r="G1233" i="50" s="1"/>
  <c r="N1226" i="50"/>
  <c r="Q889" i="50"/>
  <c r="D889" i="50"/>
  <c r="C949" i="50"/>
  <c r="I889" i="50"/>
  <c r="H894" i="50" s="1"/>
  <c r="M184" i="41"/>
  <c r="M313" i="50" s="1"/>
  <c r="E1224" i="50"/>
  <c r="P1244" i="50"/>
  <c r="P1242" i="50"/>
  <c r="P1239" i="50"/>
  <c r="P1232" i="50"/>
  <c r="P1247" i="50"/>
  <c r="P1246" i="50"/>
  <c r="R1221" i="50"/>
  <c r="P1230" i="50"/>
  <c r="M1229" i="50" s="1"/>
  <c r="P1241" i="50"/>
  <c r="P1229" i="50"/>
  <c r="P1240" i="50"/>
  <c r="K1240" i="50" s="1"/>
  <c r="H1224" i="50"/>
  <c r="P1233" i="50"/>
  <c r="E141" i="41"/>
  <c r="S141" i="41" s="1"/>
  <c r="J337" i="50"/>
  <c r="J231" i="41"/>
  <c r="J232" i="41"/>
  <c r="J233" i="41"/>
  <c r="P1513" i="37"/>
  <c r="C1693" i="37"/>
  <c r="M309" i="50"/>
  <c r="M215" i="41"/>
  <c r="M1226" i="50"/>
  <c r="M1233" i="50" s="1"/>
  <c r="T1221" i="50" s="1"/>
  <c r="T1232" i="50" s="1"/>
  <c r="M1224" i="50"/>
  <c r="M1225" i="50"/>
  <c r="M206" i="41"/>
  <c r="M330" i="50" s="1"/>
  <c r="M329" i="50"/>
  <c r="Q1251" i="50"/>
  <c r="C1271" i="50"/>
  <c r="L1254" i="50"/>
  <c r="H1259" i="50" s="1"/>
  <c r="I1251" i="50"/>
  <c r="D1251" i="50"/>
  <c r="M1251" i="50"/>
  <c r="M4" i="37"/>
  <c r="E144" i="41"/>
  <c r="S144" i="41" s="1"/>
  <c r="K313" i="41"/>
  <c r="K407" i="50" s="1"/>
  <c r="I1513" i="37"/>
  <c r="P1614" i="37" s="1"/>
  <c r="E101" i="50"/>
  <c r="K101" i="50" s="1"/>
  <c r="K121" i="50" s="1"/>
  <c r="E102" i="50"/>
  <c r="K102" i="50" s="1"/>
  <c r="K122" i="50" s="1"/>
  <c r="E99" i="50"/>
  <c r="K99" i="50" s="1"/>
  <c r="K119" i="50" s="1"/>
  <c r="I5" i="37"/>
  <c r="H1159" i="37"/>
  <c r="H1160" i="37" s="1"/>
  <c r="H1161" i="37" s="1"/>
  <c r="G5" i="37"/>
  <c r="I348" i="43"/>
  <c r="I345" i="43"/>
  <c r="I347" i="43"/>
  <c r="I973" i="37"/>
  <c r="J980" i="37" s="1"/>
  <c r="Q264" i="43"/>
  <c r="M1119" i="50"/>
  <c r="L1079" i="50"/>
  <c r="I1199" i="50"/>
  <c r="I1119" i="50"/>
  <c r="J1159" i="50"/>
  <c r="L1119" i="50"/>
  <c r="I1079" i="50"/>
  <c r="J1079" i="50"/>
  <c r="M1079" i="50"/>
  <c r="L1199" i="50"/>
  <c r="K1199" i="50"/>
  <c r="J1199" i="50"/>
  <c r="I1159" i="50"/>
  <c r="M1199" i="50"/>
  <c r="K1079" i="50"/>
  <c r="L1229" i="50"/>
  <c r="I4" i="37"/>
  <c r="I1229" i="50"/>
  <c r="K1159" i="50"/>
  <c r="Q265" i="43"/>
  <c r="J1119" i="50"/>
  <c r="K1229" i="50"/>
  <c r="K1119" i="50"/>
  <c r="M1159" i="50"/>
  <c r="I829" i="50"/>
  <c r="K858" i="50" s="1"/>
  <c r="I309" i="41"/>
  <c r="I403" i="50" s="1"/>
  <c r="K4" i="37"/>
  <c r="E143" i="41"/>
  <c r="S143" i="41" s="1"/>
  <c r="I949" i="50"/>
  <c r="K970" i="50" s="1"/>
  <c r="I344" i="43"/>
  <c r="H979" i="37"/>
  <c r="H980" i="37" s="1"/>
  <c r="H981" i="37" s="1"/>
  <c r="I769" i="50"/>
  <c r="E825" i="50" s="1"/>
  <c r="E98" i="50"/>
  <c r="K98" i="50" s="1"/>
  <c r="K118" i="50" s="1"/>
  <c r="E100" i="50"/>
  <c r="K100" i="50" s="1"/>
  <c r="K120" i="50" s="1"/>
  <c r="I1333" i="37"/>
  <c r="P1479" i="37" s="1"/>
  <c r="I346" i="43"/>
  <c r="E142" i="41"/>
  <c r="S142" i="41" s="1"/>
  <c r="H1339" i="37"/>
  <c r="H1340" i="37" s="1"/>
  <c r="H1341" i="37" s="1"/>
  <c r="J357" i="43"/>
  <c r="S34" i="41"/>
  <c r="K311" i="41"/>
  <c r="K405" i="50" s="1"/>
  <c r="M310" i="41"/>
  <c r="M404" i="50" s="1"/>
  <c r="J310" i="41"/>
  <c r="J404" i="50" s="1"/>
  <c r="I311" i="41"/>
  <c r="I405" i="50" s="1"/>
  <c r="J313" i="41"/>
  <c r="J407" i="50" s="1"/>
  <c r="L311" i="41"/>
  <c r="L405" i="50" s="1"/>
  <c r="I310" i="41"/>
  <c r="I404" i="50" s="1"/>
  <c r="I313" i="41"/>
  <c r="I407" i="50" s="1"/>
  <c r="L310" i="41"/>
  <c r="L404" i="50" s="1"/>
  <c r="M311" i="41"/>
  <c r="M405" i="50" s="1"/>
  <c r="M313" i="41"/>
  <c r="M407" i="50" s="1"/>
  <c r="J311" i="41"/>
  <c r="J405" i="50" s="1"/>
  <c r="O208" i="34"/>
  <c r="R208" i="34" s="1"/>
  <c r="D208" i="34"/>
  <c r="C209" i="34"/>
  <c r="L313" i="41"/>
  <c r="L407" i="50" s="1"/>
  <c r="J309" i="41"/>
  <c r="J403" i="50" s="1"/>
  <c r="K110" i="50"/>
  <c r="K130" i="50" s="1"/>
  <c r="AA1169" i="37"/>
  <c r="AA1170" i="37" s="1"/>
  <c r="AA1171" i="37" s="1"/>
  <c r="AA1172" i="37" s="1"/>
  <c r="AA1173" i="37" s="1"/>
  <c r="Y1158" i="37"/>
  <c r="R263" i="43"/>
  <c r="K263" i="43"/>
  <c r="K264" i="43"/>
  <c r="R264" i="43"/>
  <c r="I215" i="41"/>
  <c r="I309" i="50"/>
  <c r="K309" i="41"/>
  <c r="M312" i="41"/>
  <c r="M406" i="50" s="1"/>
  <c r="I184" i="41"/>
  <c r="I313" i="50" s="1"/>
  <c r="K310" i="41"/>
  <c r="K404" i="50" s="1"/>
  <c r="I329" i="50"/>
  <c r="I206" i="41"/>
  <c r="I330" i="50" s="1"/>
  <c r="H366" i="43"/>
  <c r="E37" i="50" s="1"/>
  <c r="G366" i="43"/>
  <c r="J366" i="43"/>
  <c r="I37" i="50" s="1"/>
  <c r="K366" i="43"/>
  <c r="L37" i="50" s="1"/>
  <c r="F367" i="43"/>
  <c r="E368" i="43"/>
  <c r="I312" i="41"/>
  <c r="I406" i="50" s="1"/>
  <c r="L309" i="41"/>
  <c r="J312" i="41"/>
  <c r="J406" i="50" s="1"/>
  <c r="K312" i="41"/>
  <c r="K406" i="50" s="1"/>
  <c r="L312" i="41"/>
  <c r="L406" i="50" s="1"/>
  <c r="M309" i="41"/>
  <c r="M403" i="50" s="1"/>
  <c r="E279" i="50"/>
  <c r="E253" i="41"/>
  <c r="M66" i="49"/>
  <c r="M161" i="43"/>
  <c r="M71" i="50"/>
  <c r="E1314" i="37"/>
  <c r="J1175" i="37"/>
  <c r="R1249" i="37"/>
  <c r="P1314" i="37"/>
  <c r="R1153" i="37"/>
  <c r="M1161" i="37"/>
  <c r="P1290" i="37"/>
  <c r="L1161" i="37"/>
  <c r="Q1171" i="37"/>
  <c r="R1298" i="37"/>
  <c r="J1160" i="37"/>
  <c r="X1267" i="37"/>
  <c r="L1160" i="37"/>
  <c r="W1153" i="37"/>
  <c r="N1160" i="37"/>
  <c r="Y1159" i="37" s="1"/>
  <c r="P1282" i="37"/>
  <c r="K1160" i="37"/>
  <c r="K1170" i="37"/>
  <c r="S1163" i="37"/>
  <c r="R1230" i="37"/>
  <c r="I1170" i="37"/>
  <c r="P1298" i="37"/>
  <c r="P1259" i="37"/>
  <c r="K1161" i="37"/>
  <c r="P1218" i="37"/>
  <c r="P1161" i="37"/>
  <c r="J1161" i="37"/>
  <c r="AA1269" i="37"/>
  <c r="AA1272" i="37" s="1"/>
  <c r="AA1273" i="37" s="1"/>
  <c r="V1153" i="37"/>
  <c r="P1160" i="37"/>
  <c r="X1221" i="37"/>
  <c r="P1325" i="37"/>
  <c r="AA1223" i="37"/>
  <c r="P1321" i="37"/>
  <c r="I1161" i="37"/>
  <c r="AA1153" i="37"/>
  <c r="P1173" i="37"/>
  <c r="AA1178" i="37"/>
  <c r="AA1191" i="37" s="1"/>
  <c r="AA1192" i="37" s="1"/>
  <c r="AA1193" i="37" s="1"/>
  <c r="AA1194" i="37" s="1"/>
  <c r="AA1195" i="37" s="1"/>
  <c r="AA1196" i="37" s="1"/>
  <c r="AA1197" i="37" s="1"/>
  <c r="AA1198" i="37" s="1"/>
  <c r="AA1199" i="37" s="1"/>
  <c r="AA1200" i="37" s="1"/>
  <c r="AA1201" i="37" s="1"/>
  <c r="N1158" i="37"/>
  <c r="P1307" i="37"/>
  <c r="R1307" i="37"/>
  <c r="P1255" i="37"/>
  <c r="R1299" i="37"/>
  <c r="P1283" i="37"/>
  <c r="U1153" i="37"/>
  <c r="H1163" i="37"/>
  <c r="R1255" i="37"/>
  <c r="R1262" i="37"/>
  <c r="P1306" i="37"/>
  <c r="P1179" i="37"/>
  <c r="I1160" i="37"/>
  <c r="P1249" i="37"/>
  <c r="I1206" i="37"/>
  <c r="P1274" i="37"/>
  <c r="E1159" i="37"/>
  <c r="P1324" i="37"/>
  <c r="J1167" i="37"/>
  <c r="P1299" i="37"/>
  <c r="R1171" i="37"/>
  <c r="Q1163" i="37"/>
  <c r="AA1160" i="37" s="1"/>
  <c r="AA1314" i="37"/>
  <c r="T1153" i="37"/>
  <c r="P1258" i="37"/>
  <c r="P1291" i="37"/>
  <c r="R1254" i="37"/>
  <c r="R1311" i="37"/>
  <c r="P1213" i="37"/>
  <c r="R1242" i="37"/>
  <c r="J1170" i="37"/>
  <c r="E1213" i="37"/>
  <c r="S1153" i="37"/>
  <c r="P1320" i="37"/>
  <c r="R1263" i="37"/>
  <c r="P1275" i="37"/>
  <c r="P1263" i="37"/>
  <c r="P1262" i="37"/>
  <c r="L1170" i="37"/>
  <c r="P1230" i="37"/>
  <c r="P1254" i="37"/>
  <c r="X1317" i="37"/>
  <c r="M1170" i="37"/>
  <c r="P1311" i="37"/>
  <c r="P1217" i="37"/>
  <c r="N1161" i="37"/>
  <c r="R1213" i="37"/>
  <c r="M1160" i="37"/>
  <c r="P1242" i="37"/>
  <c r="L66" i="49"/>
  <c r="L71" i="50"/>
  <c r="L161" i="43"/>
  <c r="J66" i="49"/>
  <c r="J71" i="50"/>
  <c r="D246" i="43" l="1"/>
  <c r="P1578" i="37"/>
  <c r="P1671" i="37"/>
  <c r="J1530" i="37"/>
  <c r="I1566" i="37"/>
  <c r="T1513" i="37"/>
  <c r="T1532" i="37" s="1"/>
  <c r="P1685" i="37"/>
  <c r="AA1529" i="37"/>
  <c r="AA1530" i="37" s="1"/>
  <c r="AA1531" i="37" s="1"/>
  <c r="AA1532" i="37" s="1"/>
  <c r="AA1533" i="37" s="1"/>
  <c r="P1659" i="37"/>
  <c r="X1581" i="37"/>
  <c r="Y1518" i="37"/>
  <c r="Y1521" i="37" s="1"/>
  <c r="I104" i="50"/>
  <c r="I124" i="50" s="1"/>
  <c r="I107" i="50"/>
  <c r="I127" i="50" s="1"/>
  <c r="I103" i="50"/>
  <c r="I123" i="50" s="1"/>
  <c r="I108" i="50"/>
  <c r="I315" i="49" s="1"/>
  <c r="I93" i="50"/>
  <c r="I113" i="50" s="1"/>
  <c r="I94" i="50"/>
  <c r="I114" i="50" s="1"/>
  <c r="K316" i="49"/>
  <c r="I105" i="50"/>
  <c r="I125" i="50" s="1"/>
  <c r="I102" i="50"/>
  <c r="I122" i="50" s="1"/>
  <c r="I99" i="50"/>
  <c r="I119" i="50" s="1"/>
  <c r="I109" i="50"/>
  <c r="I129" i="50" s="1"/>
  <c r="I101" i="50"/>
  <c r="I121" i="50" s="1"/>
  <c r="I100" i="50"/>
  <c r="I120" i="50" s="1"/>
  <c r="I106" i="50"/>
  <c r="I126" i="50" s="1"/>
  <c r="I95" i="50"/>
  <c r="I115" i="50" s="1"/>
  <c r="I96" i="50"/>
  <c r="I116" i="50" s="1"/>
  <c r="I98" i="50"/>
  <c r="I118" i="50" s="1"/>
  <c r="W1513" i="37"/>
  <c r="W1650" i="37" s="1"/>
  <c r="J1521" i="37"/>
  <c r="J1520" i="37"/>
  <c r="K1521" i="37"/>
  <c r="P1622" i="37"/>
  <c r="N1518" i="37"/>
  <c r="P1667" i="37"/>
  <c r="P1590" i="37"/>
  <c r="P1666" i="37"/>
  <c r="P1634" i="37"/>
  <c r="U1513" i="37"/>
  <c r="U1531" i="37" s="1"/>
  <c r="P1577" i="37"/>
  <c r="P1609" i="37"/>
  <c r="E1674" i="37"/>
  <c r="P1651" i="37"/>
  <c r="L1520" i="37"/>
  <c r="R1659" i="37"/>
  <c r="P1658" i="37"/>
  <c r="X1627" i="37"/>
  <c r="S1513" i="37"/>
  <c r="S1615" i="37" s="1"/>
  <c r="Q1523" i="37"/>
  <c r="AA1520" i="37" s="1"/>
  <c r="V1513" i="37"/>
  <c r="V1521" i="37" s="1"/>
  <c r="R1602" i="37"/>
  <c r="Q1531" i="37"/>
  <c r="P1533" i="37"/>
  <c r="K980" i="37"/>
  <c r="K337" i="50"/>
  <c r="K231" i="41"/>
  <c r="K232" i="41"/>
  <c r="K233" i="41"/>
  <c r="L916" i="50"/>
  <c r="K928" i="50"/>
  <c r="R1083" i="37"/>
  <c r="E122" i="50"/>
  <c r="E230" i="50" s="1"/>
  <c r="J230" i="50" s="1"/>
  <c r="K933" i="50"/>
  <c r="M935" i="50"/>
  <c r="P1643" i="37"/>
  <c r="P1623" i="37"/>
  <c r="P1618" i="37"/>
  <c r="P1684" i="37"/>
  <c r="L1530" i="37"/>
  <c r="P1573" i="37"/>
  <c r="AA1538" i="37"/>
  <c r="AA1551" i="37" s="1"/>
  <c r="AA1552" i="37" s="1"/>
  <c r="AA1553" i="37" s="1"/>
  <c r="AA1554" i="37" s="1"/>
  <c r="AA1555" i="37" s="1"/>
  <c r="AA1556" i="37" s="1"/>
  <c r="AA1557" i="37" s="1"/>
  <c r="AA1558" i="37" s="1"/>
  <c r="AA1559" i="37" s="1"/>
  <c r="AA1560" i="37" s="1"/>
  <c r="AA1561" i="37" s="1"/>
  <c r="R1615" i="37"/>
  <c r="P1615" i="37"/>
  <c r="P1635" i="37"/>
  <c r="P1619" i="37"/>
  <c r="K901" i="50"/>
  <c r="S900" i="50" s="1"/>
  <c r="K1520" i="37"/>
  <c r="S1523" i="37"/>
  <c r="N1532" i="37" s="1"/>
  <c r="R1622" i="37"/>
  <c r="AA1629" i="37"/>
  <c r="AA1632" i="37" s="1"/>
  <c r="AA1633" i="37" s="1"/>
  <c r="AA1635" i="37" s="1"/>
  <c r="H1523" i="37"/>
  <c r="P1680" i="37"/>
  <c r="P1521" i="37"/>
  <c r="L941" i="50"/>
  <c r="R1590" i="37"/>
  <c r="R1573" i="37"/>
  <c r="R1667" i="37"/>
  <c r="I1520" i="37"/>
  <c r="P1520" i="37"/>
  <c r="P945" i="50"/>
  <c r="P1650" i="37"/>
  <c r="I910" i="50"/>
  <c r="P1674" i="37"/>
  <c r="X1677" i="37"/>
  <c r="N1520" i="37"/>
  <c r="Y1519" i="37" s="1"/>
  <c r="I1521" i="37"/>
  <c r="AA1513" i="37"/>
  <c r="R1658" i="37"/>
  <c r="P1681" i="37"/>
  <c r="J1527" i="37"/>
  <c r="R1623" i="37"/>
  <c r="M1530" i="37"/>
  <c r="M925" i="50"/>
  <c r="E1519" i="37"/>
  <c r="R1513" i="37"/>
  <c r="I1530" i="37"/>
  <c r="R1671" i="37"/>
  <c r="R1609" i="37"/>
  <c r="L935" i="50"/>
  <c r="L1521" i="37"/>
  <c r="M1521" i="37"/>
  <c r="AA1674" i="37"/>
  <c r="N1521" i="37"/>
  <c r="I912" i="50"/>
  <c r="K913" i="50"/>
  <c r="P1074" i="37"/>
  <c r="M1520" i="37"/>
  <c r="J1535" i="37"/>
  <c r="R1531" i="37"/>
  <c r="R1614" i="37"/>
  <c r="AA1583" i="37"/>
  <c r="AA1586" i="37" s="1"/>
  <c r="AA1587" i="37" s="1"/>
  <c r="AA1588" i="37" s="1"/>
  <c r="AA1589" i="37" s="1"/>
  <c r="P1539" i="37"/>
  <c r="P1602" i="37"/>
  <c r="E1573" i="37"/>
  <c r="K1530" i="37"/>
  <c r="P1642" i="37"/>
  <c r="K945" i="50"/>
  <c r="J913" i="50"/>
  <c r="M911" i="50"/>
  <c r="P935" i="50"/>
  <c r="M908" i="50"/>
  <c r="P927" i="50"/>
  <c r="M930" i="50"/>
  <c r="P911" i="50"/>
  <c r="P922" i="50"/>
  <c r="L913" i="50"/>
  <c r="M928" i="50"/>
  <c r="E942" i="50"/>
  <c r="P101" i="50"/>
  <c r="J928" i="50"/>
  <c r="J919" i="50"/>
  <c r="J944" i="50"/>
  <c r="P907" i="50"/>
  <c r="I919" i="50"/>
  <c r="I941" i="50"/>
  <c r="M927" i="50"/>
  <c r="I927" i="50"/>
  <c r="L938" i="50"/>
  <c r="P897" i="50"/>
  <c r="P898" i="50"/>
  <c r="I938" i="50"/>
  <c r="P910" i="50"/>
  <c r="L928" i="50"/>
  <c r="K915" i="50"/>
  <c r="P924" i="50"/>
  <c r="J930" i="50"/>
  <c r="J916" i="50"/>
  <c r="P936" i="50"/>
  <c r="M941" i="50"/>
  <c r="I907" i="50"/>
  <c r="K935" i="50"/>
  <c r="I901" i="50"/>
  <c r="R900" i="50" s="1"/>
  <c r="I925" i="50"/>
  <c r="J894" i="50"/>
  <c r="E121" i="50"/>
  <c r="E229" i="50" s="1"/>
  <c r="M229" i="50" s="1"/>
  <c r="M938" i="50"/>
  <c r="L922" i="50"/>
  <c r="J931" i="50"/>
  <c r="K924" i="50"/>
  <c r="K912" i="50"/>
  <c r="M926" i="50"/>
  <c r="L930" i="50"/>
  <c r="L921" i="50"/>
  <c r="K898" i="50"/>
  <c r="P941" i="50"/>
  <c r="L908" i="50"/>
  <c r="I926" i="50"/>
  <c r="L926" i="50"/>
  <c r="I935" i="50"/>
  <c r="J936" i="50"/>
  <c r="M944" i="50"/>
  <c r="E254" i="41"/>
  <c r="P254" i="41" s="1"/>
  <c r="M893" i="50"/>
  <c r="L929" i="50"/>
  <c r="P921" i="50"/>
  <c r="K927" i="50"/>
  <c r="J915" i="50"/>
  <c r="M912" i="50"/>
  <c r="P933" i="50"/>
  <c r="J924" i="50"/>
  <c r="J945" i="50"/>
  <c r="M933" i="50"/>
  <c r="P931" i="50"/>
  <c r="P916" i="50"/>
  <c r="I929" i="50"/>
  <c r="G894" i="50"/>
  <c r="K929" i="50"/>
  <c r="I942" i="50"/>
  <c r="E280" i="50"/>
  <c r="K941" i="50"/>
  <c r="L912" i="50"/>
  <c r="E944" i="50"/>
  <c r="L919" i="50"/>
  <c r="J907" i="50"/>
  <c r="L944" i="50"/>
  <c r="P928" i="50"/>
  <c r="M931" i="50"/>
  <c r="K897" i="50"/>
  <c r="M892" i="50"/>
  <c r="I915" i="50"/>
  <c r="J910" i="50"/>
  <c r="K922" i="50"/>
  <c r="P919" i="50"/>
  <c r="K930" i="50"/>
  <c r="L918" i="50"/>
  <c r="L924" i="50"/>
  <c r="M918" i="50"/>
  <c r="M929" i="50"/>
  <c r="J911" i="50"/>
  <c r="M922" i="50"/>
  <c r="P925" i="50"/>
  <c r="K908" i="50"/>
  <c r="L898" i="50"/>
  <c r="K944" i="50"/>
  <c r="P926" i="50"/>
  <c r="P930" i="50"/>
  <c r="J926" i="50"/>
  <c r="P932" i="50"/>
  <c r="J941" i="50"/>
  <c r="K918" i="50"/>
  <c r="J897" i="50"/>
  <c r="S101" i="50"/>
  <c r="I924" i="50"/>
  <c r="I945" i="50"/>
  <c r="M924" i="50"/>
  <c r="J938" i="50"/>
  <c r="I928" i="50"/>
  <c r="J918" i="50"/>
  <c r="M916" i="50"/>
  <c r="M932" i="50"/>
  <c r="I908" i="50"/>
  <c r="L915" i="50"/>
  <c r="J921" i="50"/>
  <c r="L942" i="50"/>
  <c r="I898" i="50"/>
  <c r="P938" i="50"/>
  <c r="J908" i="50"/>
  <c r="N981" i="37"/>
  <c r="P102" i="50"/>
  <c r="P1141" i="37"/>
  <c r="S102" i="50"/>
  <c r="P1102" i="37"/>
  <c r="J1229" i="50"/>
  <c r="L232" i="41"/>
  <c r="L233" i="41"/>
  <c r="L231" i="41"/>
  <c r="L337" i="50"/>
  <c r="P1693" i="37"/>
  <c r="H1699" i="37"/>
  <c r="H1700" i="37" s="1"/>
  <c r="H1701" i="37" s="1"/>
  <c r="I1693" i="37"/>
  <c r="P1815" i="37" s="1"/>
  <c r="E283" i="50"/>
  <c r="E257" i="41"/>
  <c r="P257" i="41" s="1"/>
  <c r="M850" i="50"/>
  <c r="L876" i="50"/>
  <c r="L1246" i="50"/>
  <c r="K1246" i="50"/>
  <c r="I1246" i="50"/>
  <c r="J1246" i="50"/>
  <c r="M1246" i="50"/>
  <c r="M921" i="50"/>
  <c r="M897" i="50"/>
  <c r="K926" i="50"/>
  <c r="L897" i="50"/>
  <c r="J927" i="50"/>
  <c r="L945" i="50"/>
  <c r="K919" i="50"/>
  <c r="L933" i="50"/>
  <c r="M915" i="50"/>
  <c r="J892" i="50"/>
  <c r="I930" i="50"/>
  <c r="P901" i="50"/>
  <c r="K910" i="50"/>
  <c r="P913" i="50"/>
  <c r="M907" i="50"/>
  <c r="L907" i="50"/>
  <c r="E892" i="50"/>
  <c r="I892" i="50" s="1"/>
  <c r="I894" i="50" s="1"/>
  <c r="J898" i="50"/>
  <c r="J942" i="50"/>
  <c r="P900" i="50"/>
  <c r="J933" i="50"/>
  <c r="I932" i="50"/>
  <c r="J922" i="50"/>
  <c r="K925" i="50"/>
  <c r="P908" i="50"/>
  <c r="I911" i="50"/>
  <c r="K911" i="50"/>
  <c r="I913" i="50"/>
  <c r="P942" i="50"/>
  <c r="L936" i="50"/>
  <c r="K938" i="50"/>
  <c r="L910" i="50"/>
  <c r="M894" i="50"/>
  <c r="M901" i="50" s="1"/>
  <c r="T889" i="50" s="1"/>
  <c r="T900" i="50" s="1"/>
  <c r="I944" i="50"/>
  <c r="J912" i="50"/>
  <c r="K932" i="50"/>
  <c r="K894" i="50"/>
  <c r="I897" i="50"/>
  <c r="M942" i="50"/>
  <c r="E941" i="50"/>
  <c r="L925" i="50"/>
  <c r="I921" i="50"/>
  <c r="L931" i="50"/>
  <c r="K907" i="50"/>
  <c r="M919" i="50"/>
  <c r="J932" i="50"/>
  <c r="L911" i="50"/>
  <c r="I916" i="50"/>
  <c r="J935" i="50"/>
  <c r="L927" i="50"/>
  <c r="P912" i="50"/>
  <c r="M913" i="50"/>
  <c r="K921" i="50"/>
  <c r="F901" i="50"/>
  <c r="P915" i="50"/>
  <c r="I936" i="50"/>
  <c r="R889" i="50"/>
  <c r="D1332" i="50" s="1"/>
  <c r="D1375" i="50" s="1"/>
  <c r="I922" i="50"/>
  <c r="M898" i="50"/>
  <c r="I918" i="50"/>
  <c r="P918" i="50"/>
  <c r="L932" i="50"/>
  <c r="M945" i="50"/>
  <c r="E945" i="50"/>
  <c r="K936" i="50"/>
  <c r="P929" i="50"/>
  <c r="M910" i="50"/>
  <c r="I933" i="50"/>
  <c r="J925" i="50"/>
  <c r="K916" i="50"/>
  <c r="K942" i="50"/>
  <c r="I931" i="50"/>
  <c r="K892" i="50"/>
  <c r="H892" i="50" s="1"/>
  <c r="P944" i="50"/>
  <c r="M936" i="50"/>
  <c r="K931" i="50"/>
  <c r="J929" i="50"/>
  <c r="K1247" i="50"/>
  <c r="J1247" i="50"/>
  <c r="I1247" i="50"/>
  <c r="L1247" i="50"/>
  <c r="M1247" i="50"/>
  <c r="D949" i="50"/>
  <c r="Q949" i="50"/>
  <c r="C1009" i="50"/>
  <c r="M1256" i="50"/>
  <c r="M1263" i="50" s="1"/>
  <c r="T1251" i="50" s="1"/>
  <c r="T1262" i="50" s="1"/>
  <c r="M1255" i="50"/>
  <c r="M1254" i="50"/>
  <c r="S1224" i="50"/>
  <c r="S1221" i="50"/>
  <c r="M1239" i="50"/>
  <c r="K1239" i="50"/>
  <c r="L1239" i="50"/>
  <c r="J1239" i="50"/>
  <c r="I1239" i="50"/>
  <c r="P1263" i="50"/>
  <c r="P1262" i="50"/>
  <c r="R1251" i="50"/>
  <c r="E1254" i="50"/>
  <c r="P1260" i="50"/>
  <c r="P1259" i="50"/>
  <c r="H1254" i="50"/>
  <c r="J1242" i="50"/>
  <c r="M1242" i="50"/>
  <c r="I1242" i="50"/>
  <c r="K1242" i="50"/>
  <c r="L1242" i="50"/>
  <c r="H1260" i="50"/>
  <c r="G1263" i="50" s="1"/>
  <c r="N1256" i="50"/>
  <c r="N1254" i="50"/>
  <c r="N1255" i="50"/>
  <c r="L1241" i="50"/>
  <c r="M1241" i="50"/>
  <c r="K1241" i="50"/>
  <c r="I1241" i="50"/>
  <c r="J1241" i="50"/>
  <c r="I1244" i="50"/>
  <c r="M1244" i="50"/>
  <c r="K1244" i="50"/>
  <c r="L1244" i="50"/>
  <c r="J1244" i="50"/>
  <c r="I1240" i="50"/>
  <c r="L1240" i="50"/>
  <c r="M1240" i="50"/>
  <c r="J1240" i="50"/>
  <c r="L1274" i="50"/>
  <c r="H1279" i="50" s="1"/>
  <c r="I1271" i="50"/>
  <c r="M1271" i="50"/>
  <c r="D1271" i="50"/>
  <c r="Q1271" i="50"/>
  <c r="M232" i="41"/>
  <c r="M231" i="41"/>
  <c r="M337" i="50"/>
  <c r="M233" i="41"/>
  <c r="P1823" i="37"/>
  <c r="Q983" i="37"/>
  <c r="AA980" i="37" s="1"/>
  <c r="V973" i="37"/>
  <c r="V1111" i="37" s="1"/>
  <c r="AA1134" i="37"/>
  <c r="R1119" i="37"/>
  <c r="R991" i="37"/>
  <c r="L980" i="37"/>
  <c r="P1103" i="37"/>
  <c r="R1082" i="37"/>
  <c r="X1041" i="37"/>
  <c r="AA1043" i="37"/>
  <c r="AA1046" i="37" s="1"/>
  <c r="AA1047" i="37" s="1"/>
  <c r="AA1048" i="37" s="1"/>
  <c r="AA1049" i="37" s="1"/>
  <c r="R1033" i="37"/>
  <c r="P1127" i="37"/>
  <c r="P1069" i="37"/>
  <c r="M981" i="37"/>
  <c r="P1079" i="37"/>
  <c r="M980" i="37"/>
  <c r="E119" i="50"/>
  <c r="E227" i="50" s="1"/>
  <c r="M227" i="50" s="1"/>
  <c r="P1038" i="37"/>
  <c r="P1082" i="37"/>
  <c r="I981" i="37"/>
  <c r="P1094" i="37"/>
  <c r="P1095" i="37"/>
  <c r="S983" i="37"/>
  <c r="N992" i="37" s="1"/>
  <c r="R1069" i="37"/>
  <c r="I990" i="37"/>
  <c r="P981" i="37"/>
  <c r="P1075" i="37"/>
  <c r="P999" i="37"/>
  <c r="R1127" i="37"/>
  <c r="P1126" i="37"/>
  <c r="I980" i="37"/>
  <c r="P1062" i="37"/>
  <c r="P1050" i="37"/>
  <c r="P980" i="37"/>
  <c r="P1144" i="37"/>
  <c r="R1131" i="37"/>
  <c r="P1078" i="37"/>
  <c r="AA1089" i="37"/>
  <c r="AA1092" i="37" s="1"/>
  <c r="AA1093" i="37" s="1"/>
  <c r="AA1113" i="37" s="1"/>
  <c r="AA1116" i="37" s="1"/>
  <c r="R1050" i="37"/>
  <c r="P1119" i="37"/>
  <c r="P1118" i="37"/>
  <c r="J987" i="37"/>
  <c r="X1087" i="37"/>
  <c r="N980" i="37"/>
  <c r="Y979" i="37" s="1"/>
  <c r="N978" i="37"/>
  <c r="Q991" i="37"/>
  <c r="E1033" i="37"/>
  <c r="X1137" i="37"/>
  <c r="S973" i="37"/>
  <c r="S1069" i="37" s="1"/>
  <c r="W973" i="37"/>
  <c r="W1110" i="37" s="1"/>
  <c r="P1083" i="37"/>
  <c r="M990" i="37"/>
  <c r="I1026" i="37"/>
  <c r="P993" i="37"/>
  <c r="T973" i="37"/>
  <c r="T1033" i="37" s="1"/>
  <c r="R1062" i="37"/>
  <c r="P1131" i="37"/>
  <c r="K990" i="37"/>
  <c r="J981" i="37"/>
  <c r="AA973" i="37"/>
  <c r="AA989" i="37"/>
  <c r="AA990" i="37" s="1"/>
  <c r="AA991" i="37" s="1"/>
  <c r="AA992" i="37" s="1"/>
  <c r="AA993" i="37" s="1"/>
  <c r="J995" i="37"/>
  <c r="P1110" i="37"/>
  <c r="U973" i="37"/>
  <c r="U991" i="37" s="1"/>
  <c r="L990" i="37"/>
  <c r="E1134" i="37"/>
  <c r="H983" i="37"/>
  <c r="R1074" i="37"/>
  <c r="E979" i="37"/>
  <c r="P1033" i="37"/>
  <c r="R973" i="37"/>
  <c r="AA998" i="37"/>
  <c r="AA1011" i="37" s="1"/>
  <c r="AA1012" i="37" s="1"/>
  <c r="AA1013" i="37" s="1"/>
  <c r="AA1014" i="37" s="1"/>
  <c r="AA1015" i="37" s="1"/>
  <c r="AA1016" i="37" s="1"/>
  <c r="AA1017" i="37" s="1"/>
  <c r="AA1018" i="37" s="1"/>
  <c r="AA1019" i="37" s="1"/>
  <c r="AA1020" i="37" s="1"/>
  <c r="AA1021" i="37" s="1"/>
  <c r="Y978" i="37"/>
  <c r="Y981" i="37" s="1"/>
  <c r="L981" i="37"/>
  <c r="P1145" i="37"/>
  <c r="K981" i="37"/>
  <c r="R1118" i="37"/>
  <c r="P1037" i="37"/>
  <c r="R1075" i="37"/>
  <c r="P1140" i="37"/>
  <c r="P1134" i="37"/>
  <c r="J990" i="37"/>
  <c r="P1111" i="37"/>
  <c r="J987" i="50"/>
  <c r="S99" i="50"/>
  <c r="P99" i="50"/>
  <c r="M350" i="43"/>
  <c r="J1350" i="37"/>
  <c r="I1340" i="37"/>
  <c r="P837" i="50"/>
  <c r="K878" i="50"/>
  <c r="M861" i="50"/>
  <c r="K859" i="50"/>
  <c r="E832" i="50"/>
  <c r="L832" i="50" s="1"/>
  <c r="E952" i="50"/>
  <c r="I952" i="50" s="1"/>
  <c r="I954" i="50" s="1"/>
  <c r="M339" i="43"/>
  <c r="H26" i="37" s="1"/>
  <c r="H27" i="37" s="1"/>
  <c r="H28" i="37" s="1"/>
  <c r="L342" i="43"/>
  <c r="L349" i="43"/>
  <c r="J981" i="50"/>
  <c r="M884" i="50"/>
  <c r="I859" i="50"/>
  <c r="K872" i="50"/>
  <c r="I885" i="50"/>
  <c r="L871" i="50"/>
  <c r="L859" i="50"/>
  <c r="K851" i="50"/>
  <c r="R829" i="50"/>
  <c r="D1331" i="50" s="1"/>
  <c r="D1374" i="50" s="1"/>
  <c r="M882" i="50"/>
  <c r="L869" i="50"/>
  <c r="I862" i="50"/>
  <c r="I871" i="50"/>
  <c r="L838" i="50"/>
  <c r="M855" i="50"/>
  <c r="I861" i="50"/>
  <c r="L861" i="50"/>
  <c r="I847" i="50"/>
  <c r="J838" i="50"/>
  <c r="P816" i="50"/>
  <c r="P791" i="50"/>
  <c r="P851" i="50"/>
  <c r="P847" i="50"/>
  <c r="L847" i="50"/>
  <c r="H834" i="50"/>
  <c r="L866" i="50"/>
  <c r="I866" i="50"/>
  <c r="L873" i="50"/>
  <c r="J861" i="50"/>
  <c r="J862" i="50"/>
  <c r="M772" i="50"/>
  <c r="K876" i="50"/>
  <c r="J858" i="50"/>
  <c r="M858" i="50"/>
  <c r="K871" i="50"/>
  <c r="L855" i="50"/>
  <c r="I837" i="50"/>
  <c r="M859" i="50"/>
  <c r="I855" i="50"/>
  <c r="P867" i="50"/>
  <c r="M865" i="50"/>
  <c r="J834" i="50"/>
  <c r="L878" i="50"/>
  <c r="P882" i="50"/>
  <c r="J885" i="50"/>
  <c r="M872" i="50"/>
  <c r="P866" i="50"/>
  <c r="I868" i="50"/>
  <c r="K861" i="50"/>
  <c r="J881" i="50"/>
  <c r="J875" i="50"/>
  <c r="K881" i="50"/>
  <c r="K834" i="50"/>
  <c r="P815" i="50"/>
  <c r="E882" i="50"/>
  <c r="L864" i="50"/>
  <c r="K848" i="50"/>
  <c r="L853" i="50"/>
  <c r="P862" i="50"/>
  <c r="M873" i="50"/>
  <c r="K862" i="50"/>
  <c r="I869" i="50"/>
  <c r="I873" i="50"/>
  <c r="L865" i="50"/>
  <c r="K838" i="50"/>
  <c r="L837" i="50"/>
  <c r="P848" i="50"/>
  <c r="J837" i="50"/>
  <c r="L868" i="50"/>
  <c r="I875" i="50"/>
  <c r="L885" i="50"/>
  <c r="I865" i="50"/>
  <c r="K868" i="50"/>
  <c r="P885" i="50"/>
  <c r="M866" i="50"/>
  <c r="M870" i="50"/>
  <c r="K873" i="50"/>
  <c r="L884" i="50"/>
  <c r="P838" i="50"/>
  <c r="L848" i="50"/>
  <c r="J884" i="50"/>
  <c r="I968" i="50"/>
  <c r="L808" i="50"/>
  <c r="J808" i="50"/>
  <c r="M796" i="50"/>
  <c r="J824" i="50"/>
  <c r="M868" i="50"/>
  <c r="K856" i="50"/>
  <c r="M838" i="50"/>
  <c r="K850" i="50"/>
  <c r="G834" i="50"/>
  <c r="J851" i="50"/>
  <c r="J872" i="50"/>
  <c r="M885" i="50"/>
  <c r="L858" i="50"/>
  <c r="P861" i="50"/>
  <c r="K847" i="50"/>
  <c r="K855" i="50"/>
  <c r="L875" i="50"/>
  <c r="E885" i="50"/>
  <c r="L870" i="50"/>
  <c r="M848" i="50"/>
  <c r="L862" i="50"/>
  <c r="I867" i="50"/>
  <c r="K864" i="50"/>
  <c r="M853" i="50"/>
  <c r="I881" i="50"/>
  <c r="K884" i="50"/>
  <c r="M847" i="50"/>
  <c r="P850" i="50"/>
  <c r="J864" i="50"/>
  <c r="I870" i="50"/>
  <c r="L979" i="50"/>
  <c r="H954" i="50"/>
  <c r="M809" i="50"/>
  <c r="M821" i="50"/>
  <c r="M806" i="50"/>
  <c r="M802" i="50"/>
  <c r="M851" i="50"/>
  <c r="K852" i="50"/>
  <c r="M837" i="50"/>
  <c r="P875" i="50"/>
  <c r="I872" i="50"/>
  <c r="K832" i="50"/>
  <c r="H832" i="50" s="1"/>
  <c r="K853" i="50"/>
  <c r="I841" i="50"/>
  <c r="R840" i="50" s="1"/>
  <c r="L882" i="50"/>
  <c r="J878" i="50"/>
  <c r="P864" i="50"/>
  <c r="P865" i="50"/>
  <c r="K841" i="50"/>
  <c r="S840" i="50" s="1"/>
  <c r="M834" i="50"/>
  <c r="M841" i="50" s="1"/>
  <c r="T829" i="50" s="1"/>
  <c r="T840" i="50" s="1"/>
  <c r="E881" i="50"/>
  <c r="K837" i="50"/>
  <c r="J882" i="50"/>
  <c r="I850" i="50"/>
  <c r="M869" i="50"/>
  <c r="K875" i="50"/>
  <c r="J871" i="50"/>
  <c r="P878" i="50"/>
  <c r="J850" i="50"/>
  <c r="K865" i="50"/>
  <c r="L851" i="50"/>
  <c r="P852" i="50"/>
  <c r="L973" i="50"/>
  <c r="J996" i="50"/>
  <c r="L810" i="50"/>
  <c r="M822" i="50"/>
  <c r="I807" i="50"/>
  <c r="L856" i="50"/>
  <c r="E884" i="50"/>
  <c r="J853" i="50"/>
  <c r="P858" i="50"/>
  <c r="I852" i="50"/>
  <c r="J855" i="50"/>
  <c r="P876" i="50"/>
  <c r="K869" i="50"/>
  <c r="J832" i="50"/>
  <c r="L867" i="50"/>
  <c r="P859" i="50"/>
  <c r="K867" i="50"/>
  <c r="F841" i="50"/>
  <c r="P855" i="50"/>
  <c r="M878" i="50"/>
  <c r="P884" i="50"/>
  <c r="J859" i="50"/>
  <c r="I882" i="50"/>
  <c r="P870" i="50"/>
  <c r="J847" i="50"/>
  <c r="I884" i="50"/>
  <c r="P871" i="50"/>
  <c r="I851" i="50"/>
  <c r="P868" i="50"/>
  <c r="I848" i="50"/>
  <c r="M978" i="50"/>
  <c r="K801" i="50"/>
  <c r="I813" i="50"/>
  <c r="K818" i="50"/>
  <c r="J856" i="50"/>
  <c r="P881" i="50"/>
  <c r="M881" i="50"/>
  <c r="L850" i="50"/>
  <c r="K882" i="50"/>
  <c r="I878" i="50"/>
  <c r="M833" i="50"/>
  <c r="P872" i="50"/>
  <c r="L881" i="50"/>
  <c r="I853" i="50"/>
  <c r="K870" i="50"/>
  <c r="P841" i="50"/>
  <c r="I876" i="50"/>
  <c r="M876" i="50"/>
  <c r="P840" i="50"/>
  <c r="I864" i="50"/>
  <c r="I856" i="50"/>
  <c r="J866" i="50"/>
  <c r="L852" i="50"/>
  <c r="K885" i="50"/>
  <c r="P869" i="50"/>
  <c r="I796" i="50"/>
  <c r="M799" i="50"/>
  <c r="M810" i="50"/>
  <c r="P873" i="50"/>
  <c r="M852" i="50"/>
  <c r="J865" i="50"/>
  <c r="P856" i="50"/>
  <c r="J867" i="50"/>
  <c r="L872" i="50"/>
  <c r="J868" i="50"/>
  <c r="J869" i="50"/>
  <c r="M864" i="50"/>
  <c r="J870" i="50"/>
  <c r="M862" i="50"/>
  <c r="K866" i="50"/>
  <c r="M871" i="50"/>
  <c r="I838" i="50"/>
  <c r="M832" i="50"/>
  <c r="M856" i="50"/>
  <c r="J873" i="50"/>
  <c r="M875" i="50"/>
  <c r="J852" i="50"/>
  <c r="P853" i="50"/>
  <c r="J848" i="50"/>
  <c r="J876" i="50"/>
  <c r="I858" i="50"/>
  <c r="M867" i="50"/>
  <c r="I957" i="50"/>
  <c r="M793" i="50"/>
  <c r="K824" i="50"/>
  <c r="K340" i="43"/>
  <c r="K346" i="43"/>
  <c r="F354" i="43"/>
  <c r="K354" i="43"/>
  <c r="F339" i="43"/>
  <c r="M353" i="43"/>
  <c r="K347" i="43"/>
  <c r="K343" i="43"/>
  <c r="L351" i="43"/>
  <c r="F344" i="43"/>
  <c r="F343" i="43"/>
  <c r="F346" i="43"/>
  <c r="J347" i="43"/>
  <c r="L340" i="43"/>
  <c r="F350" i="43"/>
  <c r="L344" i="43"/>
  <c r="J353" i="43"/>
  <c r="I778" i="50"/>
  <c r="I791" i="50"/>
  <c r="L796" i="50"/>
  <c r="J339" i="43"/>
  <c r="M344" i="43"/>
  <c r="J346" i="43"/>
  <c r="K352" i="43"/>
  <c r="M351" i="43"/>
  <c r="F351" i="43"/>
  <c r="F353" i="43"/>
  <c r="L345" i="43"/>
  <c r="K350" i="43"/>
  <c r="K353" i="43"/>
  <c r="J343" i="43"/>
  <c r="J350" i="43"/>
  <c r="M354" i="43"/>
  <c r="L354" i="43"/>
  <c r="M340" i="43"/>
  <c r="H259" i="37" s="1"/>
  <c r="H260" i="37" s="1"/>
  <c r="H261" i="37" s="1"/>
  <c r="M342" i="43"/>
  <c r="H619" i="37" s="1"/>
  <c r="H620" i="37" s="1"/>
  <c r="H621" i="37" s="1"/>
  <c r="M348" i="43"/>
  <c r="J341" i="43"/>
  <c r="L339" i="43"/>
  <c r="J352" i="43"/>
  <c r="L346" i="43"/>
  <c r="M345" i="43"/>
  <c r="L350" i="43"/>
  <c r="L352" i="43"/>
  <c r="K345" i="43"/>
  <c r="M347" i="43"/>
  <c r="L343" i="43"/>
  <c r="F341" i="43"/>
  <c r="F349" i="43"/>
  <c r="J354" i="43"/>
  <c r="F340" i="43"/>
  <c r="F352" i="43"/>
  <c r="K342" i="43"/>
  <c r="J342" i="43"/>
  <c r="J349" i="43"/>
  <c r="M349" i="43"/>
  <c r="F345" i="43"/>
  <c r="K351" i="43"/>
  <c r="M346" i="43"/>
  <c r="J348" i="43"/>
  <c r="J344" i="43"/>
  <c r="K339" i="43"/>
  <c r="L348" i="43"/>
  <c r="L347" i="43"/>
  <c r="M343" i="43"/>
  <c r="H799" i="37" s="1"/>
  <c r="H800" i="37" s="1"/>
  <c r="H801" i="37" s="1"/>
  <c r="L341" i="43"/>
  <c r="K341" i="43"/>
  <c r="K349" i="43"/>
  <c r="L353" i="43"/>
  <c r="F347" i="43"/>
  <c r="F348" i="43"/>
  <c r="J340" i="43"/>
  <c r="F342" i="43"/>
  <c r="M341" i="43"/>
  <c r="H439" i="37" s="1"/>
  <c r="H440" i="37" s="1"/>
  <c r="H441" i="37" s="1"/>
  <c r="J345" i="43"/>
  <c r="K348" i="43"/>
  <c r="J351" i="43"/>
  <c r="M352" i="43"/>
  <c r="K344" i="43"/>
  <c r="J1001" i="50"/>
  <c r="I971" i="50"/>
  <c r="P987" i="50"/>
  <c r="K985" i="50"/>
  <c r="J975" i="50"/>
  <c r="P985" i="50"/>
  <c r="J992" i="50"/>
  <c r="J1004" i="50"/>
  <c r="K991" i="50"/>
  <c r="I972" i="50"/>
  <c r="L985" i="50"/>
  <c r="M804" i="50"/>
  <c r="L807" i="50"/>
  <c r="I795" i="50"/>
  <c r="K807" i="50"/>
  <c r="J777" i="50"/>
  <c r="M825" i="50"/>
  <c r="K821" i="50"/>
  <c r="P780" i="50"/>
  <c r="J787" i="50"/>
  <c r="J821" i="50"/>
  <c r="I822" i="50"/>
  <c r="K781" i="50"/>
  <c r="S780" i="50" s="1"/>
  <c r="P787" i="50"/>
  <c r="M968" i="50"/>
  <c r="K982" i="50"/>
  <c r="J993" i="50"/>
  <c r="I996" i="50"/>
  <c r="L971" i="50"/>
  <c r="J998" i="50"/>
  <c r="J952" i="50"/>
  <c r="M979" i="50"/>
  <c r="M973" i="50"/>
  <c r="K984" i="50"/>
  <c r="I978" i="50"/>
  <c r="P777" i="50"/>
  <c r="L812" i="50"/>
  <c r="M818" i="50"/>
  <c r="J822" i="50"/>
  <c r="I808" i="50"/>
  <c r="I810" i="50"/>
  <c r="J816" i="50"/>
  <c r="P809" i="50"/>
  <c r="L804" i="50"/>
  <c r="M813" i="50"/>
  <c r="P824" i="50"/>
  <c r="J809" i="50"/>
  <c r="P807" i="50"/>
  <c r="K975" i="50"/>
  <c r="L990" i="50"/>
  <c r="P1005" i="50"/>
  <c r="L1004" i="50"/>
  <c r="I1005" i="50"/>
  <c r="L989" i="50"/>
  <c r="F961" i="50"/>
  <c r="M972" i="50"/>
  <c r="L972" i="50"/>
  <c r="M981" i="50"/>
  <c r="K812" i="50"/>
  <c r="M801" i="50"/>
  <c r="M774" i="50"/>
  <c r="M781" i="50" s="1"/>
  <c r="T769" i="50" s="1"/>
  <c r="T780" i="50" s="1"/>
  <c r="K798" i="50"/>
  <c r="I824" i="50"/>
  <c r="K793" i="50"/>
  <c r="I801" i="50"/>
  <c r="P798" i="50"/>
  <c r="L815" i="50"/>
  <c r="J818" i="50"/>
  <c r="P805" i="50"/>
  <c r="H774" i="50"/>
  <c r="F781" i="50"/>
  <c r="K981" i="50"/>
  <c r="P958" i="50"/>
  <c r="K987" i="50"/>
  <c r="K1002" i="50"/>
  <c r="J986" i="50"/>
  <c r="M1001" i="50"/>
  <c r="L987" i="50"/>
  <c r="L995" i="50"/>
  <c r="L992" i="50"/>
  <c r="K976" i="50"/>
  <c r="M989" i="50"/>
  <c r="P795" i="50"/>
  <c r="K799" i="50"/>
  <c r="K792" i="50"/>
  <c r="I792" i="50"/>
  <c r="L795" i="50"/>
  <c r="M824" i="50"/>
  <c r="P822" i="50"/>
  <c r="J804" i="50"/>
  <c r="P781" i="50"/>
  <c r="P793" i="50"/>
  <c r="J802" i="50"/>
  <c r="L811" i="50"/>
  <c r="L802" i="50"/>
  <c r="P990" i="50"/>
  <c r="J957" i="50"/>
  <c r="P960" i="50"/>
  <c r="P988" i="50"/>
  <c r="R949" i="50"/>
  <c r="J990" i="50"/>
  <c r="J958" i="50"/>
  <c r="P970" i="50"/>
  <c r="P998" i="50"/>
  <c r="I992" i="50"/>
  <c r="K954" i="50"/>
  <c r="J985" i="50"/>
  <c r="J807" i="50"/>
  <c r="K795" i="50"/>
  <c r="K788" i="50"/>
  <c r="M815" i="50"/>
  <c r="K772" i="50"/>
  <c r="H777" i="50" s="1"/>
  <c r="P810" i="50"/>
  <c r="L822" i="50"/>
  <c r="I781" i="50"/>
  <c r="R780" i="50" s="1"/>
  <c r="I799" i="50"/>
  <c r="K806" i="50"/>
  <c r="L790" i="50"/>
  <c r="P801" i="50"/>
  <c r="J796" i="50"/>
  <c r="L1001" i="50"/>
  <c r="K988" i="50"/>
  <c r="I989" i="50"/>
  <c r="P993" i="50"/>
  <c r="L958" i="50"/>
  <c r="K979" i="50"/>
  <c r="K972" i="50"/>
  <c r="I967" i="50"/>
  <c r="M992" i="50"/>
  <c r="L981" i="50"/>
  <c r="M998" i="50"/>
  <c r="K1004" i="50"/>
  <c r="K822" i="50"/>
  <c r="E822" i="50"/>
  <c r="P790" i="50"/>
  <c r="P788" i="50"/>
  <c r="J774" i="50"/>
  <c r="P778" i="50"/>
  <c r="K825" i="50"/>
  <c r="E821" i="50"/>
  <c r="J812" i="50"/>
  <c r="K796" i="50"/>
  <c r="I802" i="50"/>
  <c r="I825" i="50"/>
  <c r="M788" i="50"/>
  <c r="S1333" i="37"/>
  <c r="S1429" i="37" s="1"/>
  <c r="N1341" i="37"/>
  <c r="E1494" i="37"/>
  <c r="K1341" i="37"/>
  <c r="K1340" i="37"/>
  <c r="R1434" i="37"/>
  <c r="J1347" i="37"/>
  <c r="E282" i="50"/>
  <c r="R1443" i="37"/>
  <c r="P1398" i="37"/>
  <c r="P98" i="50"/>
  <c r="M791" i="50"/>
  <c r="R769" i="50"/>
  <c r="D1330" i="50" s="1"/>
  <c r="D1373" i="50" s="1"/>
  <c r="L825" i="50"/>
  <c r="I787" i="50"/>
  <c r="J805" i="50"/>
  <c r="K787" i="50"/>
  <c r="J811" i="50"/>
  <c r="J772" i="50"/>
  <c r="P806" i="50"/>
  <c r="I793" i="50"/>
  <c r="J825" i="50"/>
  <c r="M792" i="50"/>
  <c r="G774" i="50"/>
  <c r="J806" i="50"/>
  <c r="K811" i="50"/>
  <c r="L821" i="50"/>
  <c r="M807" i="50"/>
  <c r="P796" i="50"/>
  <c r="E824" i="50"/>
  <c r="I806" i="50"/>
  <c r="L788" i="50"/>
  <c r="J791" i="50"/>
  <c r="E772" i="50"/>
  <c r="I772" i="50" s="1"/>
  <c r="I774" i="50" s="1"/>
  <c r="P811" i="50"/>
  <c r="I811" i="50"/>
  <c r="L824" i="50"/>
  <c r="P100" i="50"/>
  <c r="J788" i="50"/>
  <c r="L818" i="50"/>
  <c r="K816" i="50"/>
  <c r="P821" i="50"/>
  <c r="K774" i="50"/>
  <c r="P825" i="50"/>
  <c r="L791" i="50"/>
  <c r="K804" i="50"/>
  <c r="L798" i="50"/>
  <c r="M808" i="50"/>
  <c r="M777" i="50"/>
  <c r="P802" i="50"/>
  <c r="I809" i="50"/>
  <c r="J798" i="50"/>
  <c r="I790" i="50"/>
  <c r="L792" i="50"/>
  <c r="K802" i="50"/>
  <c r="I804" i="50"/>
  <c r="L787" i="50"/>
  <c r="I788" i="50"/>
  <c r="P804" i="50"/>
  <c r="L778" i="50"/>
  <c r="J810" i="50"/>
  <c r="M798" i="50"/>
  <c r="K808" i="50"/>
  <c r="J778" i="50"/>
  <c r="P799" i="50"/>
  <c r="I777" i="50"/>
  <c r="I805" i="50"/>
  <c r="J799" i="50"/>
  <c r="K815" i="50"/>
  <c r="L801" i="50"/>
  <c r="L809" i="50"/>
  <c r="L816" i="50"/>
  <c r="L813" i="50"/>
  <c r="K791" i="50"/>
  <c r="M778" i="50"/>
  <c r="I798" i="50"/>
  <c r="K777" i="50"/>
  <c r="M811" i="50"/>
  <c r="P818" i="50"/>
  <c r="K809" i="50"/>
  <c r="L805" i="50"/>
  <c r="K790" i="50"/>
  <c r="L799" i="50"/>
  <c r="M816" i="50"/>
  <c r="J792" i="50"/>
  <c r="L777" i="50"/>
  <c r="I821" i="50"/>
  <c r="J795" i="50"/>
  <c r="K778" i="50"/>
  <c r="M795" i="50"/>
  <c r="J815" i="50"/>
  <c r="K810" i="50"/>
  <c r="J813" i="50"/>
  <c r="I812" i="50"/>
  <c r="M787" i="50"/>
  <c r="J801" i="50"/>
  <c r="I815" i="50"/>
  <c r="P812" i="50"/>
  <c r="P808" i="50"/>
  <c r="P792" i="50"/>
  <c r="M773" i="50"/>
  <c r="J790" i="50"/>
  <c r="M812" i="50"/>
  <c r="K813" i="50"/>
  <c r="M790" i="50"/>
  <c r="M805" i="50"/>
  <c r="J793" i="50"/>
  <c r="I816" i="50"/>
  <c r="L806" i="50"/>
  <c r="L793" i="50"/>
  <c r="I818" i="50"/>
  <c r="P813" i="50"/>
  <c r="K805" i="50"/>
  <c r="E120" i="50"/>
  <c r="E228" i="50" s="1"/>
  <c r="K228" i="50" s="1"/>
  <c r="S100" i="50"/>
  <c r="M954" i="50"/>
  <c r="M961" i="50" s="1"/>
  <c r="T949" i="50" s="1"/>
  <c r="T960" i="50" s="1"/>
  <c r="M952" i="50"/>
  <c r="K990" i="50"/>
  <c r="J971" i="50"/>
  <c r="L957" i="50"/>
  <c r="M1005" i="50"/>
  <c r="I1004" i="50"/>
  <c r="K961" i="50"/>
  <c r="S960" i="50" s="1"/>
  <c r="P984" i="50"/>
  <c r="M988" i="50"/>
  <c r="J970" i="50"/>
  <c r="J973" i="50"/>
  <c r="K958" i="50"/>
  <c r="P978" i="50"/>
  <c r="P992" i="50"/>
  <c r="M995" i="50"/>
  <c r="I988" i="50"/>
  <c r="E1001" i="50"/>
  <c r="P986" i="50"/>
  <c r="M958" i="50"/>
  <c r="J968" i="50"/>
  <c r="I985" i="50"/>
  <c r="J991" i="50"/>
  <c r="K996" i="50"/>
  <c r="K967" i="50"/>
  <c r="M1004" i="50"/>
  <c r="I975" i="50"/>
  <c r="P981" i="50"/>
  <c r="I982" i="50"/>
  <c r="I1001" i="50"/>
  <c r="L976" i="50"/>
  <c r="I995" i="50"/>
  <c r="P967" i="50"/>
  <c r="J1002" i="50"/>
  <c r="P957" i="50"/>
  <c r="P968" i="50"/>
  <c r="P1002" i="50"/>
  <c r="I970" i="50"/>
  <c r="K957" i="50"/>
  <c r="P973" i="50"/>
  <c r="K968" i="50"/>
  <c r="J979" i="50"/>
  <c r="J984" i="50"/>
  <c r="L988" i="50"/>
  <c r="I976" i="50"/>
  <c r="J976" i="50"/>
  <c r="P1004" i="50"/>
  <c r="K1005" i="50"/>
  <c r="I984" i="50"/>
  <c r="L982" i="50"/>
  <c r="K993" i="50"/>
  <c r="M993" i="50"/>
  <c r="M970" i="50"/>
  <c r="J988" i="50"/>
  <c r="M987" i="50"/>
  <c r="L986" i="50"/>
  <c r="L1002" i="50"/>
  <c r="M991" i="50"/>
  <c r="L993" i="50"/>
  <c r="L975" i="50"/>
  <c r="P971" i="50"/>
  <c r="M975" i="50"/>
  <c r="M990" i="50"/>
  <c r="K1001" i="50"/>
  <c r="P972" i="50"/>
  <c r="M967" i="50"/>
  <c r="K992" i="50"/>
  <c r="K952" i="50"/>
  <c r="H957" i="50" s="1"/>
  <c r="M982" i="50"/>
  <c r="M984" i="50"/>
  <c r="K986" i="50"/>
  <c r="E1005" i="50"/>
  <c r="P975" i="50"/>
  <c r="J989" i="50"/>
  <c r="I958" i="50"/>
  <c r="J1005" i="50"/>
  <c r="I990" i="50"/>
  <c r="I987" i="50"/>
  <c r="K973" i="50"/>
  <c r="K978" i="50"/>
  <c r="J972" i="50"/>
  <c r="L978" i="50"/>
  <c r="L968" i="50"/>
  <c r="P982" i="50"/>
  <c r="L1005" i="50"/>
  <c r="P995" i="50"/>
  <c r="M985" i="50"/>
  <c r="J982" i="50"/>
  <c r="M996" i="50"/>
  <c r="I973" i="50"/>
  <c r="G954" i="50"/>
  <c r="M971" i="50"/>
  <c r="L984" i="50"/>
  <c r="P961" i="50"/>
  <c r="P976" i="50"/>
  <c r="M976" i="50"/>
  <c r="P996" i="50"/>
  <c r="I998" i="50"/>
  <c r="L991" i="50"/>
  <c r="M1002" i="50"/>
  <c r="J978" i="50"/>
  <c r="L996" i="50"/>
  <c r="I991" i="50"/>
  <c r="E256" i="41"/>
  <c r="P256" i="41" s="1"/>
  <c r="P991" i="50"/>
  <c r="L998" i="50"/>
  <c r="M957" i="50"/>
  <c r="E1002" i="50"/>
  <c r="I979" i="50"/>
  <c r="L967" i="50"/>
  <c r="L970" i="50"/>
  <c r="P1001" i="50"/>
  <c r="J967" i="50"/>
  <c r="P979" i="50"/>
  <c r="I1002" i="50"/>
  <c r="I986" i="50"/>
  <c r="M953" i="50"/>
  <c r="E1004" i="50"/>
  <c r="J954" i="50"/>
  <c r="M986" i="50"/>
  <c r="K998" i="50"/>
  <c r="I981" i="50"/>
  <c r="K989" i="50"/>
  <c r="I993" i="50"/>
  <c r="I961" i="50"/>
  <c r="R960" i="50" s="1"/>
  <c r="K971" i="50"/>
  <c r="J995" i="50"/>
  <c r="K995" i="50"/>
  <c r="P989" i="50"/>
  <c r="R1479" i="37"/>
  <c r="P1471" i="37"/>
  <c r="V1333" i="37"/>
  <c r="V1358" i="37" s="1"/>
  <c r="I1341" i="37"/>
  <c r="P1340" i="37"/>
  <c r="X1401" i="37"/>
  <c r="M1350" i="37"/>
  <c r="M1341" i="37"/>
  <c r="P1504" i="37"/>
  <c r="P1455" i="37"/>
  <c r="S1343" i="37"/>
  <c r="X1358" i="37" s="1"/>
  <c r="R1351" i="37"/>
  <c r="P1438" i="37"/>
  <c r="AA1349" i="37"/>
  <c r="AA1350" i="37" s="1"/>
  <c r="AA1351" i="37" s="1"/>
  <c r="AA1352" i="37" s="1"/>
  <c r="AA1353" i="37" s="1"/>
  <c r="AA1358" i="37"/>
  <c r="AA1371" i="37" s="1"/>
  <c r="AA1372" i="37" s="1"/>
  <c r="AA1373" i="37" s="1"/>
  <c r="AA1374" i="37" s="1"/>
  <c r="AA1375" i="37" s="1"/>
  <c r="AA1376" i="37" s="1"/>
  <c r="AA1377" i="37" s="1"/>
  <c r="AA1378" i="37" s="1"/>
  <c r="AA1379" i="37" s="1"/>
  <c r="AA1380" i="37" s="1"/>
  <c r="AA1381" i="37" s="1"/>
  <c r="R1422" i="37"/>
  <c r="R1478" i="37"/>
  <c r="H1343" i="37"/>
  <c r="AA1449" i="37"/>
  <c r="AA1452" i="37" s="1"/>
  <c r="AA1453" i="37" s="1"/>
  <c r="AA1473" i="37" s="1"/>
  <c r="AA1476" i="37" s="1"/>
  <c r="P1454" i="37"/>
  <c r="W1333" i="37"/>
  <c r="W1393" i="37" s="1"/>
  <c r="P1478" i="37"/>
  <c r="R1491" i="37"/>
  <c r="P1359" i="37"/>
  <c r="N1340" i="37"/>
  <c r="Y1339" i="37" s="1"/>
  <c r="P1429" i="37"/>
  <c r="R1442" i="37"/>
  <c r="Y1338" i="37"/>
  <c r="Y1341" i="37" s="1"/>
  <c r="P1500" i="37"/>
  <c r="P1463" i="37"/>
  <c r="P1494" i="37"/>
  <c r="P1505" i="37"/>
  <c r="AA1403" i="37"/>
  <c r="AA1415" i="37" s="1"/>
  <c r="AA1418" i="37" s="1"/>
  <c r="AA1419" i="37" s="1"/>
  <c r="AA1420" i="37" s="1"/>
  <c r="AA1421" i="37" s="1"/>
  <c r="X1497" i="37"/>
  <c r="P1443" i="37"/>
  <c r="P1435" i="37"/>
  <c r="E1393" i="37"/>
  <c r="I1386" i="37"/>
  <c r="E1339" i="37"/>
  <c r="L1341" i="37"/>
  <c r="L1340" i="37"/>
  <c r="P1353" i="37"/>
  <c r="J1341" i="37"/>
  <c r="R1487" i="37"/>
  <c r="P1410" i="37"/>
  <c r="J1355" i="37"/>
  <c r="R1429" i="37"/>
  <c r="M1340" i="37"/>
  <c r="L1350" i="37"/>
  <c r="P1470" i="37"/>
  <c r="P1434" i="37"/>
  <c r="N1338" i="37"/>
  <c r="AA1333" i="37"/>
  <c r="P1487" i="37"/>
  <c r="R1393" i="37"/>
  <c r="K1350" i="37"/>
  <c r="P1397" i="37"/>
  <c r="AA1494" i="37"/>
  <c r="P1462" i="37"/>
  <c r="J1340" i="37"/>
  <c r="Q1351" i="37"/>
  <c r="T1333" i="37"/>
  <c r="T1443" i="37" s="1"/>
  <c r="P1422" i="37"/>
  <c r="I1350" i="37"/>
  <c r="P1442" i="37"/>
  <c r="P1393" i="37"/>
  <c r="U1333" i="37"/>
  <c r="U1340" i="37" s="1"/>
  <c r="P1341" i="37"/>
  <c r="X1447" i="37"/>
  <c r="P1491" i="37"/>
  <c r="P1486" i="37"/>
  <c r="P1439" i="37"/>
  <c r="R1435" i="37"/>
  <c r="Q1343" i="37"/>
  <c r="AA1340" i="37" s="1"/>
  <c r="P1501" i="37"/>
  <c r="R1333" i="37"/>
  <c r="R1410" i="37"/>
  <c r="Y1160" i="37"/>
  <c r="E118" i="50"/>
  <c r="E226" i="50" s="1"/>
  <c r="L226" i="50" s="1"/>
  <c r="S98" i="50"/>
  <c r="E255" i="41"/>
  <c r="E356" i="50" s="1"/>
  <c r="E281" i="50"/>
  <c r="N1168" i="37"/>
  <c r="X1171" i="37" s="1"/>
  <c r="O209" i="34"/>
  <c r="R209" i="34" s="1"/>
  <c r="C210" i="34"/>
  <c r="D209" i="34"/>
  <c r="I110" i="50"/>
  <c r="I130" i="50" s="1"/>
  <c r="J314" i="41"/>
  <c r="J408" i="50" s="1"/>
  <c r="Y1177" i="37"/>
  <c r="Y1178" i="37" s="1"/>
  <c r="Y1161" i="37"/>
  <c r="Y1168" i="37"/>
  <c r="Y1169" i="37" s="1"/>
  <c r="Y1170" i="37" s="1"/>
  <c r="Y1171" i="37" s="1"/>
  <c r="Y1172" i="37" s="1"/>
  <c r="Y1173" i="37" s="1"/>
  <c r="AA1159" i="37"/>
  <c r="M314" i="41"/>
  <c r="M408" i="50" s="1"/>
  <c r="I314" i="41"/>
  <c r="I408" i="50" s="1"/>
  <c r="K314" i="41"/>
  <c r="K408" i="50" s="1"/>
  <c r="K403" i="50"/>
  <c r="I233" i="41"/>
  <c r="I337" i="50"/>
  <c r="I232" i="41"/>
  <c r="I231" i="41"/>
  <c r="L314" i="41"/>
  <c r="L408" i="50" s="1"/>
  <c r="L403" i="50"/>
  <c r="E369" i="43"/>
  <c r="F368" i="43"/>
  <c r="K367" i="43"/>
  <c r="L38" i="50" s="1"/>
  <c r="G367" i="43"/>
  <c r="H367" i="43"/>
  <c r="E38" i="50" s="1"/>
  <c r="J367" i="43"/>
  <c r="I38" i="50" s="1"/>
  <c r="AA1226" i="37"/>
  <c r="AA1227" i="37" s="1"/>
  <c r="AA1228" i="37" s="1"/>
  <c r="AA1229" i="37" s="1"/>
  <c r="AA1235" i="37"/>
  <c r="AA1238" i="37" s="1"/>
  <c r="AA1239" i="37" s="1"/>
  <c r="AA1240" i="37" s="1"/>
  <c r="AA1241" i="37" s="1"/>
  <c r="J103" i="50"/>
  <c r="J97" i="50"/>
  <c r="J117" i="50" s="1"/>
  <c r="J104" i="50"/>
  <c r="J101" i="50"/>
  <c r="J121" i="50" s="1"/>
  <c r="J105" i="50"/>
  <c r="J93" i="50"/>
  <c r="J110" i="50" s="1"/>
  <c r="J130" i="50" s="1"/>
  <c r="J109" i="50"/>
  <c r="J107" i="50"/>
  <c r="J100" i="50"/>
  <c r="J120" i="50" s="1"/>
  <c r="J102" i="50"/>
  <c r="J122" i="50" s="1"/>
  <c r="J108" i="50"/>
  <c r="J99" i="50"/>
  <c r="J119" i="50" s="1"/>
  <c r="J106" i="50"/>
  <c r="J95" i="50"/>
  <c r="J115" i="50" s="1"/>
  <c r="J94" i="50"/>
  <c r="J114" i="50" s="1"/>
  <c r="J98" i="50"/>
  <c r="J118" i="50" s="1"/>
  <c r="J96" i="50"/>
  <c r="J116" i="50" s="1"/>
  <c r="T1290" i="37"/>
  <c r="T1178" i="37"/>
  <c r="T1311" i="37"/>
  <c r="T1263" i="37"/>
  <c r="T1299" i="37"/>
  <c r="T1171" i="37"/>
  <c r="T1307" i="37"/>
  <c r="T1213" i="37"/>
  <c r="T1230" i="37"/>
  <c r="T1160" i="37"/>
  <c r="T1172" i="37"/>
  <c r="T1249" i="37"/>
  <c r="T1255" i="37"/>
  <c r="T1173" i="37"/>
  <c r="T1161" i="37"/>
  <c r="T1291" i="37"/>
  <c r="T1242" i="37"/>
  <c r="W1299" i="37"/>
  <c r="W1171" i="37"/>
  <c r="W1160" i="37"/>
  <c r="W1173" i="37"/>
  <c r="W1242" i="37"/>
  <c r="W1263" i="37"/>
  <c r="W1249" i="37"/>
  <c r="W1255" i="37"/>
  <c r="W1172" i="37"/>
  <c r="W1230" i="37"/>
  <c r="W1311" i="37"/>
  <c r="W1307" i="37"/>
  <c r="W1213" i="37"/>
  <c r="W1290" i="37"/>
  <c r="W1161" i="37"/>
  <c r="W1178" i="37"/>
  <c r="W1291" i="37"/>
  <c r="M99" i="50"/>
  <c r="M119" i="50" s="1"/>
  <c r="M104" i="50"/>
  <c r="M98" i="50"/>
  <c r="M118" i="50" s="1"/>
  <c r="M97" i="50"/>
  <c r="M117" i="50" s="1"/>
  <c r="M103" i="50"/>
  <c r="M100" i="50"/>
  <c r="M120" i="50" s="1"/>
  <c r="M102" i="50"/>
  <c r="M122" i="50" s="1"/>
  <c r="M109" i="50"/>
  <c r="M96" i="50"/>
  <c r="M116" i="50" s="1"/>
  <c r="M93" i="50"/>
  <c r="M105" i="50"/>
  <c r="M101" i="50"/>
  <c r="M121" i="50" s="1"/>
  <c r="M94" i="50"/>
  <c r="M114" i="50" s="1"/>
  <c r="M95" i="50"/>
  <c r="M115" i="50" s="1"/>
  <c r="M107" i="50"/>
  <c r="M108" i="50"/>
  <c r="M106" i="50"/>
  <c r="S1299" i="37"/>
  <c r="S1249" i="37"/>
  <c r="S1255" i="37"/>
  <c r="S1160" i="37"/>
  <c r="S1230" i="37"/>
  <c r="S1311" i="37"/>
  <c r="S1307" i="37"/>
  <c r="S1161" i="37"/>
  <c r="S1263" i="37"/>
  <c r="S1172" i="37"/>
  <c r="S1242" i="37"/>
  <c r="S1178" i="37"/>
  <c r="S1173" i="37"/>
  <c r="S1171" i="37"/>
  <c r="S1213" i="37"/>
  <c r="S1291" i="37"/>
  <c r="S1290" i="37"/>
  <c r="U1160" i="37"/>
  <c r="U1263" i="37"/>
  <c r="U1299" i="37"/>
  <c r="U1291" i="37"/>
  <c r="U1213" i="37"/>
  <c r="U1307" i="37"/>
  <c r="U1290" i="37"/>
  <c r="U1311" i="37"/>
  <c r="U1161" i="37"/>
  <c r="U1249" i="37"/>
  <c r="U1230" i="37"/>
  <c r="U1242" i="37"/>
  <c r="U1173" i="37"/>
  <c r="U1172" i="37"/>
  <c r="U1255" i="37"/>
  <c r="U1171" i="37"/>
  <c r="U1178" i="37"/>
  <c r="V1213" i="37"/>
  <c r="V1161" i="37"/>
  <c r="V1290" i="37"/>
  <c r="V1172" i="37"/>
  <c r="V1178" i="37"/>
  <c r="V1160" i="37"/>
  <c r="V1311" i="37"/>
  <c r="V1173" i="37"/>
  <c r="V1249" i="37"/>
  <c r="V1255" i="37"/>
  <c r="V1230" i="37"/>
  <c r="V1299" i="37"/>
  <c r="V1291" i="37"/>
  <c r="V1307" i="37"/>
  <c r="V1242" i="37"/>
  <c r="V1263" i="37"/>
  <c r="V1171" i="37"/>
  <c r="P253" i="41"/>
  <c r="E299" i="41"/>
  <c r="E354" i="50"/>
  <c r="N161" i="43"/>
  <c r="AA1275" i="37"/>
  <c r="AA1293" i="37"/>
  <c r="AA1296" i="37" s="1"/>
  <c r="N1172" i="37"/>
  <c r="X1173" i="37"/>
  <c r="X1172" i="37"/>
  <c r="X1178" i="37"/>
  <c r="L100" i="50"/>
  <c r="L120" i="50" s="1"/>
  <c r="L102" i="50"/>
  <c r="L122" i="50" s="1"/>
  <c r="L93" i="50"/>
  <c r="L97" i="50"/>
  <c r="L117" i="50" s="1"/>
  <c r="L101" i="50"/>
  <c r="L121" i="50" s="1"/>
  <c r="L99" i="50"/>
  <c r="L119" i="50" s="1"/>
  <c r="L107" i="50"/>
  <c r="L109" i="50"/>
  <c r="L98" i="50"/>
  <c r="L118" i="50" s="1"/>
  <c r="L103" i="50"/>
  <c r="L94" i="50"/>
  <c r="L114" i="50" s="1"/>
  <c r="L95" i="50"/>
  <c r="L115" i="50" s="1"/>
  <c r="L96" i="50"/>
  <c r="L116" i="50" s="1"/>
  <c r="L104" i="50"/>
  <c r="L106" i="50"/>
  <c r="L108" i="50"/>
  <c r="L105" i="50"/>
  <c r="AA1519" i="37" l="1"/>
  <c r="U1521" i="37"/>
  <c r="W1615" i="37"/>
  <c r="W1651" i="37"/>
  <c r="W1623" i="37"/>
  <c r="W1521" i="37"/>
  <c r="W1532" i="37"/>
  <c r="W1538" i="37"/>
  <c r="W1531" i="37"/>
  <c r="W1533" i="37"/>
  <c r="Y1537" i="37"/>
  <c r="Y1538" i="37" s="1"/>
  <c r="T1602" i="37"/>
  <c r="T1520" i="37"/>
  <c r="I316" i="49"/>
  <c r="U1659" i="37"/>
  <c r="S1590" i="37"/>
  <c r="Y1528" i="37"/>
  <c r="Y1529" i="37" s="1"/>
  <c r="Y1530" i="37" s="1"/>
  <c r="Y1531" i="37" s="1"/>
  <c r="Y1532" i="37" s="1"/>
  <c r="Y1533" i="37" s="1"/>
  <c r="S1532" i="37"/>
  <c r="N1528" i="37"/>
  <c r="N1537" i="37" s="1"/>
  <c r="X1537" i="37" s="1"/>
  <c r="Y1520" i="37"/>
  <c r="X1533" i="37"/>
  <c r="K230" i="50"/>
  <c r="T1623" i="37"/>
  <c r="T1651" i="37"/>
  <c r="T1573" i="37"/>
  <c r="X1532" i="37"/>
  <c r="P230" i="50"/>
  <c r="T1533" i="37"/>
  <c r="T1650" i="37"/>
  <c r="E355" i="50"/>
  <c r="L892" i="50"/>
  <c r="N898" i="50" s="1"/>
  <c r="X1538" i="37"/>
  <c r="M230" i="50"/>
  <c r="T1538" i="37"/>
  <c r="T1659" i="37"/>
  <c r="E300" i="41"/>
  <c r="P300" i="41" s="1"/>
  <c r="L230" i="50"/>
  <c r="T1590" i="37"/>
  <c r="T1609" i="37"/>
  <c r="T1531" i="37"/>
  <c r="T1521" i="37"/>
  <c r="H897" i="50"/>
  <c r="N892" i="50" s="1"/>
  <c r="I230" i="50"/>
  <c r="T1667" i="37"/>
  <c r="T1615" i="37"/>
  <c r="T1671" i="37"/>
  <c r="W1573" i="37"/>
  <c r="W1659" i="37"/>
  <c r="W1590" i="37"/>
  <c r="J229" i="50"/>
  <c r="W1609" i="37"/>
  <c r="W1520" i="37"/>
  <c r="W1671" i="37"/>
  <c r="W1602" i="37"/>
  <c r="W1667" i="37"/>
  <c r="V1573" i="37"/>
  <c r="V1650" i="37"/>
  <c r="V1623" i="37"/>
  <c r="V1531" i="37"/>
  <c r="I128" i="50"/>
  <c r="V1602" i="37"/>
  <c r="V1651" i="37"/>
  <c r="V980" i="37"/>
  <c r="V1110" i="37"/>
  <c r="AA1055" i="37"/>
  <c r="AA1058" i="37" s="1"/>
  <c r="AA1059" i="37" s="1"/>
  <c r="AA1060" i="37" s="1"/>
  <c r="AA1061" i="37" s="1"/>
  <c r="V1033" i="37"/>
  <c r="V1520" i="37"/>
  <c r="V1538" i="37"/>
  <c r="V1533" i="37"/>
  <c r="V1609" i="37"/>
  <c r="V1667" i="37"/>
  <c r="V1590" i="37"/>
  <c r="V1615" i="37"/>
  <c r="V1671" i="37"/>
  <c r="V1659" i="37"/>
  <c r="V1532" i="37"/>
  <c r="U1650" i="37"/>
  <c r="U1573" i="37"/>
  <c r="U1671" i="37"/>
  <c r="U1520" i="37"/>
  <c r="S1650" i="37"/>
  <c r="AA1595" i="37"/>
  <c r="AA1598" i="37" s="1"/>
  <c r="AA1599" i="37" s="1"/>
  <c r="AA1600" i="37" s="1"/>
  <c r="AA1601" i="37" s="1"/>
  <c r="S1520" i="37"/>
  <c r="S1573" i="37"/>
  <c r="S1609" i="37"/>
  <c r="U1623" i="37"/>
  <c r="U1538" i="37"/>
  <c r="S1602" i="37"/>
  <c r="S1659" i="37"/>
  <c r="S1667" i="37"/>
  <c r="U1532" i="37"/>
  <c r="U1602" i="37"/>
  <c r="S1671" i="37"/>
  <c r="U1533" i="37"/>
  <c r="U1667" i="37"/>
  <c r="S1651" i="37"/>
  <c r="AA1653" i="37"/>
  <c r="AA1656" i="37" s="1"/>
  <c r="AA1661" i="37" s="1"/>
  <c r="AA1664" i="37" s="1"/>
  <c r="AA1665" i="37" s="1"/>
  <c r="AA1667" i="37" s="1"/>
  <c r="S1538" i="37"/>
  <c r="S1533" i="37"/>
  <c r="U1615" i="37"/>
  <c r="U1590" i="37"/>
  <c r="S1521" i="37"/>
  <c r="S1531" i="37"/>
  <c r="U1609" i="37"/>
  <c r="S1623" i="37"/>
  <c r="U1651" i="37"/>
  <c r="V1119" i="37"/>
  <c r="H952" i="50"/>
  <c r="S949" i="50" s="1"/>
  <c r="R1333" i="50" s="1"/>
  <c r="T981" i="37"/>
  <c r="T1119" i="37"/>
  <c r="J1715" i="37"/>
  <c r="P229" i="50"/>
  <c r="K229" i="50"/>
  <c r="K227" i="50"/>
  <c r="I229" i="50"/>
  <c r="S1131" i="37"/>
  <c r="L229" i="50"/>
  <c r="V991" i="37"/>
  <c r="V981" i="37"/>
  <c r="V1083" i="37"/>
  <c r="V1127" i="37"/>
  <c r="V993" i="37"/>
  <c r="V992" i="37"/>
  <c r="V1050" i="37"/>
  <c r="V1062" i="37"/>
  <c r="V1131" i="37"/>
  <c r="V1069" i="37"/>
  <c r="V1075" i="37"/>
  <c r="V998" i="37"/>
  <c r="P1794" i="37"/>
  <c r="R1770" i="37"/>
  <c r="J1701" i="37"/>
  <c r="U1693" i="37"/>
  <c r="U1831" i="37" s="1"/>
  <c r="J1707" i="37"/>
  <c r="W1693" i="37"/>
  <c r="W1831" i="37" s="1"/>
  <c r="P1803" i="37"/>
  <c r="Q1703" i="37"/>
  <c r="AA1700" i="37" s="1"/>
  <c r="P1789" i="37"/>
  <c r="N1701" i="37"/>
  <c r="P1854" i="37"/>
  <c r="R1847" i="37"/>
  <c r="R1711" i="37"/>
  <c r="P1799" i="37"/>
  <c r="P1770" i="37"/>
  <c r="J1700" i="37"/>
  <c r="E1753" i="37"/>
  <c r="R1838" i="37"/>
  <c r="S1119" i="37"/>
  <c r="P1758" i="37"/>
  <c r="R1782" i="37"/>
  <c r="X1857" i="37"/>
  <c r="P1814" i="37"/>
  <c r="R1794" i="37"/>
  <c r="V1693" i="37"/>
  <c r="V1851" i="37" s="1"/>
  <c r="P1782" i="37"/>
  <c r="E1699" i="37"/>
  <c r="R1839" i="37"/>
  <c r="R1803" i="37"/>
  <c r="M1701" i="37"/>
  <c r="P1861" i="37"/>
  <c r="P1830" i="37"/>
  <c r="T1693" i="37"/>
  <c r="T1753" i="37" s="1"/>
  <c r="P1802" i="37"/>
  <c r="P1871" i="37"/>
  <c r="M1700" i="37"/>
  <c r="R1802" i="37"/>
  <c r="N1698" i="37"/>
  <c r="I1746" i="37"/>
  <c r="N1700" i="37"/>
  <c r="Y1699" i="37" s="1"/>
  <c r="P1846" i="37"/>
  <c r="J1710" i="37"/>
  <c r="AA1693" i="37"/>
  <c r="K1710" i="37"/>
  <c r="M1710" i="37"/>
  <c r="Y1698" i="37"/>
  <c r="Y1701" i="37" s="1"/>
  <c r="AA1718" i="37"/>
  <c r="AA1731" i="37" s="1"/>
  <c r="AA1732" i="37" s="1"/>
  <c r="AA1733" i="37" s="1"/>
  <c r="AA1734" i="37" s="1"/>
  <c r="AA1735" i="37" s="1"/>
  <c r="AA1736" i="37" s="1"/>
  <c r="AA1737" i="37" s="1"/>
  <c r="AA1738" i="37" s="1"/>
  <c r="AA1739" i="37" s="1"/>
  <c r="AA1740" i="37" s="1"/>
  <c r="AA1741" i="37" s="1"/>
  <c r="L1701" i="37"/>
  <c r="P1851" i="37"/>
  <c r="AA1095" i="37"/>
  <c r="AA1097" i="37" s="1"/>
  <c r="AA1100" i="37" s="1"/>
  <c r="AA1101" i="37" s="1"/>
  <c r="AA1103" i="37" s="1"/>
  <c r="N988" i="37"/>
  <c r="X991" i="37" s="1"/>
  <c r="P1719" i="37"/>
  <c r="I1701" i="37"/>
  <c r="P1713" i="37"/>
  <c r="R1789" i="37"/>
  <c r="R1795" i="37"/>
  <c r="P1831" i="37"/>
  <c r="X1761" i="37"/>
  <c r="P1701" i="37"/>
  <c r="X1807" i="37"/>
  <c r="E1854" i="37"/>
  <c r="P1753" i="37"/>
  <c r="P1847" i="37"/>
  <c r="S1693" i="37"/>
  <c r="S1753" i="37" s="1"/>
  <c r="L1700" i="37"/>
  <c r="R1851" i="37"/>
  <c r="P1757" i="37"/>
  <c r="AA1763" i="37"/>
  <c r="AA1775" i="37" s="1"/>
  <c r="AA1778" i="37" s="1"/>
  <c r="AA1779" i="37" s="1"/>
  <c r="AA1780" i="37" s="1"/>
  <c r="AA1781" i="37" s="1"/>
  <c r="P1798" i="37"/>
  <c r="P1860" i="37"/>
  <c r="R1753" i="37"/>
  <c r="H1703" i="37"/>
  <c r="P1700" i="37"/>
  <c r="K1700" i="37"/>
  <c r="P1795" i="37"/>
  <c r="Q1711" i="37"/>
  <c r="R1693" i="37"/>
  <c r="AA1809" i="37"/>
  <c r="AA1812" i="37" s="1"/>
  <c r="AA1813" i="37" s="1"/>
  <c r="AA1833" i="37" s="1"/>
  <c r="AA1836" i="37" s="1"/>
  <c r="AA1841" i="37" s="1"/>
  <c r="AA1844" i="37" s="1"/>
  <c r="AA1845" i="37" s="1"/>
  <c r="AA1847" i="37" s="1"/>
  <c r="S1703" i="37"/>
  <c r="X1713" i="37" s="1"/>
  <c r="AA1854" i="37"/>
  <c r="S998" i="37"/>
  <c r="S1127" i="37"/>
  <c r="X992" i="37"/>
  <c r="S981" i="37"/>
  <c r="S1083" i="37"/>
  <c r="S1111" i="37"/>
  <c r="U993" i="37"/>
  <c r="S992" i="37"/>
  <c r="S1033" i="37"/>
  <c r="U1127" i="37"/>
  <c r="U998" i="37"/>
  <c r="D1333" i="50"/>
  <c r="D1376" i="50" s="1"/>
  <c r="S1075" i="37"/>
  <c r="S1110" i="37"/>
  <c r="S1062" i="37"/>
  <c r="X993" i="37"/>
  <c r="S1050" i="37"/>
  <c r="S993" i="37"/>
  <c r="S980" i="37"/>
  <c r="X998" i="37"/>
  <c r="S991" i="37"/>
  <c r="I832" i="50"/>
  <c r="I834" i="50" s="1"/>
  <c r="E358" i="50"/>
  <c r="S1254" i="50"/>
  <c r="S1251" i="50"/>
  <c r="E303" i="41"/>
  <c r="E398" i="50" s="1"/>
  <c r="M1274" i="50"/>
  <c r="M1275" i="50"/>
  <c r="M1276" i="50"/>
  <c r="M1283" i="50" s="1"/>
  <c r="T1271" i="50" s="1"/>
  <c r="T1282" i="50" s="1"/>
  <c r="I1259" i="50"/>
  <c r="M1259" i="50"/>
  <c r="J1259" i="50"/>
  <c r="K1259" i="50"/>
  <c r="L1259" i="50"/>
  <c r="K1701" i="37"/>
  <c r="P1822" i="37"/>
  <c r="P1864" i="37"/>
  <c r="I1700" i="37"/>
  <c r="AA1709" i="37"/>
  <c r="I1710" i="37"/>
  <c r="P1839" i="37"/>
  <c r="P1838" i="37"/>
  <c r="P1865" i="37"/>
  <c r="L1710" i="37"/>
  <c r="R1271" i="50"/>
  <c r="E1274" i="50"/>
  <c r="J1274" i="50" s="1"/>
  <c r="K1274" i="50" s="1"/>
  <c r="P1280" i="50"/>
  <c r="M1279" i="50" s="1"/>
  <c r="H1274" i="50"/>
  <c r="P1282" i="50"/>
  <c r="P1279" i="50"/>
  <c r="P1283" i="50"/>
  <c r="Q1009" i="50"/>
  <c r="D1339" i="50" s="1"/>
  <c r="D1382" i="50" s="1"/>
  <c r="D1009" i="50"/>
  <c r="I1009" i="50"/>
  <c r="N1274" i="50"/>
  <c r="H1280" i="50"/>
  <c r="G1283" i="50" s="1"/>
  <c r="N1276" i="50"/>
  <c r="N1275" i="50"/>
  <c r="AA979" i="37"/>
  <c r="L227" i="50"/>
  <c r="P227" i="50"/>
  <c r="J227" i="50"/>
  <c r="W1069" i="37"/>
  <c r="I227" i="50"/>
  <c r="W981" i="37"/>
  <c r="W998" i="37"/>
  <c r="Y988" i="37"/>
  <c r="Y989" i="37" s="1"/>
  <c r="Y990" i="37" s="1"/>
  <c r="Y991" i="37" s="1"/>
  <c r="Y992" i="37" s="1"/>
  <c r="Y993" i="37" s="1"/>
  <c r="W1033" i="37"/>
  <c r="W1083" i="37"/>
  <c r="T1127" i="37"/>
  <c r="T980" i="37"/>
  <c r="T1131" i="37"/>
  <c r="T1083" i="37"/>
  <c r="T992" i="37"/>
  <c r="T1050" i="37"/>
  <c r="T1110" i="37"/>
  <c r="T1062" i="37"/>
  <c r="T1069" i="37"/>
  <c r="T1075" i="37"/>
  <c r="T991" i="37"/>
  <c r="T1111" i="37"/>
  <c r="T993" i="37"/>
  <c r="T998" i="37"/>
  <c r="U1111" i="37"/>
  <c r="U1131" i="37"/>
  <c r="U1062" i="37"/>
  <c r="U1083" i="37"/>
  <c r="U980" i="37"/>
  <c r="U1050" i="37"/>
  <c r="U992" i="37"/>
  <c r="U1069" i="37"/>
  <c r="U981" i="37"/>
  <c r="U1119" i="37"/>
  <c r="U1075" i="37"/>
  <c r="U1033" i="37"/>
  <c r="U1110" i="37"/>
  <c r="W991" i="37"/>
  <c r="W1050" i="37"/>
  <c r="Y997" i="37"/>
  <c r="Y998" i="37" s="1"/>
  <c r="W1119" i="37"/>
  <c r="W980" i="37"/>
  <c r="W1062" i="37"/>
  <c r="W993" i="37"/>
  <c r="W1127" i="37"/>
  <c r="W1075" i="37"/>
  <c r="W1131" i="37"/>
  <c r="W1111" i="37"/>
  <c r="Y980" i="37"/>
  <c r="W992" i="37"/>
  <c r="W1340" i="37"/>
  <c r="L952" i="50"/>
  <c r="L954" i="50" s="1"/>
  <c r="S1470" i="37"/>
  <c r="S1410" i="37"/>
  <c r="H837" i="50"/>
  <c r="N832" i="50" s="1"/>
  <c r="I709" i="50"/>
  <c r="G4" i="37"/>
  <c r="I793" i="37"/>
  <c r="E139" i="41"/>
  <c r="E97" i="50"/>
  <c r="I343" i="43"/>
  <c r="Y1340" i="37"/>
  <c r="AC517" i="42"/>
  <c r="R466" i="42"/>
  <c r="U466" i="42" s="1"/>
  <c r="E93" i="50"/>
  <c r="G3" i="37"/>
  <c r="I339" i="43"/>
  <c r="I13" i="37"/>
  <c r="E135" i="41"/>
  <c r="I469" i="50"/>
  <c r="AC474" i="42"/>
  <c r="R509" i="42"/>
  <c r="U509" i="42" s="1"/>
  <c r="U517" i="42" s="1"/>
  <c r="K1280" i="50" s="1"/>
  <c r="K3" i="37"/>
  <c r="E137" i="41"/>
  <c r="I589" i="50"/>
  <c r="I341" i="43"/>
  <c r="E95" i="50"/>
  <c r="I433" i="37"/>
  <c r="Z406" i="42"/>
  <c r="Z333" i="42"/>
  <c r="I3" i="37"/>
  <c r="J1254" i="50"/>
  <c r="K1254" i="50" s="1"/>
  <c r="J1224" i="50"/>
  <c r="K1224" i="50" s="1"/>
  <c r="I1194" i="50"/>
  <c r="I253" i="37"/>
  <c r="Z242" i="42"/>
  <c r="J1114" i="50"/>
  <c r="K1114" i="50" s="1"/>
  <c r="J1074" i="50"/>
  <c r="K1074" i="50" s="1"/>
  <c r="L106" i="47"/>
  <c r="L365" i="47"/>
  <c r="I1254" i="50"/>
  <c r="R398" i="42"/>
  <c r="J1194" i="50"/>
  <c r="K1194" i="50" s="1"/>
  <c r="R143" i="42"/>
  <c r="R12" i="42"/>
  <c r="L227" i="47"/>
  <c r="I1114" i="50"/>
  <c r="L300" i="47"/>
  <c r="L267" i="47"/>
  <c r="I529" i="50"/>
  <c r="E94" i="50"/>
  <c r="Z517" i="42"/>
  <c r="L17" i="47"/>
  <c r="I340" i="43"/>
  <c r="I1154" i="50"/>
  <c r="L174" i="47"/>
  <c r="E136" i="41"/>
  <c r="J1154" i="50"/>
  <c r="K1154" i="50" s="1"/>
  <c r="R325" i="42"/>
  <c r="Z24" i="42"/>
  <c r="R234" i="42"/>
  <c r="I342" i="43"/>
  <c r="I649" i="50"/>
  <c r="M3" i="37"/>
  <c r="E96" i="50"/>
  <c r="I613" i="37"/>
  <c r="E138" i="41"/>
  <c r="Z474" i="42"/>
  <c r="L140" i="47"/>
  <c r="Z151" i="42"/>
  <c r="I1224" i="50"/>
  <c r="I1074" i="50"/>
  <c r="D268" i="43"/>
  <c r="G380" i="43"/>
  <c r="G381" i="43" s="1"/>
  <c r="L332" i="47"/>
  <c r="S1393" i="37"/>
  <c r="S1479" i="37"/>
  <c r="S1353" i="37"/>
  <c r="S1422" i="37"/>
  <c r="E357" i="50"/>
  <c r="H772" i="50"/>
  <c r="S772" i="50" s="1"/>
  <c r="S1351" i="37"/>
  <c r="S1358" i="37"/>
  <c r="S1443" i="37"/>
  <c r="S1341" i="37"/>
  <c r="S1491" i="37"/>
  <c r="S1352" i="37"/>
  <c r="E302" i="41"/>
  <c r="P302" i="41" s="1"/>
  <c r="S1487" i="37"/>
  <c r="S1340" i="37"/>
  <c r="S1435" i="37"/>
  <c r="S1471" i="37"/>
  <c r="W1351" i="37"/>
  <c r="W1353" i="37"/>
  <c r="W1470" i="37"/>
  <c r="T1353" i="37"/>
  <c r="I228" i="50"/>
  <c r="T1340" i="37"/>
  <c r="T1471" i="37"/>
  <c r="W1352" i="37"/>
  <c r="L772" i="50"/>
  <c r="N778" i="50" s="1"/>
  <c r="J228" i="50"/>
  <c r="W1358" i="37"/>
  <c r="W1429" i="37"/>
  <c r="I226" i="50"/>
  <c r="W1443" i="37"/>
  <c r="M228" i="50"/>
  <c r="W1491" i="37"/>
  <c r="W1410" i="37"/>
  <c r="W1487" i="37"/>
  <c r="P228" i="50"/>
  <c r="W1471" i="37"/>
  <c r="W1422" i="37"/>
  <c r="W1341" i="37"/>
  <c r="W1435" i="37"/>
  <c r="L228" i="50"/>
  <c r="T1435" i="37"/>
  <c r="W1479" i="37"/>
  <c r="N1348" i="37"/>
  <c r="N1357" i="37" s="1"/>
  <c r="X1357" i="37" s="1"/>
  <c r="U1341" i="37"/>
  <c r="U1429" i="37"/>
  <c r="AA1455" i="37"/>
  <c r="AA1457" i="37" s="1"/>
  <c r="AA1460" i="37" s="1"/>
  <c r="AA1461" i="37" s="1"/>
  <c r="AA1463" i="37" s="1"/>
  <c r="T1422" i="37"/>
  <c r="T1491" i="37"/>
  <c r="T1470" i="37"/>
  <c r="T1393" i="37"/>
  <c r="Y1348" i="37"/>
  <c r="Y1349" i="37" s="1"/>
  <c r="Y1350" i="37" s="1"/>
  <c r="Y1351" i="37" s="1"/>
  <c r="Y1352" i="37" s="1"/>
  <c r="Y1353" i="37" s="1"/>
  <c r="T1429" i="37"/>
  <c r="T1487" i="37"/>
  <c r="Y1357" i="37"/>
  <c r="Y1358" i="37" s="1"/>
  <c r="T1341" i="37"/>
  <c r="T1410" i="37"/>
  <c r="AA1406" i="37"/>
  <c r="AA1407" i="37" s="1"/>
  <c r="AA1408" i="37" s="1"/>
  <c r="AA1409" i="37" s="1"/>
  <c r="T1358" i="37"/>
  <c r="T1479" i="37"/>
  <c r="T1351" i="37"/>
  <c r="T1352" i="37"/>
  <c r="U1410" i="37"/>
  <c r="U1479" i="37"/>
  <c r="U1352" i="37"/>
  <c r="U1443" i="37"/>
  <c r="J226" i="50"/>
  <c r="N1352" i="37"/>
  <c r="U1351" i="37"/>
  <c r="U1422" i="37"/>
  <c r="X1353" i="37"/>
  <c r="U1470" i="37"/>
  <c r="U1358" i="37"/>
  <c r="U1435" i="37"/>
  <c r="V1479" i="37"/>
  <c r="U1487" i="37"/>
  <c r="U1393" i="37"/>
  <c r="V1341" i="37"/>
  <c r="U1353" i="37"/>
  <c r="V1435" i="37"/>
  <c r="U1491" i="37"/>
  <c r="U1471" i="37"/>
  <c r="V1470" i="37"/>
  <c r="X1352" i="37"/>
  <c r="V1422" i="37"/>
  <c r="V1352" i="37"/>
  <c r="V1353" i="37"/>
  <c r="V1351" i="37"/>
  <c r="V1491" i="37"/>
  <c r="V1340" i="37"/>
  <c r="V1410" i="37"/>
  <c r="E301" i="41"/>
  <c r="E330" i="41" s="1"/>
  <c r="V1487" i="37"/>
  <c r="V1443" i="37"/>
  <c r="P255" i="41"/>
  <c r="V1393" i="37"/>
  <c r="V1471" i="37"/>
  <c r="V1429" i="37"/>
  <c r="AA1339" i="37"/>
  <c r="N1177" i="37"/>
  <c r="X1177" i="37" s="1"/>
  <c r="P226" i="50"/>
  <c r="K226" i="50"/>
  <c r="M226" i="50"/>
  <c r="D210" i="34"/>
  <c r="C211" i="34"/>
  <c r="O210" i="34"/>
  <c r="R210" i="34" s="1"/>
  <c r="M110" i="50"/>
  <c r="M130" i="50" s="1"/>
  <c r="L110" i="50"/>
  <c r="L130" i="50" s="1"/>
  <c r="R1291" i="37"/>
  <c r="R1161" i="37"/>
  <c r="H368" i="43"/>
  <c r="E39" i="50" s="1"/>
  <c r="K368" i="43"/>
  <c r="L39" i="50" s="1"/>
  <c r="G368" i="43"/>
  <c r="J368" i="43"/>
  <c r="I39" i="50" s="1"/>
  <c r="E370" i="43"/>
  <c r="F369" i="43"/>
  <c r="AA1637" i="37"/>
  <c r="AA1640" i="37" s="1"/>
  <c r="AA1641" i="37" s="1"/>
  <c r="AA1643" i="37" s="1"/>
  <c r="AA1645" i="37"/>
  <c r="AA1648" i="37" s="1"/>
  <c r="AA1649" i="37" s="1"/>
  <c r="AA1651" i="37" s="1"/>
  <c r="M123" i="50"/>
  <c r="L125" i="50"/>
  <c r="L123" i="50"/>
  <c r="N773" i="50"/>
  <c r="G781" i="50"/>
  <c r="H778" i="50"/>
  <c r="N774" i="50"/>
  <c r="N772" i="50"/>
  <c r="J315" i="49"/>
  <c r="J128" i="50"/>
  <c r="Q1521" i="37"/>
  <c r="Q1179" i="37"/>
  <c r="R1160" i="37"/>
  <c r="M113" i="50"/>
  <c r="M125" i="50"/>
  <c r="J124" i="50"/>
  <c r="L316" i="49"/>
  <c r="L129" i="50"/>
  <c r="L124" i="50"/>
  <c r="L127" i="50"/>
  <c r="N953" i="50"/>
  <c r="N952" i="50"/>
  <c r="G961" i="50"/>
  <c r="N954" i="50"/>
  <c r="H958" i="50"/>
  <c r="AA1301" i="37"/>
  <c r="AA1304" i="37" s="1"/>
  <c r="AA1305" i="37" s="1"/>
  <c r="AA1307" i="37" s="1"/>
  <c r="AA1297" i="37"/>
  <c r="AA1299" i="37" s="1"/>
  <c r="M126" i="50"/>
  <c r="M124" i="50"/>
  <c r="S829" i="50"/>
  <c r="R1331" i="50" s="1"/>
  <c r="S832" i="50"/>
  <c r="J127" i="50"/>
  <c r="J123" i="50"/>
  <c r="AA1117" i="37"/>
  <c r="AA1119" i="37" s="1"/>
  <c r="AA1121" i="37"/>
  <c r="AA1124" i="37" s="1"/>
  <c r="AA1125" i="37" s="1"/>
  <c r="AA1127" i="37" s="1"/>
  <c r="L113" i="50"/>
  <c r="L315" i="49"/>
  <c r="L128" i="50"/>
  <c r="S889" i="50"/>
  <c r="R1332" i="50" s="1"/>
  <c r="S892" i="50"/>
  <c r="Q1173" i="37"/>
  <c r="L126" i="50"/>
  <c r="AA1285" i="37"/>
  <c r="AA1288" i="37" s="1"/>
  <c r="AA1289" i="37" s="1"/>
  <c r="AA1291" i="37" s="1"/>
  <c r="AA1277" i="37"/>
  <c r="AA1280" i="37" s="1"/>
  <c r="AA1281" i="37" s="1"/>
  <c r="AA1283" i="37" s="1"/>
  <c r="E328" i="41"/>
  <c r="E394" i="50"/>
  <c r="P299" i="41"/>
  <c r="Q1161" i="37"/>
  <c r="Q1160" i="37"/>
  <c r="M128" i="50"/>
  <c r="M315" i="49"/>
  <c r="M129" i="50"/>
  <c r="M316" i="49"/>
  <c r="J316" i="49"/>
  <c r="J129" i="50"/>
  <c r="AA1481" i="37"/>
  <c r="AA1484" i="37" s="1"/>
  <c r="AA1485" i="37" s="1"/>
  <c r="AA1487" i="37" s="1"/>
  <c r="AA1477" i="37"/>
  <c r="AA1479" i="37" s="1"/>
  <c r="R1290" i="37"/>
  <c r="M127" i="50"/>
  <c r="J113" i="50"/>
  <c r="L834" i="50"/>
  <c r="N838" i="50"/>
  <c r="J126" i="50"/>
  <c r="J125" i="50"/>
  <c r="E329" i="41" l="1"/>
  <c r="E395" i="50"/>
  <c r="H898" i="50"/>
  <c r="G901" i="50"/>
  <c r="X1531" i="37"/>
  <c r="N893" i="50"/>
  <c r="N894" i="50"/>
  <c r="U1718" i="37"/>
  <c r="L894" i="50"/>
  <c r="R1521" i="37"/>
  <c r="Q1539" i="37"/>
  <c r="W1789" i="37"/>
  <c r="AA1699" i="37"/>
  <c r="Q1520" i="37"/>
  <c r="Q1533" i="37"/>
  <c r="Q980" i="37"/>
  <c r="R1650" i="37"/>
  <c r="R1520" i="37"/>
  <c r="S952" i="50"/>
  <c r="AA1837" i="37"/>
  <c r="AA1839" i="37" s="1"/>
  <c r="W1701" i="37"/>
  <c r="R1651" i="37"/>
  <c r="W1795" i="37"/>
  <c r="AA1657" i="37"/>
  <c r="AA1659" i="37" s="1"/>
  <c r="S1839" i="37"/>
  <c r="AA1105" i="37"/>
  <c r="AA1108" i="37" s="1"/>
  <c r="AA1109" i="37" s="1"/>
  <c r="AA1111" i="37" s="1"/>
  <c r="N958" i="50"/>
  <c r="S1851" i="37"/>
  <c r="E332" i="41"/>
  <c r="E424" i="50" s="1"/>
  <c r="M1287" i="50"/>
  <c r="T1700" i="37"/>
  <c r="Q19" i="47"/>
  <c r="Q97" i="47" s="1"/>
  <c r="S1701" i="37"/>
  <c r="U1847" i="37"/>
  <c r="S1795" i="37"/>
  <c r="T1711" i="37"/>
  <c r="U1830" i="37"/>
  <c r="U1753" i="37"/>
  <c r="T1795" i="37"/>
  <c r="T1718" i="37"/>
  <c r="T1847" i="37"/>
  <c r="S1830" i="37"/>
  <c r="U1839" i="37"/>
  <c r="T1770" i="37"/>
  <c r="U1711" i="37"/>
  <c r="T1830" i="37"/>
  <c r="T1839" i="37"/>
  <c r="T1712" i="37"/>
  <c r="U1789" i="37"/>
  <c r="V1700" i="37"/>
  <c r="U1770" i="37"/>
  <c r="T1713" i="37"/>
  <c r="U1701" i="37"/>
  <c r="T1701" i="37"/>
  <c r="U1700" i="37"/>
  <c r="U1803" i="37"/>
  <c r="V1701" i="37"/>
  <c r="U1713" i="37"/>
  <c r="S1782" i="37"/>
  <c r="S1712" i="37"/>
  <c r="V1712" i="37"/>
  <c r="V1847" i="37"/>
  <c r="AA1815" i="37"/>
  <c r="W1839" i="37"/>
  <c r="W1830" i="37"/>
  <c r="W1770" i="37"/>
  <c r="W1711" i="37"/>
  <c r="AA1766" i="37"/>
  <c r="AA1767" i="37" s="1"/>
  <c r="AA1768" i="37" s="1"/>
  <c r="AA1769" i="37" s="1"/>
  <c r="U1712" i="37"/>
  <c r="U1795" i="37"/>
  <c r="U1851" i="37"/>
  <c r="W1753" i="37"/>
  <c r="N997" i="37"/>
  <c r="X997" i="37" s="1"/>
  <c r="W1851" i="37"/>
  <c r="W1803" i="37"/>
  <c r="W1700" i="37"/>
  <c r="W1713" i="37"/>
  <c r="W1847" i="37"/>
  <c r="W1712" i="37"/>
  <c r="T1782" i="37"/>
  <c r="T1803" i="37"/>
  <c r="S1711" i="37"/>
  <c r="S1700" i="37"/>
  <c r="S1847" i="37"/>
  <c r="T1851" i="37"/>
  <c r="U1782" i="37"/>
  <c r="W1718" i="37"/>
  <c r="W1782" i="37"/>
  <c r="X1712" i="37"/>
  <c r="V1839" i="37"/>
  <c r="V1789" i="37"/>
  <c r="V1713" i="37"/>
  <c r="V1782" i="37"/>
  <c r="V1770" i="37"/>
  <c r="V1753" i="37"/>
  <c r="V1830" i="37"/>
  <c r="V1711" i="37"/>
  <c r="V1718" i="37"/>
  <c r="V1831" i="37"/>
  <c r="Y1717" i="37"/>
  <c r="Y1718" i="37" s="1"/>
  <c r="Y1708" i="37"/>
  <c r="Y1709" i="37" s="1"/>
  <c r="Y1710" i="37" s="1"/>
  <c r="Y1711" i="37" s="1"/>
  <c r="Y1712" i="37" s="1"/>
  <c r="Y1713" i="37" s="1"/>
  <c r="S1713" i="37"/>
  <c r="V1795" i="37"/>
  <c r="V1803" i="37"/>
  <c r="S1803" i="37"/>
  <c r="S1718" i="37"/>
  <c r="Y1700" i="37"/>
  <c r="X1718" i="37"/>
  <c r="N1712" i="37"/>
  <c r="S1789" i="37"/>
  <c r="S1831" i="37"/>
  <c r="S1770" i="37"/>
  <c r="T1831" i="37"/>
  <c r="T1789" i="37"/>
  <c r="N833" i="50"/>
  <c r="Q993" i="37"/>
  <c r="Q999" i="37"/>
  <c r="L1279" i="50"/>
  <c r="D1335" i="50"/>
  <c r="D1378" i="50" s="1"/>
  <c r="H838" i="50"/>
  <c r="P1691" i="37"/>
  <c r="P1511" i="37" s="1"/>
  <c r="P1331" i="37" s="1"/>
  <c r="P1151" i="37" s="1"/>
  <c r="P971" i="37" s="1"/>
  <c r="R981" i="37"/>
  <c r="R1110" i="37"/>
  <c r="L1033" i="50"/>
  <c r="K1047" i="50"/>
  <c r="J1032" i="50"/>
  <c r="L1056" i="50"/>
  <c r="J1062" i="50"/>
  <c r="I1058" i="50"/>
  <c r="K1039" i="50"/>
  <c r="M1052" i="50"/>
  <c r="M1028" i="50"/>
  <c r="P1046" i="50"/>
  <c r="L1028" i="50"/>
  <c r="K1012" i="50"/>
  <c r="J1038" i="50"/>
  <c r="I1039" i="50"/>
  <c r="L1051" i="50"/>
  <c r="I1062" i="50"/>
  <c r="L1032" i="50"/>
  <c r="K1032" i="50"/>
  <c r="K1033" i="50"/>
  <c r="P1047" i="50"/>
  <c r="J1031" i="50"/>
  <c r="I1055" i="50"/>
  <c r="P1036" i="50"/>
  <c r="P1033" i="50"/>
  <c r="L1018" i="50"/>
  <c r="K1018" i="50"/>
  <c r="E1062" i="50"/>
  <c r="M1044" i="50"/>
  <c r="J1055" i="50"/>
  <c r="I1044" i="50"/>
  <c r="J1018" i="50"/>
  <c r="I1041" i="50"/>
  <c r="M1017" i="50"/>
  <c r="H1014" i="50"/>
  <c r="M1064" i="50"/>
  <c r="P1039" i="50"/>
  <c r="K1053" i="50"/>
  <c r="L1036" i="50"/>
  <c r="P1061" i="50"/>
  <c r="K1062" i="50"/>
  <c r="M1056" i="50"/>
  <c r="M1050" i="50"/>
  <c r="F1021" i="50"/>
  <c r="K1017" i="50"/>
  <c r="M1058" i="50"/>
  <c r="P1017" i="50"/>
  <c r="L1055" i="50"/>
  <c r="K1035" i="50"/>
  <c r="I1031" i="50"/>
  <c r="E1065" i="50"/>
  <c r="M1045" i="50"/>
  <c r="P1021" i="50"/>
  <c r="J1030" i="50"/>
  <c r="E1012" i="50"/>
  <c r="J1052" i="50"/>
  <c r="L1064" i="50"/>
  <c r="M1047" i="50"/>
  <c r="I1018" i="50"/>
  <c r="K1058" i="50"/>
  <c r="M1014" i="50"/>
  <c r="M1021" i="50" s="1"/>
  <c r="T1009" i="50" s="1"/>
  <c r="T1020" i="50" s="1"/>
  <c r="P1045" i="50"/>
  <c r="J1042" i="50"/>
  <c r="L1017" i="50"/>
  <c r="P1053" i="50"/>
  <c r="K1042" i="50"/>
  <c r="L1044" i="50"/>
  <c r="J1064" i="50"/>
  <c r="P1042" i="50"/>
  <c r="M1065" i="50"/>
  <c r="K1064" i="50"/>
  <c r="K1014" i="50"/>
  <c r="L1047" i="50"/>
  <c r="P1050" i="50"/>
  <c r="K1028" i="50"/>
  <c r="P1048" i="50"/>
  <c r="I1053" i="50"/>
  <c r="K1021" i="50"/>
  <c r="S1020" i="50" s="1"/>
  <c r="I1028" i="50"/>
  <c r="P1032" i="50"/>
  <c r="K1055" i="50"/>
  <c r="J1036" i="50"/>
  <c r="L1053" i="50"/>
  <c r="J1012" i="50"/>
  <c r="M1013" i="50"/>
  <c r="L1046" i="50"/>
  <c r="J1014" i="50"/>
  <c r="J1045" i="50"/>
  <c r="M1051" i="50"/>
  <c r="K1044" i="50"/>
  <c r="P1062" i="50"/>
  <c r="M1062" i="50"/>
  <c r="J1050" i="50"/>
  <c r="P1030" i="50"/>
  <c r="K1036" i="50"/>
  <c r="R1009" i="50"/>
  <c r="D1334" i="50" s="1"/>
  <c r="D1377" i="50" s="1"/>
  <c r="J1017" i="50"/>
  <c r="P1058" i="50"/>
  <c r="M1046" i="50"/>
  <c r="I1056" i="50"/>
  <c r="P1055" i="50"/>
  <c r="M1033" i="50"/>
  <c r="M1030" i="50"/>
  <c r="K1031" i="50"/>
  <c r="P1051" i="50"/>
  <c r="J1044" i="50"/>
  <c r="J1051" i="50"/>
  <c r="I1047" i="50"/>
  <c r="J1046" i="50"/>
  <c r="I1050" i="50"/>
  <c r="L1038" i="50"/>
  <c r="K1041" i="50"/>
  <c r="M1031" i="50"/>
  <c r="I1017" i="50"/>
  <c r="M1061" i="50"/>
  <c r="L1050" i="50"/>
  <c r="K1061" i="50"/>
  <c r="L1058" i="50"/>
  <c r="J1039" i="50"/>
  <c r="I1030" i="50"/>
  <c r="J1049" i="50"/>
  <c r="I1036" i="50"/>
  <c r="J1047" i="50"/>
  <c r="P1027" i="50"/>
  <c r="L1041" i="50"/>
  <c r="I1045" i="50"/>
  <c r="K1049" i="50"/>
  <c r="M1032" i="50"/>
  <c r="M1038" i="50"/>
  <c r="G1014" i="50"/>
  <c r="K1056" i="50"/>
  <c r="J1033" i="50"/>
  <c r="J1028" i="50"/>
  <c r="L1048" i="50"/>
  <c r="P1018" i="50"/>
  <c r="M1049" i="50"/>
  <c r="K1050" i="50"/>
  <c r="P1065" i="50"/>
  <c r="K1027" i="50"/>
  <c r="J1053" i="50"/>
  <c r="K1052" i="50"/>
  <c r="P1031" i="50"/>
  <c r="J1056" i="50"/>
  <c r="L1035" i="50"/>
  <c r="J1048" i="50"/>
  <c r="M1041" i="50"/>
  <c r="M1042" i="50"/>
  <c r="P1038" i="50"/>
  <c r="K1045" i="50"/>
  <c r="L1065" i="50"/>
  <c r="L1039" i="50"/>
  <c r="M1048" i="50"/>
  <c r="I1046" i="50"/>
  <c r="J1061" i="50"/>
  <c r="M1055" i="50"/>
  <c r="P1049" i="50"/>
  <c r="P1028" i="50"/>
  <c r="I1052" i="50"/>
  <c r="K1048" i="50"/>
  <c r="M1035" i="50"/>
  <c r="I1051" i="50"/>
  <c r="J1035" i="50"/>
  <c r="M1036" i="50"/>
  <c r="J1027" i="50"/>
  <c r="I1027" i="50"/>
  <c r="P1052" i="50"/>
  <c r="P1035" i="50"/>
  <c r="I1065" i="50"/>
  <c r="J1065" i="50"/>
  <c r="L1061" i="50"/>
  <c r="M1018" i="50"/>
  <c r="M1027" i="50"/>
  <c r="L1062" i="50"/>
  <c r="P1044" i="50"/>
  <c r="J1058" i="50"/>
  <c r="I1048" i="50"/>
  <c r="J1041" i="50"/>
  <c r="I1061" i="50"/>
  <c r="K1046" i="50"/>
  <c r="M1012" i="50"/>
  <c r="I1032" i="50"/>
  <c r="I1042" i="50"/>
  <c r="I1035" i="50"/>
  <c r="P1041" i="50"/>
  <c r="I1021" i="50"/>
  <c r="R1020" i="50" s="1"/>
  <c r="L1027" i="50"/>
  <c r="L1045" i="50"/>
  <c r="K1051" i="50"/>
  <c r="L1052" i="50"/>
  <c r="M1053" i="50"/>
  <c r="I1064" i="50"/>
  <c r="I1049" i="50"/>
  <c r="I1033" i="50"/>
  <c r="M1039" i="50"/>
  <c r="L1049" i="50"/>
  <c r="E1061" i="50"/>
  <c r="E1064" i="50"/>
  <c r="K1030" i="50"/>
  <c r="L1031" i="50"/>
  <c r="L1030" i="50"/>
  <c r="P1064" i="50"/>
  <c r="P1020" i="50"/>
  <c r="P1056" i="50"/>
  <c r="L1042" i="50"/>
  <c r="K1065" i="50"/>
  <c r="I1038" i="50"/>
  <c r="K1038" i="50"/>
  <c r="R1336" i="50"/>
  <c r="D1341" i="50"/>
  <c r="D1384" i="50" s="1"/>
  <c r="J1279" i="50"/>
  <c r="Q981" i="37"/>
  <c r="R1111" i="37"/>
  <c r="K1279" i="50"/>
  <c r="R1340" i="50"/>
  <c r="I1274" i="50"/>
  <c r="D1340" i="50"/>
  <c r="D1383" i="50" s="1"/>
  <c r="D1338" i="50"/>
  <c r="D1381" i="50" s="1"/>
  <c r="R1339" i="50"/>
  <c r="R1335" i="50"/>
  <c r="D1336" i="50"/>
  <c r="D1379" i="50" s="1"/>
  <c r="R1337" i="50"/>
  <c r="D1337" i="50"/>
  <c r="D1380" i="50" s="1"/>
  <c r="I1279" i="50"/>
  <c r="P303" i="41"/>
  <c r="S1274" i="50"/>
  <c r="S1271" i="50"/>
  <c r="R1341" i="50" s="1"/>
  <c r="AA1710" i="37"/>
  <c r="AA1711" i="37" s="1"/>
  <c r="AA1712" i="37" s="1"/>
  <c r="AA1713" i="37" s="1"/>
  <c r="N1708" i="37"/>
  <c r="R1338" i="50"/>
  <c r="R980" i="37"/>
  <c r="M485" i="50"/>
  <c r="M605" i="50"/>
  <c r="L774" i="50"/>
  <c r="N834" i="50"/>
  <c r="G841" i="50"/>
  <c r="S466" i="42"/>
  <c r="S474" i="42" s="1"/>
  <c r="I1260" i="50" s="1"/>
  <c r="J485" i="50"/>
  <c r="L605" i="50"/>
  <c r="M1207" i="50"/>
  <c r="J1089" i="50"/>
  <c r="J665" i="50"/>
  <c r="J605" i="50"/>
  <c r="L785" i="50"/>
  <c r="L665" i="50"/>
  <c r="L965" i="50"/>
  <c r="J545" i="50"/>
  <c r="M1129" i="50"/>
  <c r="J1267" i="50"/>
  <c r="J1207" i="50"/>
  <c r="M725" i="50"/>
  <c r="L1169" i="50"/>
  <c r="L1129" i="50"/>
  <c r="M845" i="50"/>
  <c r="L485" i="50"/>
  <c r="S509" i="42"/>
  <c r="S517" i="42" s="1"/>
  <c r="I1280" i="50" s="1"/>
  <c r="T466" i="42"/>
  <c r="K97" i="50"/>
  <c r="K117" i="50" s="1"/>
  <c r="P97" i="50"/>
  <c r="E117" i="50"/>
  <c r="E225" i="50" s="1"/>
  <c r="S97" i="50"/>
  <c r="S139" i="41"/>
  <c r="E278" i="50"/>
  <c r="E252" i="41"/>
  <c r="L905" i="50"/>
  <c r="S769" i="50"/>
  <c r="R1330" i="50" s="1"/>
  <c r="M785" i="50"/>
  <c r="M1089" i="50"/>
  <c r="W466" i="42"/>
  <c r="AA809" i="37"/>
  <c r="J810" i="37"/>
  <c r="AA818" i="37"/>
  <c r="AA831" i="37" s="1"/>
  <c r="AA832" i="37" s="1"/>
  <c r="AA833" i="37" s="1"/>
  <c r="AA834" i="37" s="1"/>
  <c r="AA835" i="37" s="1"/>
  <c r="AA836" i="37" s="1"/>
  <c r="AA837" i="37" s="1"/>
  <c r="AA838" i="37" s="1"/>
  <c r="AA839" i="37" s="1"/>
  <c r="AA840" i="37" s="1"/>
  <c r="AA841" i="37" s="1"/>
  <c r="X907" i="37"/>
  <c r="R811" i="37"/>
  <c r="AA909" i="37"/>
  <c r="AA912" i="37" s="1"/>
  <c r="AA913" i="37" s="1"/>
  <c r="P938" i="37"/>
  <c r="P899" i="37"/>
  <c r="M810" i="37"/>
  <c r="P930" i="37"/>
  <c r="H803" i="37"/>
  <c r="P947" i="37"/>
  <c r="P960" i="37"/>
  <c r="P939" i="37"/>
  <c r="P894" i="37"/>
  <c r="R882" i="37"/>
  <c r="P813" i="37"/>
  <c r="L810" i="37"/>
  <c r="P923" i="37"/>
  <c r="P858" i="37"/>
  <c r="I846" i="37"/>
  <c r="S803" i="37"/>
  <c r="Q803" i="37"/>
  <c r="AA800" i="37" s="1"/>
  <c r="X957" i="37"/>
  <c r="P857" i="37"/>
  <c r="R870" i="37"/>
  <c r="Q811" i="37"/>
  <c r="R939" i="37"/>
  <c r="I810" i="37"/>
  <c r="R895" i="37"/>
  <c r="P819" i="37"/>
  <c r="P882" i="37"/>
  <c r="J815" i="37"/>
  <c r="E799" i="37"/>
  <c r="E954" i="37"/>
  <c r="R951" i="37"/>
  <c r="R793" i="37"/>
  <c r="S793" i="37" s="1"/>
  <c r="K810" i="37"/>
  <c r="P915" i="37"/>
  <c r="P800" i="37"/>
  <c r="P903" i="37"/>
  <c r="P895" i="37"/>
  <c r="P965" i="37"/>
  <c r="P961" i="37"/>
  <c r="J807" i="37"/>
  <c r="P889" i="37"/>
  <c r="R947" i="37"/>
  <c r="P853" i="37"/>
  <c r="AA793" i="37"/>
  <c r="P902" i="37"/>
  <c r="R902" i="37"/>
  <c r="P801" i="37"/>
  <c r="X861" i="37"/>
  <c r="P931" i="37"/>
  <c r="P922" i="37"/>
  <c r="P870" i="37"/>
  <c r="E853" i="37"/>
  <c r="R894" i="37"/>
  <c r="R938" i="37"/>
  <c r="AA954" i="37"/>
  <c r="R903" i="37"/>
  <c r="R853" i="37"/>
  <c r="P964" i="37"/>
  <c r="P951" i="37"/>
  <c r="P898" i="37"/>
  <c r="P954" i="37"/>
  <c r="R889" i="37"/>
  <c r="AA863" i="37"/>
  <c r="P914" i="37"/>
  <c r="P946" i="37"/>
  <c r="J785" i="50"/>
  <c r="L1267" i="50"/>
  <c r="J1237" i="50"/>
  <c r="M665" i="50"/>
  <c r="V466" i="42"/>
  <c r="P736" i="50"/>
  <c r="M714" i="50"/>
  <c r="M721" i="50" s="1"/>
  <c r="T709" i="50" s="1"/>
  <c r="T720" i="50" s="1"/>
  <c r="P732" i="50"/>
  <c r="P742" i="50"/>
  <c r="P731" i="50"/>
  <c r="P733" i="50"/>
  <c r="P721" i="50"/>
  <c r="P752" i="50"/>
  <c r="R709" i="50"/>
  <c r="D1329" i="50" s="1"/>
  <c r="D1372" i="50" s="1"/>
  <c r="P765" i="50"/>
  <c r="P727" i="50"/>
  <c r="P745" i="50"/>
  <c r="P738" i="50"/>
  <c r="P730" i="50"/>
  <c r="P762" i="50"/>
  <c r="P753" i="50"/>
  <c r="P718" i="50"/>
  <c r="P764" i="50"/>
  <c r="P735" i="50"/>
  <c r="P758" i="50"/>
  <c r="P741" i="50"/>
  <c r="P756" i="50"/>
  <c r="P744" i="50"/>
  <c r="P748" i="50"/>
  <c r="P746" i="50"/>
  <c r="P739" i="50"/>
  <c r="P749" i="50"/>
  <c r="P751" i="50"/>
  <c r="P755" i="50"/>
  <c r="P728" i="50"/>
  <c r="P761" i="50"/>
  <c r="P750" i="50"/>
  <c r="P747" i="50"/>
  <c r="P720" i="50"/>
  <c r="E712" i="50"/>
  <c r="K712" i="50" s="1"/>
  <c r="P717" i="50"/>
  <c r="M545" i="50"/>
  <c r="M1025" i="50"/>
  <c r="J725" i="50"/>
  <c r="M1237" i="50"/>
  <c r="M1267" i="50"/>
  <c r="L845" i="50"/>
  <c r="L1287" i="50"/>
  <c r="J1129" i="50"/>
  <c r="T509" i="42"/>
  <c r="T517" i="42" s="1"/>
  <c r="J1280" i="50" s="1"/>
  <c r="J1169" i="50"/>
  <c r="J845" i="50"/>
  <c r="J1287" i="50"/>
  <c r="L1025" i="50"/>
  <c r="M1169" i="50"/>
  <c r="M905" i="50"/>
  <c r="L1089" i="50"/>
  <c r="J905" i="50"/>
  <c r="L545" i="50"/>
  <c r="L1237" i="50"/>
  <c r="M965" i="50"/>
  <c r="J965" i="50"/>
  <c r="J1025" i="50"/>
  <c r="L1207" i="50"/>
  <c r="L725" i="50"/>
  <c r="U474" i="42"/>
  <c r="K1260" i="50" s="1"/>
  <c r="U482" i="42"/>
  <c r="V509" i="42"/>
  <c r="V517" i="42" s="1"/>
  <c r="L1280" i="50" s="1"/>
  <c r="P481" i="50"/>
  <c r="P491" i="50"/>
  <c r="P477" i="50"/>
  <c r="P521" i="50"/>
  <c r="P492" i="50"/>
  <c r="P513" i="50"/>
  <c r="E472" i="50"/>
  <c r="P507" i="50"/>
  <c r="P490" i="50"/>
  <c r="P506" i="50"/>
  <c r="P502" i="50"/>
  <c r="P495" i="50"/>
  <c r="P496" i="50"/>
  <c r="P488" i="50"/>
  <c r="P508" i="50"/>
  <c r="P516" i="50"/>
  <c r="P498" i="50"/>
  <c r="P525" i="50"/>
  <c r="I485" i="50"/>
  <c r="P509" i="50"/>
  <c r="P493" i="50"/>
  <c r="P505" i="50"/>
  <c r="P480" i="50"/>
  <c r="P478" i="50"/>
  <c r="P515" i="50"/>
  <c r="P487" i="50"/>
  <c r="P512" i="50"/>
  <c r="P522" i="50"/>
  <c r="P511" i="50"/>
  <c r="P518" i="50"/>
  <c r="P501" i="50"/>
  <c r="R469" i="50"/>
  <c r="D1325" i="50" s="1"/>
  <c r="D1368" i="50" s="1"/>
  <c r="P510" i="50"/>
  <c r="P504" i="50"/>
  <c r="P524" i="50"/>
  <c r="P499" i="50"/>
  <c r="AA1465" i="37"/>
  <c r="AA1468" i="37" s="1"/>
  <c r="AA1469" i="37" s="1"/>
  <c r="AA1471" i="37" s="1"/>
  <c r="S135" i="41"/>
  <c r="E248" i="41"/>
  <c r="E274" i="50"/>
  <c r="P244" i="37"/>
  <c r="AA52" i="37"/>
  <c r="AA67" i="37" s="1"/>
  <c r="AA68" i="37" s="1"/>
  <c r="AA69" i="37" s="1"/>
  <c r="AA70" i="37" s="1"/>
  <c r="AA71" i="37" s="1"/>
  <c r="AA72" i="37" s="1"/>
  <c r="AA73" i="37" s="1"/>
  <c r="AA74" i="37" s="1"/>
  <c r="AA75" i="37" s="1"/>
  <c r="AA76" i="37" s="1"/>
  <c r="AA77" i="37" s="1"/>
  <c r="P190" i="37"/>
  <c r="P165" i="37"/>
  <c r="Q42" i="37"/>
  <c r="R219" i="37"/>
  <c r="R141" i="37"/>
  <c r="J35" i="37"/>
  <c r="X236" i="37"/>
  <c r="P161" i="37"/>
  <c r="AA122" i="37"/>
  <c r="P191" i="37"/>
  <c r="P27" i="37"/>
  <c r="I41" i="37"/>
  <c r="AA175" i="37"/>
  <c r="AA179" i="37" s="1"/>
  <c r="AA180" i="37" s="1"/>
  <c r="P102" i="37"/>
  <c r="P169" i="37"/>
  <c r="P28" i="37"/>
  <c r="P181" i="37"/>
  <c r="P218" i="37"/>
  <c r="R210" i="37"/>
  <c r="R169" i="37"/>
  <c r="R161" i="37"/>
  <c r="L41" i="37"/>
  <c r="R160" i="37"/>
  <c r="R225" i="37"/>
  <c r="P164" i="37"/>
  <c r="I82" i="37"/>
  <c r="R168" i="37"/>
  <c r="P209" i="37"/>
  <c r="P182" i="37"/>
  <c r="P200" i="37"/>
  <c r="R151" i="37"/>
  <c r="P225" i="37"/>
  <c r="Q30" i="37"/>
  <c r="P151" i="37"/>
  <c r="P160" i="37"/>
  <c r="P219" i="37"/>
  <c r="P110" i="37"/>
  <c r="S30" i="37"/>
  <c r="Y25" i="37" s="1"/>
  <c r="H30" i="37"/>
  <c r="X120" i="37"/>
  <c r="P111" i="37"/>
  <c r="P168" i="37"/>
  <c r="P141" i="37"/>
  <c r="K41" i="37"/>
  <c r="R129" i="37"/>
  <c r="X173" i="37"/>
  <c r="P44" i="37"/>
  <c r="P231" i="37"/>
  <c r="J46" i="37"/>
  <c r="P210" i="37"/>
  <c r="P53" i="37"/>
  <c r="J41" i="37"/>
  <c r="P243" i="37"/>
  <c r="P129" i="37"/>
  <c r="AA13" i="37"/>
  <c r="E102" i="37"/>
  <c r="E26" i="37"/>
  <c r="P240" i="37"/>
  <c r="AA40" i="37"/>
  <c r="M41" i="37"/>
  <c r="P201" i="37"/>
  <c r="P239" i="37"/>
  <c r="E231" i="37"/>
  <c r="AA231" i="37"/>
  <c r="R209" i="37"/>
  <c r="R102" i="37"/>
  <c r="R42" i="37"/>
  <c r="W509" i="42"/>
  <c r="W517" i="42" s="1"/>
  <c r="M1280" i="50" s="1"/>
  <c r="K93" i="50"/>
  <c r="K113" i="50" s="1"/>
  <c r="E113" i="50"/>
  <c r="E221" i="50" s="1"/>
  <c r="P93" i="50"/>
  <c r="S93" i="50"/>
  <c r="R13" i="37"/>
  <c r="S13" i="37" s="1"/>
  <c r="K96" i="50"/>
  <c r="K116" i="50" s="1"/>
  <c r="E116" i="50"/>
  <c r="E224" i="50" s="1"/>
  <c r="P224" i="50" s="1"/>
  <c r="S96" i="50"/>
  <c r="P96" i="50"/>
  <c r="K94" i="50"/>
  <c r="K114" i="50" s="1"/>
  <c r="K1267" i="50"/>
  <c r="I1089" i="50"/>
  <c r="I905" i="50"/>
  <c r="I845" i="50"/>
  <c r="I785" i="50"/>
  <c r="S94" i="50"/>
  <c r="E114" i="50"/>
  <c r="E222" i="50" s="1"/>
  <c r="P222" i="50" s="1"/>
  <c r="I1129" i="50"/>
  <c r="I965" i="50"/>
  <c r="K1287" i="50"/>
  <c r="I1207" i="50"/>
  <c r="I1169" i="50"/>
  <c r="I1267" i="50"/>
  <c r="I1025" i="50"/>
  <c r="K1089" i="50"/>
  <c r="K1169" i="50"/>
  <c r="I725" i="50"/>
  <c r="K1207" i="50"/>
  <c r="K1129" i="50"/>
  <c r="I1287" i="50"/>
  <c r="K1237" i="50"/>
  <c r="P94" i="50"/>
  <c r="I1237" i="50"/>
  <c r="P399" i="37"/>
  <c r="P411" i="37"/>
  <c r="R313" i="37"/>
  <c r="L270" i="37"/>
  <c r="P349" i="37"/>
  <c r="P318" i="37"/>
  <c r="AA414" i="37"/>
  <c r="X417" i="37"/>
  <c r="P273" i="37"/>
  <c r="R362" i="37"/>
  <c r="P355" i="37"/>
  <c r="I306" i="37"/>
  <c r="J275" i="37"/>
  <c r="P383" i="37"/>
  <c r="AA278" i="37"/>
  <c r="AA291" i="37" s="1"/>
  <c r="AA292" i="37" s="1"/>
  <c r="AA293" i="37" s="1"/>
  <c r="AA294" i="37" s="1"/>
  <c r="AA295" i="37" s="1"/>
  <c r="AA296" i="37" s="1"/>
  <c r="AA297" i="37" s="1"/>
  <c r="AA298" i="37" s="1"/>
  <c r="AA299" i="37" s="1"/>
  <c r="AA300" i="37" s="1"/>
  <c r="AA301" i="37" s="1"/>
  <c r="H263" i="37"/>
  <c r="R354" i="37"/>
  <c r="R407" i="37"/>
  <c r="S263" i="37"/>
  <c r="N258" i="37" s="1"/>
  <c r="E259" i="37"/>
  <c r="I270" i="37"/>
  <c r="AA269" i="37"/>
  <c r="R271" i="37"/>
  <c r="R349" i="37"/>
  <c r="P391" i="37"/>
  <c r="P398" i="37"/>
  <c r="J270" i="37"/>
  <c r="P407" i="37"/>
  <c r="R342" i="37"/>
  <c r="M270" i="37"/>
  <c r="AA323" i="37"/>
  <c r="P414" i="37"/>
  <c r="R399" i="37"/>
  <c r="P260" i="37"/>
  <c r="E313" i="37"/>
  <c r="Q263" i="37"/>
  <c r="L260" i="37" s="1"/>
  <c r="P424" i="37"/>
  <c r="P362" i="37"/>
  <c r="P375" i="37"/>
  <c r="P317" i="37"/>
  <c r="X321" i="37"/>
  <c r="P313" i="37"/>
  <c r="R411" i="37"/>
  <c r="P421" i="37"/>
  <c r="P354" i="37"/>
  <c r="P374" i="37"/>
  <c r="R363" i="37"/>
  <c r="R398" i="37"/>
  <c r="R253" i="37"/>
  <c r="S253" i="37" s="1"/>
  <c r="P358" i="37"/>
  <c r="K270" i="37"/>
  <c r="P406" i="37"/>
  <c r="P425" i="37"/>
  <c r="E414" i="37"/>
  <c r="Q271" i="37"/>
  <c r="P279" i="37"/>
  <c r="P382" i="37"/>
  <c r="X367" i="37"/>
  <c r="P390" i="37"/>
  <c r="P261" i="37"/>
  <c r="P363" i="37"/>
  <c r="AA253" i="37"/>
  <c r="P359" i="37"/>
  <c r="R330" i="37"/>
  <c r="P342" i="37"/>
  <c r="R355" i="37"/>
  <c r="P330" i="37"/>
  <c r="AA369" i="37"/>
  <c r="AA372" i="37" s="1"/>
  <c r="AA373" i="37" s="1"/>
  <c r="P420" i="37"/>
  <c r="J267" i="37"/>
  <c r="R587" i="37"/>
  <c r="P522" i="37"/>
  <c r="S443" i="37"/>
  <c r="N438" i="37" s="1"/>
  <c r="E439" i="37"/>
  <c r="P586" i="37"/>
  <c r="P453" i="37"/>
  <c r="J447" i="37"/>
  <c r="P587" i="37"/>
  <c r="P570" i="37"/>
  <c r="P493" i="37"/>
  <c r="R535" i="37"/>
  <c r="R493" i="37"/>
  <c r="R579" i="37"/>
  <c r="R522" i="37"/>
  <c r="R451" i="37"/>
  <c r="H443" i="37"/>
  <c r="P571" i="37"/>
  <c r="R591" i="37"/>
  <c r="R534" i="37"/>
  <c r="P594" i="37"/>
  <c r="P555" i="37"/>
  <c r="R529" i="37"/>
  <c r="J455" i="37"/>
  <c r="M450" i="37"/>
  <c r="R543" i="37"/>
  <c r="L450" i="37"/>
  <c r="J450" i="37"/>
  <c r="P604" i="37"/>
  <c r="P600" i="37"/>
  <c r="P605" i="37"/>
  <c r="AA503" i="37"/>
  <c r="P538" i="37"/>
  <c r="P497" i="37"/>
  <c r="P535" i="37"/>
  <c r="P529" i="37"/>
  <c r="X547" i="37"/>
  <c r="R542" i="37"/>
  <c r="AA549" i="37"/>
  <c r="AA552" i="37" s="1"/>
  <c r="AA553" i="37" s="1"/>
  <c r="P539" i="37"/>
  <c r="Q451" i="37"/>
  <c r="P441" i="37"/>
  <c r="AA458" i="37"/>
  <c r="AA471" i="37" s="1"/>
  <c r="AA472" i="37" s="1"/>
  <c r="AA473" i="37" s="1"/>
  <c r="AA474" i="37" s="1"/>
  <c r="AA475" i="37" s="1"/>
  <c r="AA476" i="37" s="1"/>
  <c r="AA477" i="37" s="1"/>
  <c r="AA478" i="37" s="1"/>
  <c r="AA479" i="37" s="1"/>
  <c r="AA480" i="37" s="1"/>
  <c r="AA481" i="37" s="1"/>
  <c r="X501" i="37"/>
  <c r="AA449" i="37"/>
  <c r="P498" i="37"/>
  <c r="P543" i="37"/>
  <c r="P563" i="37"/>
  <c r="P554" i="37"/>
  <c r="P601" i="37"/>
  <c r="P534" i="37"/>
  <c r="P562" i="37"/>
  <c r="P578" i="37"/>
  <c r="I450" i="37"/>
  <c r="X597" i="37"/>
  <c r="P542" i="37"/>
  <c r="Q443" i="37"/>
  <c r="AA433" i="37"/>
  <c r="P440" i="37"/>
  <c r="R433" i="37"/>
  <c r="P591" i="37"/>
  <c r="E594" i="37"/>
  <c r="E493" i="37"/>
  <c r="P579" i="37"/>
  <c r="K450" i="37"/>
  <c r="P510" i="37"/>
  <c r="P459" i="37"/>
  <c r="R578" i="37"/>
  <c r="I486" i="37"/>
  <c r="AA594" i="37"/>
  <c r="R510" i="37"/>
  <c r="S136" i="41"/>
  <c r="E249" i="41"/>
  <c r="E275" i="50"/>
  <c r="P578" i="50"/>
  <c r="P581" i="50"/>
  <c r="P561" i="50"/>
  <c r="P573" i="50"/>
  <c r="P566" i="50"/>
  <c r="M534" i="50"/>
  <c r="M541" i="50" s="1"/>
  <c r="T529" i="50" s="1"/>
  <c r="T540" i="50" s="1"/>
  <c r="P550" i="50"/>
  <c r="P537" i="50"/>
  <c r="P567" i="50"/>
  <c r="R529" i="50"/>
  <c r="D1326" i="50" s="1"/>
  <c r="D1369" i="50" s="1"/>
  <c r="P576" i="50"/>
  <c r="P547" i="50"/>
  <c r="P541" i="50"/>
  <c r="P585" i="50"/>
  <c r="P575" i="50"/>
  <c r="P569" i="50"/>
  <c r="P582" i="50"/>
  <c r="P568" i="50"/>
  <c r="P552" i="50"/>
  <c r="P562" i="50"/>
  <c r="P565" i="50"/>
  <c r="P558" i="50"/>
  <c r="P553" i="50"/>
  <c r="P556" i="50"/>
  <c r="P555" i="50"/>
  <c r="P564" i="50"/>
  <c r="I545" i="50"/>
  <c r="P570" i="50"/>
  <c r="P559" i="50"/>
  <c r="P584" i="50"/>
  <c r="P551" i="50"/>
  <c r="P571" i="50"/>
  <c r="P548" i="50"/>
  <c r="E532" i="50"/>
  <c r="P540" i="50"/>
  <c r="P572" i="50"/>
  <c r="P538" i="50"/>
  <c r="V398" i="42"/>
  <c r="W398" i="42"/>
  <c r="T398" i="42"/>
  <c r="S398" i="42"/>
  <c r="U398" i="42"/>
  <c r="K95" i="50"/>
  <c r="K115" i="50" s="1"/>
  <c r="E115" i="50"/>
  <c r="E223" i="50" s="1"/>
  <c r="P223" i="50" s="1"/>
  <c r="P95" i="50"/>
  <c r="S95" i="50"/>
  <c r="P685" i="50"/>
  <c r="P704" i="50"/>
  <c r="P682" i="50"/>
  <c r="P660" i="50"/>
  <c r="P668" i="50"/>
  <c r="E652" i="50"/>
  <c r="P686" i="50"/>
  <c r="P701" i="50"/>
  <c r="P658" i="50"/>
  <c r="P696" i="50"/>
  <c r="R649" i="50"/>
  <c r="D1328" i="50" s="1"/>
  <c r="D1371" i="50" s="1"/>
  <c r="P671" i="50"/>
  <c r="P688" i="50"/>
  <c r="P698" i="50"/>
  <c r="P678" i="50"/>
  <c r="P675" i="50"/>
  <c r="P705" i="50"/>
  <c r="M654" i="50"/>
  <c r="M661" i="50" s="1"/>
  <c r="T649" i="50" s="1"/>
  <c r="T660" i="50" s="1"/>
  <c r="I665" i="50"/>
  <c r="P687" i="50"/>
  <c r="P692" i="50"/>
  <c r="P676" i="50"/>
  <c r="P693" i="50"/>
  <c r="P672" i="50"/>
  <c r="P691" i="50"/>
  <c r="P667" i="50"/>
  <c r="P679" i="50"/>
  <c r="P681" i="50"/>
  <c r="P702" i="50"/>
  <c r="P684" i="50"/>
  <c r="P695" i="50"/>
  <c r="P657" i="50"/>
  <c r="P689" i="50"/>
  <c r="P690" i="50"/>
  <c r="P673" i="50"/>
  <c r="P661" i="50"/>
  <c r="P670" i="50"/>
  <c r="E217" i="47"/>
  <c r="N180" i="47"/>
  <c r="N188" i="47" s="1"/>
  <c r="N196" i="47" s="1"/>
  <c r="N207" i="47" s="1"/>
  <c r="X207" i="47" s="1"/>
  <c r="X214" i="47" s="1"/>
  <c r="T180" i="47"/>
  <c r="V180" i="47"/>
  <c r="V181" i="47" s="1"/>
  <c r="V188" i="47" s="1"/>
  <c r="V189" i="47" s="1"/>
  <c r="V190" i="47" s="1"/>
  <c r="V191" i="47" s="1"/>
  <c r="V196" i="47" s="1"/>
  <c r="V197" i="47" s="1"/>
  <c r="E176" i="47"/>
  <c r="P197" i="47"/>
  <c r="N274" i="47"/>
  <c r="N280" i="47" s="1"/>
  <c r="N287" i="47" s="1"/>
  <c r="E290" i="47"/>
  <c r="P288" i="47"/>
  <c r="E269" i="47"/>
  <c r="T274" i="47"/>
  <c r="V274" i="47"/>
  <c r="V275" i="47" s="1"/>
  <c r="V280" i="47" s="1"/>
  <c r="V281" i="47" s="1"/>
  <c r="V287" i="47" s="1"/>
  <c r="V288" i="47" s="1"/>
  <c r="AA150" i="42"/>
  <c r="AA151" i="42" s="1"/>
  <c r="N150" i="42"/>
  <c r="E323" i="47"/>
  <c r="V307" i="47"/>
  <c r="V308" i="47" s="1"/>
  <c r="V313" i="47" s="1"/>
  <c r="V314" i="47" s="1"/>
  <c r="V320" i="47" s="1"/>
  <c r="V321" i="47" s="1"/>
  <c r="T307" i="47"/>
  <c r="E302" i="47"/>
  <c r="N307" i="47"/>
  <c r="P321" i="47"/>
  <c r="E378" i="47"/>
  <c r="V371" i="47"/>
  <c r="L373" i="47"/>
  <c r="L375" i="47" s="1"/>
  <c r="K373" i="47"/>
  <c r="K375" i="47" s="1"/>
  <c r="J373" i="47"/>
  <c r="J375" i="47" s="1"/>
  <c r="T371" i="47"/>
  <c r="I373" i="47"/>
  <c r="I375" i="47" s="1"/>
  <c r="M373" i="47"/>
  <c r="M375" i="47" s="1"/>
  <c r="E367" i="47"/>
  <c r="N371" i="47"/>
  <c r="X374" i="47" s="1"/>
  <c r="P621" i="50"/>
  <c r="P638" i="50"/>
  <c r="R589" i="50"/>
  <c r="D1327" i="50" s="1"/>
  <c r="D1370" i="50" s="1"/>
  <c r="P611" i="50"/>
  <c r="M594" i="50"/>
  <c r="M601" i="50" s="1"/>
  <c r="T589" i="50" s="1"/>
  <c r="T600" i="50" s="1"/>
  <c r="P622" i="50"/>
  <c r="P629" i="50"/>
  <c r="P600" i="50"/>
  <c r="P618" i="50"/>
  <c r="P624" i="50"/>
  <c r="P635" i="50"/>
  <c r="P613" i="50"/>
  <c r="P612" i="50"/>
  <c r="P630" i="50"/>
  <c r="P625" i="50"/>
  <c r="P607" i="50"/>
  <c r="P636" i="50"/>
  <c r="P616" i="50"/>
  <c r="P642" i="50"/>
  <c r="P631" i="50"/>
  <c r="P628" i="50"/>
  <c r="E592" i="50"/>
  <c r="P601" i="50"/>
  <c r="P619" i="50"/>
  <c r="P608" i="50"/>
  <c r="P610" i="50"/>
  <c r="P598" i="50"/>
  <c r="P645" i="50"/>
  <c r="P644" i="50"/>
  <c r="P633" i="50"/>
  <c r="P626" i="50"/>
  <c r="P615" i="50"/>
  <c r="P632" i="50"/>
  <c r="P627" i="50"/>
  <c r="I605" i="50"/>
  <c r="P641" i="50"/>
  <c r="P597" i="50"/>
  <c r="V146" i="47"/>
  <c r="V147" i="47" s="1"/>
  <c r="V155" i="47" s="1"/>
  <c r="V156" i="47" s="1"/>
  <c r="V157" i="47" s="1"/>
  <c r="V162" i="47" s="1"/>
  <c r="V163" i="47" s="1"/>
  <c r="N146" i="47"/>
  <c r="N155" i="47" s="1"/>
  <c r="N162" i="47" s="1"/>
  <c r="P163" i="47"/>
  <c r="E165" i="47"/>
  <c r="E142" i="47"/>
  <c r="T146" i="47"/>
  <c r="E108" i="47"/>
  <c r="E131" i="47"/>
  <c r="P129" i="47"/>
  <c r="T112" i="47"/>
  <c r="V112" i="47"/>
  <c r="V113" i="47" s="1"/>
  <c r="V121" i="47" s="1"/>
  <c r="V122" i="47" s="1"/>
  <c r="V123" i="47" s="1"/>
  <c r="V128" i="47" s="1"/>
  <c r="V129" i="47" s="1"/>
  <c r="N112" i="47"/>
  <c r="N121" i="47" s="1"/>
  <c r="N128" i="47" s="1"/>
  <c r="S137" i="41"/>
  <c r="E276" i="50"/>
  <c r="E250" i="41"/>
  <c r="E352" i="47"/>
  <c r="N339" i="47"/>
  <c r="N349" i="47" s="1"/>
  <c r="E334" i="47"/>
  <c r="P350" i="47"/>
  <c r="T339" i="47"/>
  <c r="V339" i="47"/>
  <c r="V340" i="47" s="1"/>
  <c r="V341" i="47" s="1"/>
  <c r="V342" i="47" s="1"/>
  <c r="V343" i="47" s="1"/>
  <c r="V344" i="47" s="1"/>
  <c r="V349" i="47" s="1"/>
  <c r="V350" i="47" s="1"/>
  <c r="N473" i="42"/>
  <c r="AA473" i="42"/>
  <c r="AA474" i="42" s="1"/>
  <c r="S234" i="42"/>
  <c r="V234" i="42"/>
  <c r="U234" i="42"/>
  <c r="W234" i="42"/>
  <c r="T234" i="42"/>
  <c r="Q269" i="47"/>
  <c r="Q290" i="47" s="1"/>
  <c r="Q176" i="47"/>
  <c r="Q217" i="47" s="1"/>
  <c r="Q334" i="47"/>
  <c r="Q352" i="47" s="1"/>
  <c r="Q142" i="47"/>
  <c r="Q165" i="47" s="1"/>
  <c r="Q302" i="47"/>
  <c r="Q323" i="47" s="1"/>
  <c r="Q229" i="47"/>
  <c r="Q257" i="47" s="1"/>
  <c r="Q108" i="47"/>
  <c r="Q131" i="47" s="1"/>
  <c r="Q367" i="47"/>
  <c r="Q378" i="47" s="1"/>
  <c r="V239" i="47"/>
  <c r="V240" i="47" s="1"/>
  <c r="V241" i="47" s="1"/>
  <c r="V242" i="47" s="1"/>
  <c r="V243" i="47" s="1"/>
  <c r="V244" i="47" s="1"/>
  <c r="V245" i="47" s="1"/>
  <c r="V246" i="47" s="1"/>
  <c r="V247" i="47" s="1"/>
  <c r="V254" i="47" s="1"/>
  <c r="V255" i="47" s="1"/>
  <c r="T239" i="47"/>
  <c r="E229" i="47"/>
  <c r="P255" i="47"/>
  <c r="E257" i="47"/>
  <c r="N239" i="47"/>
  <c r="N254" i="47" s="1"/>
  <c r="N332" i="42"/>
  <c r="AA332" i="42"/>
  <c r="AA333" i="42" s="1"/>
  <c r="S138" i="41"/>
  <c r="E277" i="50"/>
  <c r="E251" i="41"/>
  <c r="AA23" i="42"/>
  <c r="AA24" i="42" s="1"/>
  <c r="N23" i="42"/>
  <c r="P95" i="47"/>
  <c r="T31" i="47"/>
  <c r="E19" i="47"/>
  <c r="E97" i="47"/>
  <c r="W12" i="42"/>
  <c r="U12" i="42"/>
  <c r="S12" i="42"/>
  <c r="T12" i="42"/>
  <c r="V12" i="42"/>
  <c r="AA629" i="37"/>
  <c r="P723" i="37"/>
  <c r="R709" i="37"/>
  <c r="AA613" i="37"/>
  <c r="P673" i="37"/>
  <c r="S623" i="37"/>
  <c r="N618" i="37" s="1"/>
  <c r="AA729" i="37"/>
  <c r="AA732" i="37" s="1"/>
  <c r="AA733" i="37" s="1"/>
  <c r="AA683" i="37"/>
  <c r="AA638" i="37"/>
  <c r="AA651" i="37" s="1"/>
  <c r="AA652" i="37" s="1"/>
  <c r="AA653" i="37" s="1"/>
  <c r="AA654" i="37" s="1"/>
  <c r="AA655" i="37" s="1"/>
  <c r="AA656" i="37" s="1"/>
  <c r="AA657" i="37" s="1"/>
  <c r="AA658" i="37" s="1"/>
  <c r="AA659" i="37" s="1"/>
  <c r="AA660" i="37" s="1"/>
  <c r="AA661" i="37" s="1"/>
  <c r="AA774" i="37"/>
  <c r="P780" i="37"/>
  <c r="M630" i="37"/>
  <c r="I666" i="37"/>
  <c r="P677" i="37"/>
  <c r="R767" i="37"/>
  <c r="P690" i="37"/>
  <c r="P722" i="37"/>
  <c r="J630" i="37"/>
  <c r="R715" i="37"/>
  <c r="P766" i="37"/>
  <c r="E619" i="37"/>
  <c r="R613" i="37"/>
  <c r="U613" i="37" s="1"/>
  <c r="P734" i="37"/>
  <c r="P678" i="37"/>
  <c r="P621" i="37"/>
  <c r="Q623" i="37"/>
  <c r="AA620" i="37" s="1"/>
  <c r="P758" i="37"/>
  <c r="P750" i="37"/>
  <c r="P719" i="37"/>
  <c r="X777" i="37"/>
  <c r="P709" i="37"/>
  <c r="R673" i="37"/>
  <c r="P781" i="37"/>
  <c r="P774" i="37"/>
  <c r="P735" i="37"/>
  <c r="R758" i="37"/>
  <c r="R771" i="37"/>
  <c r="R723" i="37"/>
  <c r="L630" i="37"/>
  <c r="I630" i="37"/>
  <c r="X727" i="37"/>
  <c r="P742" i="37"/>
  <c r="P639" i="37"/>
  <c r="R714" i="37"/>
  <c r="P784" i="37"/>
  <c r="P714" i="37"/>
  <c r="P620" i="37"/>
  <c r="R690" i="37"/>
  <c r="H623" i="37"/>
  <c r="P771" i="37"/>
  <c r="R759" i="37"/>
  <c r="P715" i="37"/>
  <c r="R631" i="37"/>
  <c r="P702" i="37"/>
  <c r="X681" i="37"/>
  <c r="E673" i="37"/>
  <c r="K630" i="37"/>
  <c r="P633" i="37"/>
  <c r="Q631" i="37"/>
  <c r="P718" i="37"/>
  <c r="J627" i="37"/>
  <c r="P767" i="37"/>
  <c r="P759" i="37"/>
  <c r="J635" i="37"/>
  <c r="E774" i="37"/>
  <c r="P785" i="37"/>
  <c r="P751" i="37"/>
  <c r="R702" i="37"/>
  <c r="P743" i="37"/>
  <c r="R722" i="37"/>
  <c r="W325" i="42"/>
  <c r="V325" i="42"/>
  <c r="T325" i="42"/>
  <c r="U325" i="42"/>
  <c r="S325" i="42"/>
  <c r="AA516" i="42"/>
  <c r="AA517" i="42" s="1"/>
  <c r="N516" i="42"/>
  <c r="V143" i="42"/>
  <c r="U143" i="42"/>
  <c r="S143" i="42"/>
  <c r="W143" i="42"/>
  <c r="T143" i="42"/>
  <c r="N241" i="42"/>
  <c r="AA241" i="42"/>
  <c r="AA242" i="42" s="1"/>
  <c r="N405" i="42"/>
  <c r="AA405" i="42"/>
  <c r="AA406" i="42" s="1"/>
  <c r="E397" i="50"/>
  <c r="R1340" i="37"/>
  <c r="Q1359" i="37"/>
  <c r="E331" i="41"/>
  <c r="E423" i="50" s="1"/>
  <c r="P301" i="41"/>
  <c r="E396" i="50"/>
  <c r="R1341" i="37"/>
  <c r="Q1340" i="37"/>
  <c r="Q1341" i="37"/>
  <c r="R1470" i="37"/>
  <c r="X1351" i="37"/>
  <c r="Q1353" i="37"/>
  <c r="R1471" i="37"/>
  <c r="O211" i="34"/>
  <c r="R211" i="34" s="1"/>
  <c r="C212" i="34"/>
  <c r="D211" i="34"/>
  <c r="H369" i="43"/>
  <c r="E40" i="50" s="1"/>
  <c r="J369" i="43"/>
  <c r="I40" i="50" s="1"/>
  <c r="G369" i="43"/>
  <c r="K369" i="43"/>
  <c r="L40" i="50" s="1"/>
  <c r="F370" i="43"/>
  <c r="E371" i="43"/>
  <c r="F371" i="43" s="1"/>
  <c r="P329" i="41"/>
  <c r="E421" i="50"/>
  <c r="E420" i="50"/>
  <c r="P328" i="41"/>
  <c r="P330" i="41"/>
  <c r="E422" i="50"/>
  <c r="Q20" i="37"/>
  <c r="P332" i="41" l="1"/>
  <c r="K905" i="50"/>
  <c r="R1700" i="37"/>
  <c r="Q1700" i="37"/>
  <c r="K845" i="50"/>
  <c r="R1701" i="37"/>
  <c r="R1830" i="37"/>
  <c r="K785" i="50"/>
  <c r="K1025" i="50"/>
  <c r="Q1701" i="37"/>
  <c r="K965" i="50"/>
  <c r="Q1713" i="37"/>
  <c r="AA1825" i="37"/>
  <c r="AA1828" i="37" s="1"/>
  <c r="AA1829" i="37" s="1"/>
  <c r="AA1831" i="37" s="1"/>
  <c r="AA1817" i="37"/>
  <c r="AA1820" i="37" s="1"/>
  <c r="AA1821" i="37" s="1"/>
  <c r="AA1823" i="37" s="1"/>
  <c r="K725" i="50"/>
  <c r="Q1719" i="37"/>
  <c r="R1831" i="37"/>
  <c r="I1012" i="50"/>
  <c r="I1014" i="50" s="1"/>
  <c r="L1012" i="50"/>
  <c r="N1717" i="37"/>
  <c r="X1717" i="37" s="1"/>
  <c r="X1711" i="37"/>
  <c r="H1017" i="50"/>
  <c r="H1012" i="50"/>
  <c r="L800" i="37"/>
  <c r="S482" i="42"/>
  <c r="J712" i="50"/>
  <c r="N261" i="37"/>
  <c r="K605" i="50"/>
  <c r="I620" i="37"/>
  <c r="K800" i="37"/>
  <c r="J621" i="37"/>
  <c r="U793" i="37"/>
  <c r="U818" i="37" s="1"/>
  <c r="K260" i="37"/>
  <c r="M260" i="37"/>
  <c r="P791" i="37"/>
  <c r="P611" i="37" s="1"/>
  <c r="P431" i="37" s="1"/>
  <c r="P251" i="37" s="1"/>
  <c r="I261" i="37"/>
  <c r="S261" i="37" s="1"/>
  <c r="M621" i="37"/>
  <c r="H712" i="50"/>
  <c r="H717" i="50"/>
  <c r="M712" i="50"/>
  <c r="M713" i="50"/>
  <c r="J714" i="50"/>
  <c r="K714" i="50"/>
  <c r="S951" i="37"/>
  <c r="S895" i="37"/>
  <c r="S813" i="37"/>
  <c r="S939" i="37"/>
  <c r="S930" i="37"/>
  <c r="S811" i="37"/>
  <c r="S931" i="37"/>
  <c r="S882" i="37"/>
  <c r="S812" i="37"/>
  <c r="S818" i="37"/>
  <c r="S903" i="37"/>
  <c r="S870" i="37"/>
  <c r="S889" i="37"/>
  <c r="S947" i="37"/>
  <c r="S853" i="37"/>
  <c r="AA799" i="37"/>
  <c r="T793" i="37"/>
  <c r="N812" i="37"/>
  <c r="X812" i="37"/>
  <c r="X818" i="37"/>
  <c r="X813" i="37"/>
  <c r="I801" i="37"/>
  <c r="S801" i="37" s="1"/>
  <c r="L801" i="37"/>
  <c r="AA810" i="37"/>
  <c r="AA811" i="37" s="1"/>
  <c r="AA812" i="37" s="1"/>
  <c r="AA813" i="37" s="1"/>
  <c r="I800" i="37"/>
  <c r="S800" i="37" s="1"/>
  <c r="N798" i="37"/>
  <c r="N808" i="37" s="1"/>
  <c r="W793" i="37"/>
  <c r="W474" i="42"/>
  <c r="M1260" i="50" s="1"/>
  <c r="W482" i="42"/>
  <c r="V482" i="42"/>
  <c r="V474" i="42"/>
  <c r="L1260" i="50" s="1"/>
  <c r="AA875" i="37"/>
  <c r="AA878" i="37" s="1"/>
  <c r="AA879" i="37" s="1"/>
  <c r="AA880" i="37" s="1"/>
  <c r="AA881" i="37" s="1"/>
  <c r="AA866" i="37"/>
  <c r="AA867" i="37" s="1"/>
  <c r="AA868" i="37" s="1"/>
  <c r="AA869" i="37" s="1"/>
  <c r="N800" i="37"/>
  <c r="Y799" i="37" s="1"/>
  <c r="AA933" i="37"/>
  <c r="AA936" i="37" s="1"/>
  <c r="AA915" i="37"/>
  <c r="P225" i="50"/>
  <c r="I712" i="50"/>
  <c r="I714" i="50" s="1"/>
  <c r="L712" i="50"/>
  <c r="J801" i="37"/>
  <c r="Y798" i="37"/>
  <c r="K801" i="37"/>
  <c r="M801" i="37"/>
  <c r="P331" i="41"/>
  <c r="V793" i="37"/>
  <c r="J800" i="37"/>
  <c r="N801" i="37"/>
  <c r="M800" i="37"/>
  <c r="T482" i="42"/>
  <c r="T474" i="42"/>
  <c r="P252" i="41"/>
  <c r="E298" i="41"/>
  <c r="E353" i="50"/>
  <c r="M620" i="37"/>
  <c r="K665" i="50"/>
  <c r="L261" i="37"/>
  <c r="I260" i="37"/>
  <c r="S260" i="37" s="1"/>
  <c r="J524" i="50"/>
  <c r="V613" i="37"/>
  <c r="V771" i="37" s="1"/>
  <c r="S613" i="37"/>
  <c r="S715" i="37" s="1"/>
  <c r="K491" i="50"/>
  <c r="T613" i="37"/>
  <c r="T715" i="37" s="1"/>
  <c r="W613" i="37"/>
  <c r="W751" i="37" s="1"/>
  <c r="M509" i="50"/>
  <c r="N621" i="37"/>
  <c r="N1280" i="50"/>
  <c r="F1283" i="50" s="1"/>
  <c r="I1283" i="50" s="1"/>
  <c r="R1282" i="50" s="1"/>
  <c r="S200" i="37"/>
  <c r="S225" i="37"/>
  <c r="S161" i="37"/>
  <c r="S141" i="37"/>
  <c r="S219" i="37"/>
  <c r="S52" i="37"/>
  <c r="S210" i="37"/>
  <c r="S42" i="37"/>
  <c r="S151" i="37"/>
  <c r="S43" i="37"/>
  <c r="S129" i="37"/>
  <c r="S201" i="37"/>
  <c r="S102" i="37"/>
  <c r="S44" i="37"/>
  <c r="S169" i="37"/>
  <c r="AA27" i="37"/>
  <c r="Y27" i="37" s="1"/>
  <c r="N27" i="37"/>
  <c r="Y26" i="37" s="1"/>
  <c r="M499" i="50"/>
  <c r="I499" i="50"/>
  <c r="J499" i="50"/>
  <c r="K499" i="50"/>
  <c r="L499" i="50"/>
  <c r="I506" i="50"/>
  <c r="J506" i="50"/>
  <c r="L506" i="50"/>
  <c r="K506" i="50"/>
  <c r="M506" i="50"/>
  <c r="L621" i="37"/>
  <c r="AA26" i="37"/>
  <c r="AA125" i="37"/>
  <c r="AA126" i="37" s="1"/>
  <c r="AA127" i="37" s="1"/>
  <c r="AA128" i="37" s="1"/>
  <c r="AA134" i="37"/>
  <c r="AA137" i="37" s="1"/>
  <c r="AA138" i="37" s="1"/>
  <c r="AA139" i="37" s="1"/>
  <c r="AA140" i="37" s="1"/>
  <c r="I524" i="50"/>
  <c r="L524" i="50"/>
  <c r="M524" i="50"/>
  <c r="E524" i="50"/>
  <c r="K524" i="50"/>
  <c r="L511" i="50"/>
  <c r="K511" i="50"/>
  <c r="M511" i="50"/>
  <c r="J511" i="50"/>
  <c r="I511" i="50"/>
  <c r="I505" i="50"/>
  <c r="J505" i="50"/>
  <c r="K505" i="50"/>
  <c r="L505" i="50"/>
  <c r="M505" i="50"/>
  <c r="J490" i="50"/>
  <c r="I490" i="50"/>
  <c r="K490" i="50"/>
  <c r="M490" i="50"/>
  <c r="L490" i="50"/>
  <c r="I491" i="50"/>
  <c r="L491" i="50"/>
  <c r="M491" i="50"/>
  <c r="J491" i="50"/>
  <c r="M518" i="50"/>
  <c r="J518" i="50"/>
  <c r="L518" i="50"/>
  <c r="I518" i="50"/>
  <c r="K518" i="50"/>
  <c r="K508" i="50"/>
  <c r="L508" i="50"/>
  <c r="J508" i="50"/>
  <c r="I508" i="50"/>
  <c r="L620" i="37"/>
  <c r="P221" i="50"/>
  <c r="N25" i="37"/>
  <c r="N39" i="37" s="1"/>
  <c r="X52" i="37"/>
  <c r="X44" i="37"/>
  <c r="N43" i="37"/>
  <c r="X43" i="37"/>
  <c r="N28" i="37"/>
  <c r="J504" i="50"/>
  <c r="M504" i="50"/>
  <c r="L504" i="50"/>
  <c r="K504" i="50"/>
  <c r="I504" i="50"/>
  <c r="M522" i="50"/>
  <c r="J522" i="50"/>
  <c r="L522" i="50"/>
  <c r="K522" i="50"/>
  <c r="I522" i="50"/>
  <c r="E522" i="50"/>
  <c r="M493" i="50"/>
  <c r="L493" i="50"/>
  <c r="J493" i="50"/>
  <c r="K493" i="50"/>
  <c r="I493" i="50"/>
  <c r="L488" i="50"/>
  <c r="J488" i="50"/>
  <c r="M488" i="50"/>
  <c r="K488" i="50"/>
  <c r="I488" i="50"/>
  <c r="K507" i="50"/>
  <c r="L507" i="50"/>
  <c r="J507" i="50"/>
  <c r="I507" i="50"/>
  <c r="M507" i="50"/>
  <c r="Y28" i="37"/>
  <c r="Y51" i="37"/>
  <c r="Y52" i="37" s="1"/>
  <c r="Y39" i="37"/>
  <c r="Y40" i="37" s="1"/>
  <c r="Y41" i="37" s="1"/>
  <c r="Y42" i="37" s="1"/>
  <c r="Y43" i="37" s="1"/>
  <c r="Y44" i="37" s="1"/>
  <c r="L510" i="50"/>
  <c r="M510" i="50"/>
  <c r="I510" i="50"/>
  <c r="J510" i="50"/>
  <c r="K510" i="50"/>
  <c r="I512" i="50"/>
  <c r="M512" i="50"/>
  <c r="L512" i="50"/>
  <c r="J512" i="50"/>
  <c r="K512" i="50"/>
  <c r="K509" i="50"/>
  <c r="I509" i="50"/>
  <c r="L509" i="50"/>
  <c r="J509" i="50"/>
  <c r="L496" i="50"/>
  <c r="M496" i="50"/>
  <c r="J496" i="50"/>
  <c r="K496" i="50"/>
  <c r="I496" i="50"/>
  <c r="K472" i="50"/>
  <c r="L472" i="50"/>
  <c r="L474" i="50" s="1"/>
  <c r="J472" i="50"/>
  <c r="N260" i="37"/>
  <c r="Y259" i="37" s="1"/>
  <c r="M508" i="50"/>
  <c r="L487" i="50"/>
  <c r="K487" i="50"/>
  <c r="M487" i="50"/>
  <c r="I487" i="50"/>
  <c r="J487" i="50"/>
  <c r="K485" i="50"/>
  <c r="J620" i="37"/>
  <c r="Y258" i="37"/>
  <c r="Y268" i="37" s="1"/>
  <c r="Y269" i="37" s="1"/>
  <c r="Y270" i="37" s="1"/>
  <c r="Y271" i="37" s="1"/>
  <c r="Y272" i="37" s="1"/>
  <c r="Y273" i="37" s="1"/>
  <c r="AA41" i="37"/>
  <c r="AA42" i="37" s="1"/>
  <c r="AA43" i="37" s="1"/>
  <c r="AA44" i="37" s="1"/>
  <c r="AA182" i="37"/>
  <c r="AA203" i="37"/>
  <c r="AA207" i="37" s="1"/>
  <c r="E294" i="41"/>
  <c r="P248" i="41"/>
  <c r="E349" i="50"/>
  <c r="K525" i="50"/>
  <c r="J525" i="50"/>
  <c r="E525" i="50"/>
  <c r="I525" i="50"/>
  <c r="M525" i="50"/>
  <c r="L525" i="50"/>
  <c r="L495" i="50"/>
  <c r="I495" i="50"/>
  <c r="K495" i="50"/>
  <c r="J495" i="50"/>
  <c r="L513" i="50"/>
  <c r="J513" i="50"/>
  <c r="K513" i="50"/>
  <c r="M513" i="50"/>
  <c r="I513" i="50"/>
  <c r="R517" i="42"/>
  <c r="I498" i="50"/>
  <c r="M498" i="50"/>
  <c r="L498" i="50"/>
  <c r="J498" i="50"/>
  <c r="K498" i="50"/>
  <c r="M492" i="50"/>
  <c r="J492" i="50"/>
  <c r="L492" i="50"/>
  <c r="I492" i="50"/>
  <c r="K492" i="50"/>
  <c r="AA619" i="37"/>
  <c r="K545" i="50"/>
  <c r="T13" i="37"/>
  <c r="W13" i="37"/>
  <c r="V13" i="37"/>
  <c r="U13" i="37"/>
  <c r="K501" i="50"/>
  <c r="L501" i="50"/>
  <c r="J501" i="50"/>
  <c r="I501" i="50"/>
  <c r="M501" i="50"/>
  <c r="M495" i="50"/>
  <c r="K516" i="50"/>
  <c r="L516" i="50"/>
  <c r="I516" i="50"/>
  <c r="M516" i="50"/>
  <c r="J516" i="50"/>
  <c r="L502" i="50"/>
  <c r="J502" i="50"/>
  <c r="M502" i="50"/>
  <c r="K502" i="50"/>
  <c r="I502" i="50"/>
  <c r="K521" i="50"/>
  <c r="J521" i="50"/>
  <c r="M521" i="50"/>
  <c r="L521" i="50"/>
  <c r="E521" i="50"/>
  <c r="I521" i="50"/>
  <c r="U192" i="42"/>
  <c r="U228" i="42"/>
  <c r="U220" i="42"/>
  <c r="U216" i="42"/>
  <c r="U151" i="42"/>
  <c r="K1120" i="50" s="1"/>
  <c r="U224" i="42"/>
  <c r="U212" i="42"/>
  <c r="W379" i="42"/>
  <c r="W333" i="42"/>
  <c r="M1200" i="50" s="1"/>
  <c r="W389" i="42"/>
  <c r="W391" i="42"/>
  <c r="N620" i="37"/>
  <c r="Y619" i="37" s="1"/>
  <c r="AA630" i="37"/>
  <c r="AA631" i="37" s="1"/>
  <c r="AA632" i="37" s="1"/>
  <c r="AA633" i="37" s="1"/>
  <c r="N628" i="37"/>
  <c r="N31" i="47"/>
  <c r="N94" i="47" s="1"/>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W319" i="42"/>
  <c r="W303" i="42"/>
  <c r="W283" i="42"/>
  <c r="W242" i="42"/>
  <c r="M1160" i="50" s="1"/>
  <c r="W307" i="42"/>
  <c r="W315" i="42"/>
  <c r="W311" i="42"/>
  <c r="J652" i="50"/>
  <c r="L652" i="50"/>
  <c r="L654" i="50" s="1"/>
  <c r="K652" i="50"/>
  <c r="AA506" i="37"/>
  <c r="AA507" i="37" s="1"/>
  <c r="AA508" i="37" s="1"/>
  <c r="AA509" i="37" s="1"/>
  <c r="AA515" i="37"/>
  <c r="AA518" i="37" s="1"/>
  <c r="AA519" i="37" s="1"/>
  <c r="AA520" i="37" s="1"/>
  <c r="AA521" i="37" s="1"/>
  <c r="AA260" i="37"/>
  <c r="J260" i="37"/>
  <c r="M261" i="37"/>
  <c r="AA259" i="37"/>
  <c r="K261" i="37"/>
  <c r="V228" i="42"/>
  <c r="V216" i="42"/>
  <c r="V220" i="42"/>
  <c r="V151" i="42"/>
  <c r="L1120" i="50" s="1"/>
  <c r="V224" i="42"/>
  <c r="V192" i="42"/>
  <c r="V212" i="42"/>
  <c r="S673" i="37"/>
  <c r="AA695" i="37"/>
  <c r="AA698" i="37" s="1"/>
  <c r="AA699" i="37" s="1"/>
  <c r="AA700" i="37" s="1"/>
  <c r="AA701" i="37" s="1"/>
  <c r="AA686" i="37"/>
  <c r="AA687" i="37" s="1"/>
  <c r="AA688" i="37" s="1"/>
  <c r="AA689" i="37" s="1"/>
  <c r="V137" i="42"/>
  <c r="V86" i="42"/>
  <c r="V121" i="42"/>
  <c r="V133" i="42"/>
  <c r="V24" i="42"/>
  <c r="L1080" i="50" s="1"/>
  <c r="V129" i="42"/>
  <c r="V125" i="42"/>
  <c r="L27" i="37"/>
  <c r="K27" i="37"/>
  <c r="M27" i="37"/>
  <c r="J27" i="37"/>
  <c r="I27" i="37"/>
  <c r="U283" i="42"/>
  <c r="U242" i="42"/>
  <c r="K1160" i="50" s="1"/>
  <c r="U303" i="42"/>
  <c r="U307" i="42"/>
  <c r="U315" i="42"/>
  <c r="U311" i="42"/>
  <c r="U319" i="42"/>
  <c r="AA555" i="37"/>
  <c r="AA573" i="37"/>
  <c r="AA576" i="37" s="1"/>
  <c r="AA735" i="37"/>
  <c r="AA753" i="37"/>
  <c r="AA756" i="37" s="1"/>
  <c r="T133" i="42"/>
  <c r="T129" i="42"/>
  <c r="T125" i="42"/>
  <c r="T137" i="42"/>
  <c r="T86" i="42"/>
  <c r="T121" i="42"/>
  <c r="T24" i="42"/>
  <c r="J1080" i="50" s="1"/>
  <c r="V303" i="42"/>
  <c r="V315" i="42"/>
  <c r="V283" i="42"/>
  <c r="V319" i="42"/>
  <c r="V242" i="42"/>
  <c r="L1160" i="50" s="1"/>
  <c r="V311" i="42"/>
  <c r="V307" i="42"/>
  <c r="U450" i="42"/>
  <c r="U459" i="42"/>
  <c r="U461" i="42"/>
  <c r="U406" i="42"/>
  <c r="K1230" i="50" s="1"/>
  <c r="L532" i="50"/>
  <c r="L534" i="50" s="1"/>
  <c r="K532" i="50"/>
  <c r="J532" i="50"/>
  <c r="V253" i="37"/>
  <c r="X278" i="37"/>
  <c r="X273" i="37"/>
  <c r="N272" i="37"/>
  <c r="X272" i="37"/>
  <c r="U715" i="37"/>
  <c r="U632" i="37"/>
  <c r="U750" i="37"/>
  <c r="U751" i="37"/>
  <c r="U631" i="37"/>
  <c r="U702" i="37"/>
  <c r="U771" i="37"/>
  <c r="U759" i="37"/>
  <c r="U709" i="37"/>
  <c r="U633" i="37"/>
  <c r="U767" i="37"/>
  <c r="U690" i="37"/>
  <c r="U673" i="37"/>
  <c r="U638" i="37"/>
  <c r="Y618" i="37"/>
  <c r="X633" i="37"/>
  <c r="X638" i="37"/>
  <c r="N632" i="37"/>
  <c r="X632" i="37"/>
  <c r="S129" i="42"/>
  <c r="S137" i="42"/>
  <c r="S121" i="42"/>
  <c r="S86" i="42"/>
  <c r="S133" i="42"/>
  <c r="S125" i="42"/>
  <c r="S24" i="42"/>
  <c r="S315" i="42"/>
  <c r="S307" i="42"/>
  <c r="S311" i="42"/>
  <c r="S242" i="42"/>
  <c r="S303" i="42"/>
  <c r="S319" i="42"/>
  <c r="S283" i="42"/>
  <c r="S406" i="42"/>
  <c r="S459" i="42"/>
  <c r="S461" i="42"/>
  <c r="S450" i="42"/>
  <c r="AA450" i="37"/>
  <c r="AA451" i="37" s="1"/>
  <c r="AA452" i="37" s="1"/>
  <c r="AA453" i="37" s="1"/>
  <c r="N448" i="37"/>
  <c r="S391" i="42"/>
  <c r="S379" i="42"/>
  <c r="S389" i="42"/>
  <c r="S333" i="42"/>
  <c r="I621" i="37"/>
  <c r="K621" i="37"/>
  <c r="U137" i="42"/>
  <c r="U121" i="42"/>
  <c r="U129" i="42"/>
  <c r="U125" i="42"/>
  <c r="U133" i="42"/>
  <c r="U86" i="42"/>
  <c r="U24" i="42"/>
  <c r="K1080" i="50" s="1"/>
  <c r="P251" i="41"/>
  <c r="E297" i="41"/>
  <c r="E352" i="50"/>
  <c r="K592" i="50"/>
  <c r="I592" i="50" s="1"/>
  <c r="L592" i="50"/>
  <c r="L594" i="50" s="1"/>
  <c r="J592" i="50"/>
  <c r="T459" i="42"/>
  <c r="T406" i="42"/>
  <c r="J1230" i="50" s="1"/>
  <c r="T450" i="42"/>
  <c r="T461" i="42"/>
  <c r="T433" i="37"/>
  <c r="U433" i="37"/>
  <c r="V433" i="37"/>
  <c r="W433" i="37"/>
  <c r="S433" i="37"/>
  <c r="AA375" i="37"/>
  <c r="AA393" i="37"/>
  <c r="AA396" i="37" s="1"/>
  <c r="J261" i="37"/>
  <c r="T212" i="42"/>
  <c r="T224" i="42"/>
  <c r="T192" i="42"/>
  <c r="T228" i="42"/>
  <c r="T216" i="42"/>
  <c r="T220" i="42"/>
  <c r="T151" i="42"/>
  <c r="J1120" i="50" s="1"/>
  <c r="U389" i="42"/>
  <c r="U379" i="42"/>
  <c r="U391" i="42"/>
  <c r="U333" i="42"/>
  <c r="K1200" i="50" s="1"/>
  <c r="W24" i="42"/>
  <c r="M1080" i="50" s="1"/>
  <c r="W137" i="42"/>
  <c r="W125" i="42"/>
  <c r="W121" i="42"/>
  <c r="W133" i="42"/>
  <c r="W86" i="42"/>
  <c r="W129" i="42"/>
  <c r="E296" i="41"/>
  <c r="P250" i="41"/>
  <c r="E351" i="50"/>
  <c r="W406" i="42"/>
  <c r="M1230" i="50" s="1"/>
  <c r="W450" i="42"/>
  <c r="W459" i="42"/>
  <c r="W461" i="42"/>
  <c r="J233" i="50"/>
  <c r="Q1340" i="50"/>
  <c r="I233" i="50"/>
  <c r="M232" i="50"/>
  <c r="M231" i="50"/>
  <c r="L234" i="50"/>
  <c r="I234" i="50"/>
  <c r="L231" i="50"/>
  <c r="L232" i="50"/>
  <c r="Q1339" i="50"/>
  <c r="K235" i="50"/>
  <c r="Q1338" i="50"/>
  <c r="L233" i="50"/>
  <c r="K234" i="50"/>
  <c r="I232" i="50"/>
  <c r="J235" i="50"/>
  <c r="I231" i="50"/>
  <c r="M234" i="50"/>
  <c r="K233" i="50"/>
  <c r="I235" i="50"/>
  <c r="Q1337" i="50"/>
  <c r="M235" i="50"/>
  <c r="M233" i="50"/>
  <c r="K232" i="50"/>
  <c r="J232" i="50"/>
  <c r="Q1341" i="50"/>
  <c r="K231" i="50"/>
  <c r="Q1336" i="50"/>
  <c r="L235" i="50"/>
  <c r="J234" i="50"/>
  <c r="J231" i="50"/>
  <c r="Y438" i="37"/>
  <c r="X452" i="37"/>
  <c r="X453" i="37"/>
  <c r="X458" i="37"/>
  <c r="N452" i="37"/>
  <c r="S273" i="37"/>
  <c r="S278" i="37"/>
  <c r="S390" i="37"/>
  <c r="S355" i="37"/>
  <c r="S342" i="37"/>
  <c r="S407" i="37"/>
  <c r="S391" i="37"/>
  <c r="S272" i="37"/>
  <c r="S330" i="37"/>
  <c r="S349" i="37"/>
  <c r="S399" i="37"/>
  <c r="S363" i="37"/>
  <c r="S313" i="37"/>
  <c r="S271" i="37"/>
  <c r="S411" i="37"/>
  <c r="AA326" i="37"/>
  <c r="AA327" i="37" s="1"/>
  <c r="AA328" i="37" s="1"/>
  <c r="AA329" i="37" s="1"/>
  <c r="AA335" i="37"/>
  <c r="AA338" i="37" s="1"/>
  <c r="AA339" i="37" s="1"/>
  <c r="AA340" i="37" s="1"/>
  <c r="AA341" i="37" s="1"/>
  <c r="W192" i="42"/>
  <c r="W228" i="42"/>
  <c r="W151" i="42"/>
  <c r="M1120" i="50" s="1"/>
  <c r="W224" i="42"/>
  <c r="W220" i="42"/>
  <c r="W216" i="42"/>
  <c r="W212" i="42"/>
  <c r="T333" i="42"/>
  <c r="J1200" i="50" s="1"/>
  <c r="T379" i="42"/>
  <c r="T391" i="42"/>
  <c r="T389" i="42"/>
  <c r="K620" i="37"/>
  <c r="U620" i="37" s="1"/>
  <c r="V450" i="42"/>
  <c r="V406" i="42"/>
  <c r="L1230" i="50" s="1"/>
  <c r="V459" i="42"/>
  <c r="V461" i="42"/>
  <c r="P249" i="41"/>
  <c r="E295" i="41"/>
  <c r="E350" i="50"/>
  <c r="T253" i="37"/>
  <c r="U253" i="37"/>
  <c r="S224" i="42"/>
  <c r="S212" i="42"/>
  <c r="S192" i="42"/>
  <c r="S220" i="42"/>
  <c r="S151" i="42"/>
  <c r="S216" i="42"/>
  <c r="S228" i="42"/>
  <c r="V379" i="42"/>
  <c r="V333" i="42"/>
  <c r="L1200" i="50" s="1"/>
  <c r="V391" i="42"/>
  <c r="V389" i="42"/>
  <c r="T283" i="42"/>
  <c r="T319" i="42"/>
  <c r="T242" i="42"/>
  <c r="J1160" i="50" s="1"/>
  <c r="T303" i="42"/>
  <c r="T315" i="42"/>
  <c r="T311" i="42"/>
  <c r="T307" i="42"/>
  <c r="N441" i="37"/>
  <c r="L441" i="37"/>
  <c r="K440" i="37"/>
  <c r="M440" i="37"/>
  <c r="I441" i="37"/>
  <c r="I440" i="37"/>
  <c r="J441" i="37"/>
  <c r="M441" i="37"/>
  <c r="K441" i="37"/>
  <c r="AA439" i="37"/>
  <c r="AA440" i="37"/>
  <c r="L440" i="37"/>
  <c r="N440" i="37"/>
  <c r="Y439" i="37" s="1"/>
  <c r="J440" i="37"/>
  <c r="W253" i="37"/>
  <c r="AA270" i="37"/>
  <c r="AA271" i="37" s="1"/>
  <c r="AA272" i="37" s="1"/>
  <c r="AA273" i="37" s="1"/>
  <c r="N268" i="37"/>
  <c r="D212" i="34"/>
  <c r="O212" i="34"/>
  <c r="R212" i="34" s="1"/>
  <c r="C213" i="34"/>
  <c r="H371" i="43"/>
  <c r="E42" i="50" s="1"/>
  <c r="K371" i="43"/>
  <c r="L42" i="50" s="1"/>
  <c r="J371" i="43"/>
  <c r="I42" i="50" s="1"/>
  <c r="G371" i="43"/>
  <c r="G370" i="43"/>
  <c r="H370" i="43"/>
  <c r="E41" i="50" s="1"/>
  <c r="J370" i="43"/>
  <c r="I41" i="50" s="1"/>
  <c r="K370" i="43"/>
  <c r="L41" i="50" s="1"/>
  <c r="I472" i="50" l="1"/>
  <c r="M474" i="50"/>
  <c r="U853" i="37"/>
  <c r="W690" i="37"/>
  <c r="U939" i="37"/>
  <c r="U882" i="37"/>
  <c r="S1012" i="50"/>
  <c r="S1009" i="50"/>
  <c r="R1334" i="50" s="1"/>
  <c r="N1014" i="50"/>
  <c r="N1013" i="50"/>
  <c r="G1021" i="50"/>
  <c r="N1012" i="50"/>
  <c r="H1018" i="50"/>
  <c r="S750" i="37"/>
  <c r="L1014" i="50"/>
  <c r="N1018" i="50"/>
  <c r="V723" i="37"/>
  <c r="U811" i="37"/>
  <c r="S702" i="37"/>
  <c r="S632" i="37"/>
  <c r="S638" i="37"/>
  <c r="S751" i="37"/>
  <c r="V673" i="37"/>
  <c r="W621" i="37"/>
  <c r="M658" i="50" s="1"/>
  <c r="U947" i="37"/>
  <c r="Y440" i="37"/>
  <c r="W771" i="37"/>
  <c r="W759" i="37"/>
  <c r="W709" i="37"/>
  <c r="W631" i="37"/>
  <c r="U812" i="37"/>
  <c r="U870" i="37"/>
  <c r="W767" i="37"/>
  <c r="W715" i="37"/>
  <c r="W633" i="37"/>
  <c r="U903" i="37"/>
  <c r="W673" i="37"/>
  <c r="W750" i="37"/>
  <c r="W632" i="37"/>
  <c r="U800" i="37"/>
  <c r="W702" i="37"/>
  <c r="W638" i="37"/>
  <c r="U895" i="37"/>
  <c r="V751" i="37"/>
  <c r="V709" i="37"/>
  <c r="W620" i="37"/>
  <c r="T620" i="37"/>
  <c r="U889" i="37"/>
  <c r="U801" i="37"/>
  <c r="K718" i="50" s="1"/>
  <c r="T751" i="37"/>
  <c r="T750" i="37"/>
  <c r="U951" i="37"/>
  <c r="U931" i="37"/>
  <c r="U930" i="37"/>
  <c r="T631" i="37"/>
  <c r="U813" i="37"/>
  <c r="T638" i="37"/>
  <c r="T709" i="37"/>
  <c r="V633" i="37"/>
  <c r="V767" i="37"/>
  <c r="T702" i="37"/>
  <c r="T632" i="37"/>
  <c r="V759" i="37"/>
  <c r="V631" i="37"/>
  <c r="K1283" i="50"/>
  <c r="S1282" i="50" s="1"/>
  <c r="T673" i="37"/>
  <c r="T767" i="37"/>
  <c r="V715" i="37"/>
  <c r="V690" i="37"/>
  <c r="T633" i="37"/>
  <c r="T690" i="37"/>
  <c r="V750" i="37"/>
  <c r="V638" i="37"/>
  <c r="T621" i="37"/>
  <c r="J658" i="50" s="1"/>
  <c r="T771" i="37"/>
  <c r="V702" i="37"/>
  <c r="T759" i="37"/>
  <c r="V632" i="37"/>
  <c r="L612" i="50"/>
  <c r="I248" i="41"/>
  <c r="I349" i="50" s="1"/>
  <c r="K608" i="50"/>
  <c r="M644" i="50"/>
  <c r="J624" i="50"/>
  <c r="I550" i="50"/>
  <c r="L332" i="41"/>
  <c r="L424" i="50" s="1"/>
  <c r="I330" i="41"/>
  <c r="I422" i="50" s="1"/>
  <c r="K328" i="41"/>
  <c r="K420" i="50" s="1"/>
  <c r="L331" i="41"/>
  <c r="L423" i="50" s="1"/>
  <c r="L329" i="41"/>
  <c r="L421" i="50" s="1"/>
  <c r="L328" i="41"/>
  <c r="L420" i="50" s="1"/>
  <c r="I329" i="41"/>
  <c r="I421" i="50" s="1"/>
  <c r="L559" i="50"/>
  <c r="M727" i="50"/>
  <c r="M225" i="50" s="1"/>
  <c r="K578" i="50"/>
  <c r="I672" i="50"/>
  <c r="L615" i="50"/>
  <c r="L537" i="50"/>
  <c r="J582" i="50"/>
  <c r="L570" i="50"/>
  <c r="M332" i="41"/>
  <c r="M424" i="50" s="1"/>
  <c r="M330" i="41"/>
  <c r="M422" i="50" s="1"/>
  <c r="J328" i="41"/>
  <c r="J420" i="50" s="1"/>
  <c r="K332" i="41"/>
  <c r="K424" i="50" s="1"/>
  <c r="I328" i="41"/>
  <c r="I420" i="50" s="1"/>
  <c r="K329" i="41"/>
  <c r="K421" i="50" s="1"/>
  <c r="M329" i="41"/>
  <c r="M421" i="50" s="1"/>
  <c r="M562" i="50"/>
  <c r="M331" i="41"/>
  <c r="M423" i="50" s="1"/>
  <c r="L752" i="50"/>
  <c r="I752" i="50"/>
  <c r="I696" i="50"/>
  <c r="J678" i="50"/>
  <c r="J638" i="50"/>
  <c r="L582" i="50"/>
  <c r="I568" i="50"/>
  <c r="M693" i="50"/>
  <c r="K331" i="41"/>
  <c r="K423" i="50" s="1"/>
  <c r="J330" i="41"/>
  <c r="J422" i="50" s="1"/>
  <c r="J585" i="50"/>
  <c r="M328" i="41"/>
  <c r="M420" i="50" s="1"/>
  <c r="J762" i="50"/>
  <c r="J744" i="50"/>
  <c r="L558" i="50"/>
  <c r="K678" i="50"/>
  <c r="K642" i="50"/>
  <c r="K693" i="50"/>
  <c r="M701" i="50"/>
  <c r="J668" i="50"/>
  <c r="I332" i="41"/>
  <c r="I424" i="50" s="1"/>
  <c r="J329" i="41"/>
  <c r="J421" i="50" s="1"/>
  <c r="K550" i="50"/>
  <c r="M691" i="50"/>
  <c r="M611" i="50"/>
  <c r="J690" i="50"/>
  <c r="I684" i="50"/>
  <c r="M675" i="50"/>
  <c r="J332" i="41"/>
  <c r="J424" i="50" s="1"/>
  <c r="I331" i="41"/>
  <c r="I423" i="50" s="1"/>
  <c r="K610" i="50"/>
  <c r="I730" i="50"/>
  <c r="E645" i="50"/>
  <c r="M565" i="50"/>
  <c r="I565" i="50"/>
  <c r="E702" i="50"/>
  <c r="I573" i="50"/>
  <c r="M256" i="41"/>
  <c r="M357" i="50" s="1"/>
  <c r="J331" i="41"/>
  <c r="J423" i="50" s="1"/>
  <c r="L330" i="41"/>
  <c r="L422" i="50" s="1"/>
  <c r="J705" i="50"/>
  <c r="I571" i="50"/>
  <c r="J631" i="50"/>
  <c r="J630" i="50"/>
  <c r="J608" i="50"/>
  <c r="K330" i="41"/>
  <c r="K422" i="50" s="1"/>
  <c r="L628" i="50"/>
  <c r="I597" i="50"/>
  <c r="L597" i="50"/>
  <c r="I538" i="50"/>
  <c r="K597" i="50"/>
  <c r="K537" i="50"/>
  <c r="M597" i="50"/>
  <c r="I657" i="50"/>
  <c r="V620" i="37"/>
  <c r="Q620" i="37" s="1"/>
  <c r="I718" i="50"/>
  <c r="L714" i="50"/>
  <c r="AA917" i="37"/>
  <c r="AA920" i="37" s="1"/>
  <c r="AA921" i="37" s="1"/>
  <c r="AA923" i="37" s="1"/>
  <c r="AA925" i="37"/>
  <c r="AA928" i="37" s="1"/>
  <c r="AA929" i="37" s="1"/>
  <c r="AA931" i="37" s="1"/>
  <c r="J728" i="50"/>
  <c r="I756" i="50"/>
  <c r="I761" i="50"/>
  <c r="K749" i="50"/>
  <c r="I731" i="50"/>
  <c r="M717" i="50"/>
  <c r="M736" i="50"/>
  <c r="L742" i="50"/>
  <c r="L744" i="50"/>
  <c r="L748" i="50"/>
  <c r="E761" i="50"/>
  <c r="J742" i="50"/>
  <c r="N712" i="50"/>
  <c r="N714" i="50"/>
  <c r="H718" i="50"/>
  <c r="G721" i="50"/>
  <c r="N713" i="50"/>
  <c r="J537" i="50"/>
  <c r="S771" i="37"/>
  <c r="M692" i="50"/>
  <c r="M676" i="50"/>
  <c r="I627" i="50"/>
  <c r="J684" i="50"/>
  <c r="I578" i="50"/>
  <c r="I631" i="50"/>
  <c r="J698" i="50"/>
  <c r="J633" i="50"/>
  <c r="I567" i="50"/>
  <c r="J636" i="50"/>
  <c r="I552" i="50"/>
  <c r="I689" i="50"/>
  <c r="K687" i="50"/>
  <c r="J685" i="50"/>
  <c r="L255" i="41"/>
  <c r="L356" i="50" s="1"/>
  <c r="M221" i="50"/>
  <c r="I736" i="50"/>
  <c r="J745" i="50"/>
  <c r="M731" i="50"/>
  <c r="E765" i="50"/>
  <c r="I741" i="50"/>
  <c r="K736" i="50"/>
  <c r="I745" i="50"/>
  <c r="AA937" i="37"/>
  <c r="AA939" i="37" s="1"/>
  <c r="AA941" i="37"/>
  <c r="AA944" i="37" s="1"/>
  <c r="AA945" i="37" s="1"/>
  <c r="AA947" i="37" s="1"/>
  <c r="L765" i="50"/>
  <c r="M765" i="50"/>
  <c r="K765" i="50"/>
  <c r="M762" i="50"/>
  <c r="K764" i="50"/>
  <c r="J764" i="50"/>
  <c r="J765" i="50"/>
  <c r="I746" i="50"/>
  <c r="M733" i="50"/>
  <c r="L750" i="50"/>
  <c r="M752" i="50"/>
  <c r="L753" i="50"/>
  <c r="K745" i="50"/>
  <c r="S709" i="50"/>
  <c r="R1329" i="50" s="1"/>
  <c r="S712" i="50"/>
  <c r="S767" i="37"/>
  <c r="S690" i="37"/>
  <c r="L667" i="50"/>
  <c r="L224" i="50" s="1"/>
  <c r="I585" i="50"/>
  <c r="M615" i="50"/>
  <c r="E704" i="50"/>
  <c r="K553" i="50"/>
  <c r="M627" i="50"/>
  <c r="M682" i="50"/>
  <c r="K607" i="50"/>
  <c r="K223" i="50" s="1"/>
  <c r="M576" i="50"/>
  <c r="I630" i="50"/>
  <c r="I572" i="50"/>
  <c r="L254" i="41"/>
  <c r="L355" i="50" s="1"/>
  <c r="K704" i="50"/>
  <c r="K558" i="50"/>
  <c r="K547" i="50"/>
  <c r="K222" i="50" s="1"/>
  <c r="L747" i="50"/>
  <c r="L741" i="50"/>
  <c r="K731" i="50"/>
  <c r="L735" i="50"/>
  <c r="K750" i="50"/>
  <c r="L739" i="50"/>
  <c r="M732" i="50"/>
  <c r="L761" i="50"/>
  <c r="L731" i="50"/>
  <c r="K717" i="50"/>
  <c r="M745" i="50"/>
  <c r="J739" i="50"/>
  <c r="I750" i="50"/>
  <c r="L736" i="50"/>
  <c r="K739" i="50"/>
  <c r="J733" i="50"/>
  <c r="J735" i="50"/>
  <c r="L730" i="50"/>
  <c r="I735" i="50"/>
  <c r="J750" i="50"/>
  <c r="P298" i="41"/>
  <c r="K298" i="41" s="1"/>
  <c r="K393" i="50" s="1"/>
  <c r="E327" i="41"/>
  <c r="E393" i="50"/>
  <c r="L746" i="50"/>
  <c r="I765" i="50"/>
  <c r="L732" i="50"/>
  <c r="M758" i="50"/>
  <c r="K758" i="50"/>
  <c r="L758" i="50"/>
  <c r="M761" i="50"/>
  <c r="L728" i="50"/>
  <c r="I748" i="50"/>
  <c r="L749" i="50"/>
  <c r="J732" i="50"/>
  <c r="K744" i="50"/>
  <c r="I717" i="50"/>
  <c r="M739" i="50"/>
  <c r="M756" i="50"/>
  <c r="L733" i="50"/>
  <c r="K756" i="50"/>
  <c r="J746" i="50"/>
  <c r="M749" i="50"/>
  <c r="J731" i="50"/>
  <c r="S709" i="37"/>
  <c r="S620" i="37"/>
  <c r="I256" i="41"/>
  <c r="I357" i="50" s="1"/>
  <c r="J550" i="50"/>
  <c r="M610" i="50"/>
  <c r="L562" i="50"/>
  <c r="I612" i="50"/>
  <c r="K576" i="50"/>
  <c r="I555" i="50"/>
  <c r="I613" i="50"/>
  <c r="M631" i="50"/>
  <c r="I615" i="50"/>
  <c r="J565" i="50"/>
  <c r="K256" i="41"/>
  <c r="K357" i="50" s="1"/>
  <c r="M570" i="50"/>
  <c r="L630" i="50"/>
  <c r="J682" i="50"/>
  <c r="L745" i="50"/>
  <c r="L764" i="50"/>
  <c r="I728" i="50"/>
  <c r="M764" i="50"/>
  <c r="J748" i="50"/>
  <c r="K762" i="50"/>
  <c r="E764" i="50"/>
  <c r="M747" i="50"/>
  <c r="M750" i="50"/>
  <c r="J756" i="50"/>
  <c r="I742" i="50"/>
  <c r="I762" i="50"/>
  <c r="J751" i="50"/>
  <c r="I751" i="50"/>
  <c r="M746" i="50"/>
  <c r="M744" i="50"/>
  <c r="L738" i="50"/>
  <c r="K728" i="50"/>
  <c r="J747" i="50"/>
  <c r="I758" i="50"/>
  <c r="S631" i="37"/>
  <c r="S759" i="37"/>
  <c r="L573" i="50"/>
  <c r="L256" i="41"/>
  <c r="L357" i="50" s="1"/>
  <c r="I622" i="50"/>
  <c r="K562" i="50"/>
  <c r="L638" i="50"/>
  <c r="I682" i="50"/>
  <c r="I570" i="50"/>
  <c r="J626" i="50"/>
  <c r="M625" i="50"/>
  <c r="K621" i="50"/>
  <c r="M550" i="50"/>
  <c r="K682" i="50"/>
  <c r="K552" i="50"/>
  <c r="J578" i="50"/>
  <c r="M657" i="50"/>
  <c r="L618" i="50"/>
  <c r="K738" i="50"/>
  <c r="J758" i="50"/>
  <c r="K733" i="50"/>
  <c r="L756" i="50"/>
  <c r="M742" i="50"/>
  <c r="J761" i="50"/>
  <c r="W895" i="37"/>
  <c r="W812" i="37"/>
  <c r="W870" i="37"/>
  <c r="W801" i="37"/>
  <c r="M718" i="50" s="1"/>
  <c r="W813" i="37"/>
  <c r="W939" i="37"/>
  <c r="W800" i="37"/>
  <c r="W811" i="37"/>
  <c r="W931" i="37"/>
  <c r="W818" i="37"/>
  <c r="W903" i="37"/>
  <c r="W882" i="37"/>
  <c r="W889" i="37"/>
  <c r="W947" i="37"/>
  <c r="W951" i="37"/>
  <c r="W930" i="37"/>
  <c r="W853" i="37"/>
  <c r="I749" i="50"/>
  <c r="K751" i="50"/>
  <c r="X811" i="37"/>
  <c r="N817" i="37"/>
  <c r="X817" i="37" s="1"/>
  <c r="J717" i="50"/>
  <c r="J749" i="50"/>
  <c r="I727" i="50"/>
  <c r="I225" i="50" s="1"/>
  <c r="K747" i="50"/>
  <c r="M741" i="50"/>
  <c r="J736" i="50"/>
  <c r="K727" i="50"/>
  <c r="K225" i="50" s="1"/>
  <c r="L751" i="50"/>
  <c r="L727" i="50"/>
  <c r="L225" i="50" s="1"/>
  <c r="M735" i="50"/>
  <c r="M751" i="50"/>
  <c r="K730" i="50"/>
  <c r="V889" i="37"/>
  <c r="V903" i="37"/>
  <c r="V800" i="37"/>
  <c r="V813" i="37"/>
  <c r="V882" i="37"/>
  <c r="V801" i="37"/>
  <c r="V812" i="37"/>
  <c r="V947" i="37"/>
  <c r="V895" i="37"/>
  <c r="V939" i="37"/>
  <c r="V870" i="37"/>
  <c r="V931" i="37"/>
  <c r="V853" i="37"/>
  <c r="V930" i="37"/>
  <c r="V811" i="37"/>
  <c r="V951" i="37"/>
  <c r="V818" i="37"/>
  <c r="K746" i="50"/>
  <c r="Y801" i="37"/>
  <c r="Y808" i="37"/>
  <c r="Y809" i="37" s="1"/>
  <c r="Y810" i="37" s="1"/>
  <c r="Y811" i="37" s="1"/>
  <c r="Y812" i="37" s="1"/>
  <c r="Y813" i="37" s="1"/>
  <c r="Y817" i="37"/>
  <c r="Y818" i="37" s="1"/>
  <c r="Y800" i="37"/>
  <c r="K732" i="50"/>
  <c r="I753" i="50"/>
  <c r="K761" i="50"/>
  <c r="K741" i="50"/>
  <c r="M748" i="50"/>
  <c r="K735" i="50"/>
  <c r="J730" i="50"/>
  <c r="J738" i="50"/>
  <c r="K752" i="50"/>
  <c r="I764" i="50"/>
  <c r="L717" i="50"/>
  <c r="S633" i="37"/>
  <c r="K692" i="50"/>
  <c r="J562" i="50"/>
  <c r="M696" i="50"/>
  <c r="K570" i="50"/>
  <c r="L633" i="50"/>
  <c r="M673" i="50"/>
  <c r="M585" i="50"/>
  <c r="M630" i="50"/>
  <c r="L645" i="50"/>
  <c r="K612" i="50"/>
  <c r="L672" i="50"/>
  <c r="L687" i="50"/>
  <c r="J693" i="50"/>
  <c r="K686" i="50"/>
  <c r="M753" i="50"/>
  <c r="J727" i="50"/>
  <c r="J225" i="50" s="1"/>
  <c r="J1260" i="50"/>
  <c r="N1260" i="50" s="1"/>
  <c r="F1263" i="50" s="1"/>
  <c r="R474" i="42"/>
  <c r="M738" i="50"/>
  <c r="I733" i="50"/>
  <c r="I747" i="50"/>
  <c r="J753" i="50"/>
  <c r="I738" i="50"/>
  <c r="K748" i="50"/>
  <c r="J752" i="50"/>
  <c r="I744" i="50"/>
  <c r="M730" i="50"/>
  <c r="M728" i="50"/>
  <c r="J741" i="50"/>
  <c r="K742" i="50"/>
  <c r="T947" i="37"/>
  <c r="T889" i="37"/>
  <c r="T895" i="37"/>
  <c r="T818" i="37"/>
  <c r="T870" i="37"/>
  <c r="T882" i="37"/>
  <c r="T801" i="37"/>
  <c r="T939" i="37"/>
  <c r="T951" i="37"/>
  <c r="T811" i="37"/>
  <c r="T813" i="37"/>
  <c r="T930" i="37"/>
  <c r="T812" i="37"/>
  <c r="T931" i="37"/>
  <c r="T903" i="37"/>
  <c r="T800" i="37"/>
  <c r="T853" i="37"/>
  <c r="L762" i="50"/>
  <c r="I732" i="50"/>
  <c r="K753" i="50"/>
  <c r="E762" i="50"/>
  <c r="I739" i="50"/>
  <c r="K696" i="50"/>
  <c r="L550" i="50"/>
  <c r="K616" i="50"/>
  <c r="J701" i="50"/>
  <c r="J628" i="50"/>
  <c r="M613" i="50"/>
  <c r="M689" i="50"/>
  <c r="J613" i="50"/>
  <c r="J607" i="50"/>
  <c r="J223" i="50" s="1"/>
  <c r="L632" i="50"/>
  <c r="I607" i="50"/>
  <c r="I223" i="50" s="1"/>
  <c r="I547" i="50"/>
  <c r="I222" i="50" s="1"/>
  <c r="M571" i="50"/>
  <c r="I562" i="50"/>
  <c r="M705" i="50"/>
  <c r="E701" i="50"/>
  <c r="K701" i="50"/>
  <c r="J561" i="50"/>
  <c r="K626" i="50"/>
  <c r="J681" i="50"/>
  <c r="I559" i="50"/>
  <c r="J686" i="50"/>
  <c r="L670" i="50"/>
  <c r="L252" i="41"/>
  <c r="L353" i="50" s="1"/>
  <c r="I254" i="41"/>
  <c r="I355" i="50" s="1"/>
  <c r="J679" i="50"/>
  <c r="L571" i="50"/>
  <c r="J627" i="50"/>
  <c r="J568" i="50"/>
  <c r="R2" i="37"/>
  <c r="K705" i="50"/>
  <c r="I692" i="50"/>
  <c r="J221" i="50"/>
  <c r="L644" i="50"/>
  <c r="I636" i="50"/>
  <c r="M552" i="50"/>
  <c r="L552" i="50"/>
  <c r="J657" i="50"/>
  <c r="I671" i="50"/>
  <c r="L690" i="50"/>
  <c r="L679" i="50"/>
  <c r="M645" i="50"/>
  <c r="M632" i="50"/>
  <c r="M668" i="50"/>
  <c r="M255" i="41"/>
  <c r="M356" i="50" s="1"/>
  <c r="L682" i="50"/>
  <c r="I668" i="50"/>
  <c r="I221" i="50"/>
  <c r="L671" i="50"/>
  <c r="M566" i="50"/>
  <c r="I693" i="50"/>
  <c r="J572" i="50"/>
  <c r="M624" i="50"/>
  <c r="J584" i="50"/>
  <c r="L693" i="50"/>
  <c r="K581" i="50"/>
  <c r="L567" i="50"/>
  <c r="J573" i="50"/>
  <c r="M622" i="50"/>
  <c r="K221" i="50"/>
  <c r="M578" i="50"/>
  <c r="M253" i="41"/>
  <c r="M354" i="50" s="1"/>
  <c r="K632" i="50"/>
  <c r="I561" i="50"/>
  <c r="M687" i="50"/>
  <c r="M568" i="50"/>
  <c r="I564" i="50"/>
  <c r="L624" i="50"/>
  <c r="L548" i="50"/>
  <c r="J254" i="41"/>
  <c r="J355" i="50" s="1"/>
  <c r="M572" i="50"/>
  <c r="K624" i="50"/>
  <c r="M556" i="50"/>
  <c r="K685" i="50"/>
  <c r="K698" i="50"/>
  <c r="L688" i="50"/>
  <c r="L675" i="50"/>
  <c r="J299" i="41"/>
  <c r="J394" i="50" s="1"/>
  <c r="J558" i="50"/>
  <c r="J567" i="50"/>
  <c r="K689" i="50"/>
  <c r="K253" i="41"/>
  <c r="K354" i="50" s="1"/>
  <c r="K673" i="50"/>
  <c r="L566" i="50"/>
  <c r="K559" i="50"/>
  <c r="K618" i="50"/>
  <c r="J667" i="50"/>
  <c r="J224" i="50" s="1"/>
  <c r="I670" i="50"/>
  <c r="J571" i="50"/>
  <c r="L578" i="50"/>
  <c r="L704" i="50"/>
  <c r="I681" i="50"/>
  <c r="I675" i="50"/>
  <c r="L611" i="50"/>
  <c r="K613" i="50"/>
  <c r="M638" i="50"/>
  <c r="I581" i="50"/>
  <c r="J672" i="50"/>
  <c r="L705" i="50"/>
  <c r="L668" i="50"/>
  <c r="M702" i="50"/>
  <c r="L678" i="50"/>
  <c r="J688" i="50"/>
  <c r="M698" i="50"/>
  <c r="L572" i="50"/>
  <c r="L622" i="50"/>
  <c r="I611" i="50"/>
  <c r="Y260" i="37"/>
  <c r="K690" i="50"/>
  <c r="K691" i="50"/>
  <c r="L673" i="50"/>
  <c r="E582" i="50"/>
  <c r="I569" i="50"/>
  <c r="K254" i="41"/>
  <c r="K355" i="50" s="1"/>
  <c r="K564" i="50"/>
  <c r="M678" i="50"/>
  <c r="J253" i="41"/>
  <c r="J354" i="50" s="1"/>
  <c r="L621" i="50"/>
  <c r="M621" i="50"/>
  <c r="K633" i="50"/>
  <c r="K572" i="50"/>
  <c r="K585" i="50"/>
  <c r="L685" i="50"/>
  <c r="K252" i="41"/>
  <c r="K353" i="50" s="1"/>
  <c r="K548" i="50"/>
  <c r="I702" i="50"/>
  <c r="M248" i="41"/>
  <c r="M349" i="50" s="1"/>
  <c r="L689" i="50"/>
  <c r="K257" i="41"/>
  <c r="K358" i="50" s="1"/>
  <c r="L625" i="50"/>
  <c r="J610" i="50"/>
  <c r="L221" i="50"/>
  <c r="E581" i="50"/>
  <c r="E584" i="50"/>
  <c r="L701" i="50"/>
  <c r="M679" i="50"/>
  <c r="M684" i="50"/>
  <c r="J570" i="50"/>
  <c r="J611" i="50"/>
  <c r="L629" i="50"/>
  <c r="M548" i="50"/>
  <c r="J702" i="50"/>
  <c r="I537" i="50"/>
  <c r="K248" i="41"/>
  <c r="K349" i="50" s="1"/>
  <c r="I252" i="41"/>
  <c r="I353" i="50" s="1"/>
  <c r="J257" i="41"/>
  <c r="J358" i="50" s="1"/>
  <c r="J696" i="50"/>
  <c r="I556" i="50"/>
  <c r="J687" i="50"/>
  <c r="K679" i="50"/>
  <c r="J671" i="50"/>
  <c r="I633" i="50"/>
  <c r="I625" i="50"/>
  <c r="L657" i="50"/>
  <c r="I616" i="50"/>
  <c r="K569" i="50"/>
  <c r="K668" i="50"/>
  <c r="K676" i="50"/>
  <c r="J566" i="50"/>
  <c r="K582" i="50"/>
  <c r="I673" i="50"/>
  <c r="M252" i="41"/>
  <c r="M353" i="50" s="1"/>
  <c r="K684" i="50"/>
  <c r="K667" i="50"/>
  <c r="K224" i="50" s="1"/>
  <c r="J569" i="50"/>
  <c r="K644" i="50"/>
  <c r="M608" i="50"/>
  <c r="K555" i="50"/>
  <c r="L248" i="41"/>
  <c r="L349" i="50" s="1"/>
  <c r="K671" i="50"/>
  <c r="I253" i="41"/>
  <c r="I354" i="50" s="1"/>
  <c r="M581" i="50"/>
  <c r="J704" i="50"/>
  <c r="M685" i="50"/>
  <c r="L564" i="50"/>
  <c r="I704" i="50"/>
  <c r="L684" i="50"/>
  <c r="K303" i="41"/>
  <c r="K398" i="50" s="1"/>
  <c r="J621" i="50"/>
  <c r="K628" i="50"/>
  <c r="X42" i="37"/>
  <c r="N51" i="37"/>
  <c r="X51" i="37" s="1"/>
  <c r="W201" i="37"/>
  <c r="W129" i="37"/>
  <c r="W44" i="37"/>
  <c r="W151" i="37"/>
  <c r="W161" i="37"/>
  <c r="W200" i="37"/>
  <c r="W210" i="37"/>
  <c r="W52" i="37"/>
  <c r="W43" i="37"/>
  <c r="W141" i="37"/>
  <c r="W102" i="37"/>
  <c r="W169" i="37"/>
  <c r="W225" i="37"/>
  <c r="W42" i="37"/>
  <c r="W219" i="37"/>
  <c r="Y277" i="37"/>
  <c r="Y278" i="37" s="1"/>
  <c r="J556" i="50"/>
  <c r="M686" i="50"/>
  <c r="K681" i="50"/>
  <c r="L561" i="50"/>
  <c r="J551" i="50"/>
  <c r="L568" i="50"/>
  <c r="L257" i="41"/>
  <c r="L358" i="50" s="1"/>
  <c r="J692" i="50"/>
  <c r="L702" i="50"/>
  <c r="J581" i="50"/>
  <c r="J555" i="50"/>
  <c r="L692" i="50"/>
  <c r="E705" i="50"/>
  <c r="J691" i="50"/>
  <c r="L581" i="50"/>
  <c r="K631" i="50"/>
  <c r="J255" i="41"/>
  <c r="J356" i="50" s="1"/>
  <c r="L584" i="50"/>
  <c r="T43" i="37"/>
  <c r="T44" i="37"/>
  <c r="T201" i="37"/>
  <c r="T102" i="37"/>
  <c r="T200" i="37"/>
  <c r="T151" i="37"/>
  <c r="T52" i="37"/>
  <c r="T129" i="37"/>
  <c r="T141" i="37"/>
  <c r="T219" i="37"/>
  <c r="T161" i="37"/>
  <c r="T42" i="37"/>
  <c r="T225" i="37"/>
  <c r="T210" i="37"/>
  <c r="T169" i="37"/>
  <c r="I644" i="50"/>
  <c r="J629" i="50"/>
  <c r="H477" i="50"/>
  <c r="H472" i="50"/>
  <c r="J474" i="50"/>
  <c r="K474" i="50"/>
  <c r="M472" i="50"/>
  <c r="M473" i="50"/>
  <c r="E641" i="50"/>
  <c r="L696" i="50"/>
  <c r="I641" i="50"/>
  <c r="I608" i="50"/>
  <c r="L569" i="50"/>
  <c r="Y261" i="37"/>
  <c r="K629" i="50"/>
  <c r="I698" i="50"/>
  <c r="I629" i="50"/>
  <c r="K645" i="50"/>
  <c r="K299" i="41"/>
  <c r="K394" i="50" s="1"/>
  <c r="J256" i="41"/>
  <c r="J357" i="50" s="1"/>
  <c r="J612" i="50"/>
  <c r="L631" i="50"/>
  <c r="J552" i="50"/>
  <c r="I705" i="50"/>
  <c r="K571" i="50"/>
  <c r="L608" i="50"/>
  <c r="M667" i="50"/>
  <c r="M224" i="50" s="1"/>
  <c r="L636" i="50"/>
  <c r="L565" i="50"/>
  <c r="P294" i="41"/>
  <c r="E389" i="50"/>
  <c r="E323" i="41"/>
  <c r="E585" i="50"/>
  <c r="L610" i="50"/>
  <c r="M636" i="50"/>
  <c r="M690" i="50"/>
  <c r="J618" i="50"/>
  <c r="L641" i="50"/>
  <c r="L681" i="50"/>
  <c r="T440" i="37"/>
  <c r="M671" i="50"/>
  <c r="J252" i="41"/>
  <c r="J353" i="50" s="1"/>
  <c r="I685" i="50"/>
  <c r="I582" i="50"/>
  <c r="M257" i="41"/>
  <c r="M358" i="50" s="1"/>
  <c r="J689" i="50"/>
  <c r="I686" i="50"/>
  <c r="K688" i="50"/>
  <c r="J670" i="50"/>
  <c r="L551" i="50"/>
  <c r="I548" i="50"/>
  <c r="I667" i="50"/>
  <c r="I224" i="50" s="1"/>
  <c r="I255" i="41"/>
  <c r="I356" i="50" s="1"/>
  <c r="M688" i="50"/>
  <c r="E644" i="50"/>
  <c r="L626" i="50"/>
  <c r="L676" i="50"/>
  <c r="M619" i="50"/>
  <c r="L698" i="50"/>
  <c r="M555" i="50"/>
  <c r="AA208" i="37"/>
  <c r="AA210" i="37" s="1"/>
  <c r="AA212" i="37"/>
  <c r="AA216" i="37" s="1"/>
  <c r="AA217" i="37" s="1"/>
  <c r="AA219" i="37" s="1"/>
  <c r="I584" i="50"/>
  <c r="J548" i="50"/>
  <c r="K630" i="50"/>
  <c r="J559" i="50"/>
  <c r="L556" i="50"/>
  <c r="M564" i="50"/>
  <c r="L607" i="50"/>
  <c r="L223" i="50" s="1"/>
  <c r="J553" i="50"/>
  <c r="V621" i="37"/>
  <c r="L658" i="50" s="1"/>
  <c r="I679" i="50"/>
  <c r="K672" i="50"/>
  <c r="M670" i="50"/>
  <c r="K675" i="50"/>
  <c r="J673" i="50"/>
  <c r="I257" i="41"/>
  <c r="I358" i="50" s="1"/>
  <c r="M672" i="50"/>
  <c r="I626" i="50"/>
  <c r="J642" i="50"/>
  <c r="I676" i="50"/>
  <c r="I610" i="50"/>
  <c r="M559" i="50"/>
  <c r="K566" i="50"/>
  <c r="AA193" i="37"/>
  <c r="AA198" i="37" s="1"/>
  <c r="AA199" i="37" s="1"/>
  <c r="AA201" i="37" s="1"/>
  <c r="AA184" i="37"/>
  <c r="AA188" i="37" s="1"/>
  <c r="AA189" i="37" s="1"/>
  <c r="AA191" i="37" s="1"/>
  <c r="K567" i="50"/>
  <c r="M569" i="50"/>
  <c r="I576" i="50"/>
  <c r="M628" i="50"/>
  <c r="M301" i="41"/>
  <c r="M396" i="50" s="1"/>
  <c r="L301" i="41"/>
  <c r="L396" i="50" s="1"/>
  <c r="I551" i="50"/>
  <c r="M254" i="41"/>
  <c r="M355" i="50" s="1"/>
  <c r="I701" i="50"/>
  <c r="I687" i="50"/>
  <c r="J675" i="50"/>
  <c r="L253" i="41"/>
  <c r="L354" i="50" s="1"/>
  <c r="K702" i="50"/>
  <c r="K636" i="50"/>
  <c r="J616" i="50"/>
  <c r="K551" i="50"/>
  <c r="J625" i="50"/>
  <c r="U43" i="37"/>
  <c r="U201" i="37"/>
  <c r="U225" i="37"/>
  <c r="U44" i="37"/>
  <c r="U210" i="37"/>
  <c r="U102" i="37"/>
  <c r="U141" i="37"/>
  <c r="U169" i="37"/>
  <c r="U219" i="37"/>
  <c r="U42" i="37"/>
  <c r="U151" i="37"/>
  <c r="U52" i="37"/>
  <c r="U161" i="37"/>
  <c r="U200" i="37"/>
  <c r="U129" i="37"/>
  <c r="K622" i="50"/>
  <c r="M551" i="50"/>
  <c r="M629" i="50"/>
  <c r="M704" i="50"/>
  <c r="M573" i="50"/>
  <c r="M633" i="50"/>
  <c r="I303" i="41"/>
  <c r="I398" i="50" s="1"/>
  <c r="M584" i="50"/>
  <c r="T441" i="37"/>
  <c r="J598" i="50" s="1"/>
  <c r="V102" i="37"/>
  <c r="V42" i="37"/>
  <c r="V201" i="37"/>
  <c r="V44" i="37"/>
  <c r="V200" i="37"/>
  <c r="V52" i="37"/>
  <c r="V161" i="37"/>
  <c r="V169" i="37"/>
  <c r="V219" i="37"/>
  <c r="V225" i="37"/>
  <c r="V43" i="37"/>
  <c r="V210" i="37"/>
  <c r="V151" i="37"/>
  <c r="V129" i="37"/>
  <c r="V141" i="37"/>
  <c r="J248" i="41"/>
  <c r="J349" i="50" s="1"/>
  <c r="K302" i="41"/>
  <c r="K397" i="50" s="1"/>
  <c r="L303" i="41"/>
  <c r="L398" i="50" s="1"/>
  <c r="L299" i="41"/>
  <c r="L394" i="50" s="1"/>
  <c r="K300" i="41"/>
  <c r="K395" i="50" s="1"/>
  <c r="I558" i="50"/>
  <c r="M302" i="41"/>
  <c r="M397" i="50" s="1"/>
  <c r="M300" i="41"/>
  <c r="M395" i="50" s="1"/>
  <c r="K301" i="41"/>
  <c r="K396" i="50" s="1"/>
  <c r="J676" i="50"/>
  <c r="K255" i="41"/>
  <c r="K356" i="50" s="1"/>
  <c r="K556" i="50"/>
  <c r="M553" i="50"/>
  <c r="I628" i="50"/>
  <c r="I642" i="50"/>
  <c r="K615" i="50"/>
  <c r="I632" i="50"/>
  <c r="J632" i="50"/>
  <c r="M607" i="50"/>
  <c r="M223" i="50" s="1"/>
  <c r="M618" i="50"/>
  <c r="L619" i="50"/>
  <c r="I553" i="50"/>
  <c r="M547" i="50"/>
  <c r="M222" i="50" s="1"/>
  <c r="M567" i="50"/>
  <c r="M299" i="41"/>
  <c r="M394" i="50" s="1"/>
  <c r="M303" i="41"/>
  <c r="M398" i="50" s="1"/>
  <c r="J302" i="41"/>
  <c r="J397" i="50" s="1"/>
  <c r="I300" i="41"/>
  <c r="I395" i="50" s="1"/>
  <c r="I688" i="50"/>
  <c r="I691" i="50"/>
  <c r="K573" i="50"/>
  <c r="M612" i="50"/>
  <c r="I621" i="50"/>
  <c r="I619" i="50"/>
  <c r="J622" i="50"/>
  <c r="M582" i="50"/>
  <c r="I301" i="41"/>
  <c r="I396" i="50" s="1"/>
  <c r="I690" i="50"/>
  <c r="M561" i="50"/>
  <c r="L642" i="50"/>
  <c r="J615" i="50"/>
  <c r="M642" i="50"/>
  <c r="I645" i="50"/>
  <c r="J547" i="50"/>
  <c r="J222" i="50" s="1"/>
  <c r="J576" i="50"/>
  <c r="I302" i="41"/>
  <c r="I397" i="50" s="1"/>
  <c r="L300" i="41"/>
  <c r="L395" i="50" s="1"/>
  <c r="I678" i="50"/>
  <c r="L686" i="50"/>
  <c r="M681" i="50"/>
  <c r="L585" i="50"/>
  <c r="I566" i="50"/>
  <c r="M616" i="50"/>
  <c r="K625" i="50"/>
  <c r="E642" i="50"/>
  <c r="K619" i="50"/>
  <c r="I618" i="50"/>
  <c r="K641" i="50"/>
  <c r="K638" i="50"/>
  <c r="J644" i="50"/>
  <c r="K561" i="50"/>
  <c r="J564" i="50"/>
  <c r="K565" i="50"/>
  <c r="K670" i="50"/>
  <c r="L553" i="50"/>
  <c r="I638" i="50"/>
  <c r="K627" i="50"/>
  <c r="L616" i="50"/>
  <c r="L613" i="50"/>
  <c r="K568" i="50"/>
  <c r="K584" i="50"/>
  <c r="J303" i="41"/>
  <c r="J398" i="50" s="1"/>
  <c r="J300" i="41"/>
  <c r="J395" i="50" s="1"/>
  <c r="L691" i="50"/>
  <c r="L547" i="50"/>
  <c r="L222" i="50" s="1"/>
  <c r="M626" i="50"/>
  <c r="M641" i="50"/>
  <c r="J641" i="50"/>
  <c r="I624" i="50"/>
  <c r="L555" i="50"/>
  <c r="M558" i="50"/>
  <c r="J301" i="41"/>
  <c r="J396" i="50" s="1"/>
  <c r="I299" i="41"/>
  <c r="I394" i="50" s="1"/>
  <c r="L302" i="41"/>
  <c r="L397" i="50" s="1"/>
  <c r="L627" i="50"/>
  <c r="L576" i="50"/>
  <c r="K611" i="50"/>
  <c r="J645" i="50"/>
  <c r="J619" i="50"/>
  <c r="I1341" i="50"/>
  <c r="I1384" i="50" s="1"/>
  <c r="L1341" i="50"/>
  <c r="L1384" i="50" s="1"/>
  <c r="K1341" i="50"/>
  <c r="K1384" i="50" s="1"/>
  <c r="M1341" i="50"/>
  <c r="M1384" i="50" s="1"/>
  <c r="J1341" i="50"/>
  <c r="J1384" i="50" s="1"/>
  <c r="K250" i="41"/>
  <c r="K351" i="50" s="1"/>
  <c r="L250" i="41"/>
  <c r="L351" i="50" s="1"/>
  <c r="M250" i="41"/>
  <c r="M351" i="50" s="1"/>
  <c r="I250" i="41"/>
  <c r="I351" i="50" s="1"/>
  <c r="J250" i="41"/>
  <c r="J351" i="50" s="1"/>
  <c r="W452" i="37"/>
  <c r="W453" i="37"/>
  <c r="W451" i="37"/>
  <c r="W493" i="37"/>
  <c r="W543" i="37"/>
  <c r="W571" i="37"/>
  <c r="W522" i="37"/>
  <c r="W591" i="37"/>
  <c r="W587" i="37"/>
  <c r="W579" i="37"/>
  <c r="W510" i="37"/>
  <c r="W570" i="37"/>
  <c r="W458" i="37"/>
  <c r="W441" i="37"/>
  <c r="M598" i="50" s="1"/>
  <c r="W535" i="37"/>
  <c r="W440" i="37"/>
  <c r="W529" i="37"/>
  <c r="I1200" i="50"/>
  <c r="N1200" i="50" s="1"/>
  <c r="F1203" i="50" s="1"/>
  <c r="R333" i="42"/>
  <c r="M28" i="37"/>
  <c r="M1889" i="37" s="1" a="1"/>
  <c r="M1889" i="37" s="1"/>
  <c r="M1890" i="37" s="1"/>
  <c r="M148" i="41" s="1"/>
  <c r="W27" i="37"/>
  <c r="X631" i="37"/>
  <c r="N637" i="37"/>
  <c r="X637" i="37" s="1"/>
  <c r="I1339" i="50"/>
  <c r="I1382" i="50" s="1"/>
  <c r="L1339" i="50"/>
  <c r="L1382" i="50" s="1"/>
  <c r="M1339" i="50"/>
  <c r="M1382" i="50" s="1"/>
  <c r="K1339" i="50"/>
  <c r="K1382" i="50" s="1"/>
  <c r="J1339" i="50"/>
  <c r="J1382" i="50" s="1"/>
  <c r="L1340" i="50"/>
  <c r="L1383" i="50" s="1"/>
  <c r="M1340" i="50"/>
  <c r="M1383" i="50" s="1"/>
  <c r="K1340" i="50"/>
  <c r="K1383" i="50" s="1"/>
  <c r="J1340" i="50"/>
  <c r="J1383" i="50" s="1"/>
  <c r="I1340" i="50"/>
  <c r="I1383" i="50" s="1"/>
  <c r="E391" i="50"/>
  <c r="E325" i="41"/>
  <c r="P296" i="41"/>
  <c r="V510" i="37"/>
  <c r="V529" i="37"/>
  <c r="V458" i="37"/>
  <c r="V535" i="37"/>
  <c r="V579" i="37"/>
  <c r="V452" i="37"/>
  <c r="V440" i="37"/>
  <c r="V522" i="37"/>
  <c r="V591" i="37"/>
  <c r="V570" i="37"/>
  <c r="V543" i="37"/>
  <c r="V453" i="37"/>
  <c r="V493" i="37"/>
  <c r="V451" i="37"/>
  <c r="V441" i="37"/>
  <c r="L598" i="50" s="1"/>
  <c r="V587" i="37"/>
  <c r="V571" i="37"/>
  <c r="N457" i="37"/>
  <c r="X457" i="37" s="1"/>
  <c r="X451" i="37"/>
  <c r="Y637" i="37"/>
  <c r="Y638" i="37" s="1"/>
  <c r="Y628" i="37"/>
  <c r="Y629" i="37" s="1"/>
  <c r="Y630" i="37" s="1"/>
  <c r="Y631" i="37" s="1"/>
  <c r="Y632" i="37" s="1"/>
  <c r="Y633" i="37" s="1"/>
  <c r="Y620" i="37"/>
  <c r="Y621" i="37"/>
  <c r="K28" i="37"/>
  <c r="K1889" i="37" s="1" a="1"/>
  <c r="K1889" i="37" s="1"/>
  <c r="K1890" i="37" s="1"/>
  <c r="K148" i="41" s="1"/>
  <c r="U27" i="37"/>
  <c r="S621" i="37"/>
  <c r="I1120" i="50"/>
  <c r="N1120" i="50" s="1"/>
  <c r="F1123" i="50" s="1"/>
  <c r="R151" i="42"/>
  <c r="W723" i="37"/>
  <c r="J249" i="41"/>
  <c r="I249" i="41"/>
  <c r="L249" i="41"/>
  <c r="M249" i="41"/>
  <c r="K249" i="41"/>
  <c r="Y457" i="37"/>
  <c r="Y458" i="37" s="1"/>
  <c r="Y441" i="37"/>
  <c r="Y448" i="37"/>
  <c r="Y449" i="37" s="1"/>
  <c r="Y450" i="37" s="1"/>
  <c r="Y451" i="37" s="1"/>
  <c r="Y452" i="37" s="1"/>
  <c r="Y453" i="37" s="1"/>
  <c r="U451" i="37"/>
  <c r="U587" i="37"/>
  <c r="U591" i="37"/>
  <c r="U441" i="37"/>
  <c r="U522" i="37"/>
  <c r="U535" i="37"/>
  <c r="U579" i="37"/>
  <c r="U529" i="37"/>
  <c r="U510" i="37"/>
  <c r="U452" i="37"/>
  <c r="U453" i="37"/>
  <c r="U571" i="37"/>
  <c r="U440" i="37"/>
  <c r="U458" i="37"/>
  <c r="U493" i="37"/>
  <c r="U570" i="37"/>
  <c r="U543" i="37"/>
  <c r="I1160" i="50"/>
  <c r="N1160" i="50" s="1"/>
  <c r="F1163" i="50" s="1"/>
  <c r="R242" i="42"/>
  <c r="T723" i="37"/>
  <c r="L28" i="37"/>
  <c r="L1894" i="37" s="1" a="1"/>
  <c r="L1894" i="37" s="1"/>
  <c r="L1895" i="37" s="1"/>
  <c r="L367" i="41" s="1"/>
  <c r="L368" i="41" s="1"/>
  <c r="V27" i="37"/>
  <c r="S723" i="37"/>
  <c r="E324" i="41"/>
  <c r="P295" i="41"/>
  <c r="E390" i="50"/>
  <c r="N277" i="37"/>
  <c r="X277" i="37" s="1"/>
  <c r="X271" i="37"/>
  <c r="T529" i="37"/>
  <c r="T571" i="37"/>
  <c r="T493" i="37"/>
  <c r="T543" i="37"/>
  <c r="T452" i="37"/>
  <c r="T587" i="37"/>
  <c r="T451" i="37"/>
  <c r="T591" i="37"/>
  <c r="T458" i="37"/>
  <c r="T453" i="37"/>
  <c r="T570" i="37"/>
  <c r="T510" i="37"/>
  <c r="T579" i="37"/>
  <c r="T535" i="37"/>
  <c r="T522" i="37"/>
  <c r="M592" i="50"/>
  <c r="H592" i="50"/>
  <c r="J594" i="50"/>
  <c r="M593" i="50"/>
  <c r="K594" i="50"/>
  <c r="H597" i="50"/>
  <c r="AA757" i="37"/>
  <c r="AA759" i="37" s="1"/>
  <c r="AA761" i="37"/>
  <c r="AA764" i="37" s="1"/>
  <c r="AA765" i="37" s="1"/>
  <c r="AA767" i="37" s="1"/>
  <c r="AA737" i="37"/>
  <c r="AA740" i="37" s="1"/>
  <c r="AA741" i="37" s="1"/>
  <c r="AA743" i="37" s="1"/>
  <c r="AA745" i="37"/>
  <c r="AA748" i="37" s="1"/>
  <c r="AA749" i="37" s="1"/>
  <c r="AA751" i="37" s="1"/>
  <c r="I652" i="50"/>
  <c r="I654" i="50" s="1"/>
  <c r="H657" i="50"/>
  <c r="H652" i="50"/>
  <c r="M653" i="50"/>
  <c r="J654" i="50"/>
  <c r="K654" i="50"/>
  <c r="W271" i="37"/>
  <c r="W399" i="37"/>
  <c r="W260" i="37"/>
  <c r="W330" i="37"/>
  <c r="W272" i="37"/>
  <c r="W407" i="37"/>
  <c r="W349" i="37"/>
  <c r="W411" i="37"/>
  <c r="W273" i="37"/>
  <c r="W363" i="37"/>
  <c r="W355" i="37"/>
  <c r="W342" i="37"/>
  <c r="W278" i="37"/>
  <c r="W391" i="37"/>
  <c r="W390" i="37"/>
  <c r="W313" i="37"/>
  <c r="AA401" i="37"/>
  <c r="AA404" i="37" s="1"/>
  <c r="AA405" i="37" s="1"/>
  <c r="AA407" i="37" s="1"/>
  <c r="AA397" i="37"/>
  <c r="AA399" i="37" s="1"/>
  <c r="E392" i="50"/>
  <c r="P297" i="41"/>
  <c r="E326" i="41"/>
  <c r="V342" i="37"/>
  <c r="V390" i="37"/>
  <c r="V272" i="37"/>
  <c r="V411" i="37"/>
  <c r="V278" i="37"/>
  <c r="V407" i="37"/>
  <c r="V330" i="37"/>
  <c r="V391" i="37"/>
  <c r="V261" i="37"/>
  <c r="L538" i="50" s="1"/>
  <c r="V399" i="37"/>
  <c r="V273" i="37"/>
  <c r="V349" i="37"/>
  <c r="V260" i="37"/>
  <c r="V355" i="37"/>
  <c r="V363" i="37"/>
  <c r="V313" i="37"/>
  <c r="V271" i="37"/>
  <c r="AA577" i="37"/>
  <c r="AA579" i="37" s="1"/>
  <c r="AA581" i="37"/>
  <c r="AA584" i="37" s="1"/>
  <c r="AA585" i="37" s="1"/>
  <c r="AA587" i="37" s="1"/>
  <c r="U407" i="37"/>
  <c r="U313" i="37"/>
  <c r="U330" i="37"/>
  <c r="U261" i="37"/>
  <c r="U273" i="37"/>
  <c r="U363" i="37"/>
  <c r="U342" i="37"/>
  <c r="U260" i="37"/>
  <c r="U272" i="37"/>
  <c r="U349" i="37"/>
  <c r="U390" i="37"/>
  <c r="U355" i="37"/>
  <c r="U411" i="37"/>
  <c r="U391" i="37"/>
  <c r="U278" i="37"/>
  <c r="U399" i="37"/>
  <c r="U271" i="37"/>
  <c r="I1336" i="50"/>
  <c r="I1379" i="50" s="1"/>
  <c r="L1336" i="50"/>
  <c r="L1379" i="50" s="1"/>
  <c r="M1336" i="50"/>
  <c r="M1379" i="50" s="1"/>
  <c r="K1336" i="50"/>
  <c r="K1379" i="50" s="1"/>
  <c r="J1336" i="50"/>
  <c r="J1379" i="50" s="1"/>
  <c r="K1337" i="50"/>
  <c r="K1380" i="50" s="1"/>
  <c r="I1337" i="50"/>
  <c r="I1380" i="50" s="1"/>
  <c r="M1337" i="50"/>
  <c r="M1380" i="50" s="1"/>
  <c r="L1337" i="50"/>
  <c r="L1380" i="50" s="1"/>
  <c r="J1337" i="50"/>
  <c r="J1380" i="50" s="1"/>
  <c r="AA385" i="37"/>
  <c r="AA388" i="37" s="1"/>
  <c r="AA389" i="37" s="1"/>
  <c r="AA391" i="37" s="1"/>
  <c r="AA377" i="37"/>
  <c r="AA380" i="37" s="1"/>
  <c r="AA381" i="37" s="1"/>
  <c r="AA383" i="37" s="1"/>
  <c r="L251" i="41"/>
  <c r="L352" i="50" s="1"/>
  <c r="J251" i="41"/>
  <c r="J352" i="50" s="1"/>
  <c r="I251" i="41"/>
  <c r="I352" i="50" s="1"/>
  <c r="K251" i="41"/>
  <c r="K352" i="50" s="1"/>
  <c r="M251" i="41"/>
  <c r="M352" i="50" s="1"/>
  <c r="U621" i="37"/>
  <c r="K657" i="50"/>
  <c r="I1230" i="50"/>
  <c r="N1230" i="50" s="1"/>
  <c r="F1233" i="50" s="1"/>
  <c r="R406" i="42"/>
  <c r="I1080" i="50"/>
  <c r="N1080" i="50" s="1"/>
  <c r="F1083" i="50" s="1"/>
  <c r="M1083" i="50" s="1"/>
  <c r="T1071" i="50" s="1"/>
  <c r="T1082" i="50" s="1"/>
  <c r="Q1335" i="50" s="1"/>
  <c r="I1335" i="50" s="1"/>
  <c r="I1378" i="50" s="1"/>
  <c r="R24" i="42"/>
  <c r="U723" i="37"/>
  <c r="AA557" i="37"/>
  <c r="AA560" i="37" s="1"/>
  <c r="AA561" i="37" s="1"/>
  <c r="AA563" i="37" s="1"/>
  <c r="AA565" i="37"/>
  <c r="AA568" i="37" s="1"/>
  <c r="AA569" i="37" s="1"/>
  <c r="AA571" i="37" s="1"/>
  <c r="I28" i="37"/>
  <c r="I1894" i="37" s="1" a="1"/>
  <c r="I1894" i="37" s="1"/>
  <c r="I1895" i="37" s="1"/>
  <c r="I367" i="41" s="1"/>
  <c r="I368" i="41" s="1"/>
  <c r="S27" i="37"/>
  <c r="W261" i="37"/>
  <c r="M538" i="50" s="1"/>
  <c r="M537" i="50"/>
  <c r="T272" i="37"/>
  <c r="T391" i="37"/>
  <c r="T355" i="37"/>
  <c r="T342" i="37"/>
  <c r="T313" i="37"/>
  <c r="T411" i="37"/>
  <c r="T330" i="37"/>
  <c r="T399" i="37"/>
  <c r="T261" i="37"/>
  <c r="J538" i="50" s="1"/>
  <c r="T278" i="37"/>
  <c r="T363" i="37"/>
  <c r="T407" i="37"/>
  <c r="T390" i="37"/>
  <c r="T271" i="37"/>
  <c r="T273" i="37"/>
  <c r="T349" i="37"/>
  <c r="L1338" i="50"/>
  <c r="L1381" i="50" s="1"/>
  <c r="I1338" i="50"/>
  <c r="I1381" i="50" s="1"/>
  <c r="K1338" i="50"/>
  <c r="K1381" i="50" s="1"/>
  <c r="M1338" i="50"/>
  <c r="M1381" i="50" s="1"/>
  <c r="J1338" i="50"/>
  <c r="J1381" i="50" s="1"/>
  <c r="S535" i="37"/>
  <c r="S458" i="37"/>
  <c r="S591" i="37"/>
  <c r="S451" i="37"/>
  <c r="S452" i="37"/>
  <c r="S453" i="37"/>
  <c r="S493" i="37"/>
  <c r="S441" i="37"/>
  <c r="S529" i="37"/>
  <c r="S587" i="37"/>
  <c r="S510" i="37"/>
  <c r="S579" i="37"/>
  <c r="S440" i="37"/>
  <c r="S522" i="37"/>
  <c r="S571" i="37"/>
  <c r="S543" i="37"/>
  <c r="S570" i="37"/>
  <c r="I532" i="50"/>
  <c r="I534" i="50" s="1"/>
  <c r="H537" i="50"/>
  <c r="J534" i="50"/>
  <c r="M533" i="50"/>
  <c r="K534" i="50"/>
  <c r="H532" i="50"/>
  <c r="M532" i="50"/>
  <c r="T27" i="37"/>
  <c r="J28" i="37"/>
  <c r="T260" i="37"/>
  <c r="J597" i="50"/>
  <c r="D213" i="34"/>
  <c r="O213" i="34"/>
  <c r="R213" i="34" s="1"/>
  <c r="M652" i="50" s="1"/>
  <c r="C214" i="34"/>
  <c r="M1335" i="50" l="1"/>
  <c r="M1378" i="50" s="1"/>
  <c r="L1335" i="50"/>
  <c r="L1378" i="50" s="1"/>
  <c r="J1335" i="50"/>
  <c r="J1378" i="50" s="1"/>
  <c r="K1335" i="50"/>
  <c r="K1378" i="50" s="1"/>
  <c r="Q800" i="37"/>
  <c r="R751" i="37"/>
  <c r="H654" i="50" s="1"/>
  <c r="Q639" i="37"/>
  <c r="G654" i="50" s="1"/>
  <c r="Q633" i="37"/>
  <c r="R620" i="37"/>
  <c r="L1889" i="37" a="1"/>
  <c r="L1889" i="37" s="1"/>
  <c r="L1890" i="37" s="1"/>
  <c r="L148" i="41" s="1"/>
  <c r="L158" i="41" s="1"/>
  <c r="L293" i="50" s="1"/>
  <c r="M298" i="41"/>
  <c r="M393" i="50" s="1"/>
  <c r="R201" i="37"/>
  <c r="H474" i="50" s="1"/>
  <c r="M1894" i="37" a="1"/>
  <c r="M1894" i="37" s="1"/>
  <c r="M1895" i="37" s="1"/>
  <c r="M367" i="41" s="1"/>
  <c r="M368" i="41" s="1"/>
  <c r="Q801" i="37"/>
  <c r="R800" i="37"/>
  <c r="I298" i="41"/>
  <c r="I393" i="50" s="1"/>
  <c r="I1889" i="37" a="1"/>
  <c r="I1889" i="37" s="1"/>
  <c r="I1890" i="37" s="1"/>
  <c r="I148" i="41" s="1"/>
  <c r="I287" i="50" s="1"/>
  <c r="L298" i="41"/>
  <c r="L393" i="50" s="1"/>
  <c r="J298" i="41"/>
  <c r="J393" i="50" s="1"/>
  <c r="Q813" i="37"/>
  <c r="R750" i="37"/>
  <c r="R931" i="37"/>
  <c r="H714" i="50" s="1"/>
  <c r="Q273" i="37"/>
  <c r="Q819" i="37"/>
  <c r="G714" i="50" s="1"/>
  <c r="R930" i="37"/>
  <c r="R801" i="37"/>
  <c r="E419" i="50"/>
  <c r="P327" i="41"/>
  <c r="K1263" i="50"/>
  <c r="S1262" i="50" s="1"/>
  <c r="I1263" i="50"/>
  <c r="R1262" i="50" s="1"/>
  <c r="J718" i="50"/>
  <c r="L718" i="50"/>
  <c r="Q459" i="37"/>
  <c r="G594" i="50" s="1"/>
  <c r="Q53" i="37"/>
  <c r="G474" i="50" s="1"/>
  <c r="R200" i="37"/>
  <c r="Q44" i="37"/>
  <c r="I474" i="50" s="1"/>
  <c r="R571" i="37"/>
  <c r="H594" i="50" s="1"/>
  <c r="Q27" i="37"/>
  <c r="Q279" i="37"/>
  <c r="G534" i="50" s="1"/>
  <c r="R260" i="37"/>
  <c r="P323" i="41"/>
  <c r="E415" i="50"/>
  <c r="S472" i="50"/>
  <c r="S469" i="50"/>
  <c r="R1325" i="50" s="1"/>
  <c r="R391" i="37"/>
  <c r="H534" i="50" s="1"/>
  <c r="G481" i="50"/>
  <c r="N473" i="50"/>
  <c r="N474" i="50"/>
  <c r="N472" i="50"/>
  <c r="H478" i="50"/>
  <c r="R390" i="37"/>
  <c r="M294" i="41"/>
  <c r="M389" i="50" s="1"/>
  <c r="J294" i="41"/>
  <c r="J389" i="50" s="1"/>
  <c r="K294" i="41"/>
  <c r="K389" i="50" s="1"/>
  <c r="L294" i="41"/>
  <c r="L389" i="50" s="1"/>
  <c r="I294" i="41"/>
  <c r="I389" i="50" s="1"/>
  <c r="Q453" i="37"/>
  <c r="I594" i="50" s="1"/>
  <c r="R261" i="37"/>
  <c r="K155" i="41"/>
  <c r="K290" i="50" s="1"/>
  <c r="K287" i="50"/>
  <c r="K411" i="41"/>
  <c r="K414" i="41" s="1"/>
  <c r="K421" i="41" s="1"/>
  <c r="K158" i="41"/>
  <c r="K293" i="50" s="1"/>
  <c r="I1123" i="50"/>
  <c r="R1122" i="50" s="1"/>
  <c r="K1123" i="50"/>
  <c r="S1122" i="50" s="1"/>
  <c r="K1233" i="50"/>
  <c r="S1232" i="50" s="1"/>
  <c r="I1233" i="50"/>
  <c r="R1232" i="50" s="1"/>
  <c r="S652" i="50"/>
  <c r="S649" i="50"/>
  <c r="R1328" i="50" s="1"/>
  <c r="G1905" i="37"/>
  <c r="G1902" i="37"/>
  <c r="G1907" i="37"/>
  <c r="G1899" i="37"/>
  <c r="G1904" i="37"/>
  <c r="G1898" i="37"/>
  <c r="G1900" i="37"/>
  <c r="G1903" i="37"/>
  <c r="G1906" i="37"/>
  <c r="G1901" i="37"/>
  <c r="E417" i="50"/>
  <c r="P325" i="41"/>
  <c r="N593" i="50"/>
  <c r="H598" i="50"/>
  <c r="N594" i="50"/>
  <c r="N592" i="50"/>
  <c r="G601" i="50"/>
  <c r="Q621" i="37"/>
  <c r="K658" i="50"/>
  <c r="M297" i="41"/>
  <c r="M392" i="50" s="1"/>
  <c r="L297" i="41"/>
  <c r="L392" i="50" s="1"/>
  <c r="I297" i="41"/>
  <c r="I392" i="50" s="1"/>
  <c r="K297" i="41"/>
  <c r="K392" i="50" s="1"/>
  <c r="J297" i="41"/>
  <c r="J392" i="50" s="1"/>
  <c r="V28" i="37"/>
  <c r="L478" i="50" s="1"/>
  <c r="L477" i="50"/>
  <c r="Q440" i="37"/>
  <c r="K350" i="50"/>
  <c r="K258" i="41"/>
  <c r="W28" i="37"/>
  <c r="M478" i="50" s="1"/>
  <c r="M477" i="50"/>
  <c r="R440" i="37"/>
  <c r="S28" i="37"/>
  <c r="I477" i="50"/>
  <c r="Q261" i="37"/>
  <c r="K538" i="50"/>
  <c r="N538" i="50" s="1"/>
  <c r="F541" i="50" s="1"/>
  <c r="P326" i="41"/>
  <c r="E418" i="50"/>
  <c r="N654" i="50"/>
  <c r="G661" i="50"/>
  <c r="N652" i="50"/>
  <c r="N653" i="50"/>
  <c r="H658" i="50"/>
  <c r="N532" i="50"/>
  <c r="N533" i="50"/>
  <c r="H538" i="50"/>
  <c r="N534" i="50"/>
  <c r="G541" i="50"/>
  <c r="L295" i="41"/>
  <c r="I295" i="41"/>
  <c r="K295" i="41"/>
  <c r="J295" i="41"/>
  <c r="M295" i="41"/>
  <c r="Q441" i="37"/>
  <c r="K598" i="50"/>
  <c r="M350" i="50"/>
  <c r="M258" i="41"/>
  <c r="R621" i="37"/>
  <c r="I658" i="50"/>
  <c r="N658" i="50" s="1"/>
  <c r="F661" i="50" s="1"/>
  <c r="K1894" i="37" a="1"/>
  <c r="K1894" i="37" s="1"/>
  <c r="K1895" i="37" s="1"/>
  <c r="K367" i="41" s="1"/>
  <c r="K368" i="41" s="1"/>
  <c r="K1203" i="50"/>
  <c r="S1202" i="50" s="1"/>
  <c r="I1203" i="50"/>
  <c r="R1202" i="50" s="1"/>
  <c r="U28" i="37"/>
  <c r="K477" i="50"/>
  <c r="K296" i="41"/>
  <c r="K391" i="50" s="1"/>
  <c r="I296" i="41"/>
  <c r="I391" i="50" s="1"/>
  <c r="L296" i="41"/>
  <c r="L391" i="50" s="1"/>
  <c r="J296" i="41"/>
  <c r="J391" i="50" s="1"/>
  <c r="M296" i="41"/>
  <c r="M391" i="50" s="1"/>
  <c r="J477" i="50"/>
  <c r="J1894" i="37" a="1"/>
  <c r="J1894" i="37" s="1"/>
  <c r="J1895" i="37" s="1"/>
  <c r="J367" i="41" s="1"/>
  <c r="J368" i="41" s="1"/>
  <c r="T28" i="37"/>
  <c r="J478" i="50" s="1"/>
  <c r="J1889" i="37" a="1"/>
  <c r="J1889" i="37" s="1"/>
  <c r="J1890" i="37" s="1"/>
  <c r="J148" i="41" s="1"/>
  <c r="P324" i="41"/>
  <c r="E416" i="50"/>
  <c r="L350" i="50"/>
  <c r="L258" i="41"/>
  <c r="R570" i="37"/>
  <c r="Q260" i="37"/>
  <c r="S592" i="50"/>
  <c r="S589" i="50"/>
  <c r="R1327" i="50" s="1"/>
  <c r="I1163" i="50"/>
  <c r="R1162" i="50" s="1"/>
  <c r="K1163" i="50"/>
  <c r="S1162" i="50" s="1"/>
  <c r="I350" i="50"/>
  <c r="I258" i="41"/>
  <c r="I598" i="50"/>
  <c r="R441" i="37"/>
  <c r="R27" i="37"/>
  <c r="I1083" i="50"/>
  <c r="R1082" i="50" s="1"/>
  <c r="K1083" i="50"/>
  <c r="S1082" i="50" s="1"/>
  <c r="J350" i="50"/>
  <c r="J258" i="41"/>
  <c r="S529" i="50"/>
  <c r="R1326" i="50" s="1"/>
  <c r="S532" i="50"/>
  <c r="M158" i="41"/>
  <c r="M293" i="50" s="1"/>
  <c r="M411" i="41"/>
  <c r="M414" i="41" s="1"/>
  <c r="M421" i="41" s="1"/>
  <c r="M287" i="50"/>
  <c r="M155" i="41"/>
  <c r="M290" i="50" s="1"/>
  <c r="O214" i="34"/>
  <c r="R214" i="34" s="1"/>
  <c r="C215" i="34"/>
  <c r="D214" i="34"/>
  <c r="I661" i="50" l="1"/>
  <c r="R660" i="50" s="1"/>
  <c r="L287" i="50"/>
  <c r="L411" i="41"/>
  <c r="L414" i="41" s="1"/>
  <c r="L421" i="41" s="1"/>
  <c r="L155" i="41"/>
  <c r="L290" i="50" s="1"/>
  <c r="I158" i="41"/>
  <c r="I293" i="50" s="1"/>
  <c r="I411" i="41"/>
  <c r="I414" i="41" s="1"/>
  <c r="I421" i="41" s="1"/>
  <c r="N598" i="50"/>
  <c r="F601" i="50" s="1"/>
  <c r="K601" i="50" s="1"/>
  <c r="S600" i="50" s="1"/>
  <c r="I155" i="41"/>
  <c r="I290" i="50" s="1"/>
  <c r="N718" i="50"/>
  <c r="F721" i="50" s="1"/>
  <c r="K721" i="50" s="1"/>
  <c r="S720" i="50" s="1"/>
  <c r="J327" i="41"/>
  <c r="J419" i="50" s="1"/>
  <c r="I327" i="41"/>
  <c r="I419" i="50" s="1"/>
  <c r="K327" i="41"/>
  <c r="K419" i="50" s="1"/>
  <c r="M327" i="41"/>
  <c r="M419" i="50" s="1"/>
  <c r="L327" i="41"/>
  <c r="L419" i="50" s="1"/>
  <c r="L323" i="41"/>
  <c r="L415" i="50" s="1"/>
  <c r="I323" i="41"/>
  <c r="I415" i="50" s="1"/>
  <c r="K323" i="41"/>
  <c r="K415" i="50" s="1"/>
  <c r="J323" i="41"/>
  <c r="J415" i="50" s="1"/>
  <c r="M323" i="41"/>
  <c r="M415" i="50" s="1"/>
  <c r="I541" i="50"/>
  <c r="R540" i="50" s="1"/>
  <c r="K541" i="50"/>
  <c r="S540" i="50" s="1"/>
  <c r="I326" i="41"/>
  <c r="I418" i="50" s="1"/>
  <c r="J326" i="41"/>
  <c r="J418" i="50" s="1"/>
  <c r="L326" i="41"/>
  <c r="L418" i="50" s="1"/>
  <c r="K326" i="41"/>
  <c r="K418" i="50" s="1"/>
  <c r="M326" i="41"/>
  <c r="M418" i="50" s="1"/>
  <c r="K390" i="50"/>
  <c r="K304" i="41"/>
  <c r="K399" i="50" s="1"/>
  <c r="M269" i="41"/>
  <c r="M359" i="50"/>
  <c r="L390" i="50"/>
  <c r="L304" i="41"/>
  <c r="L399" i="50" s="1"/>
  <c r="I478" i="50"/>
  <c r="R28" i="37"/>
  <c r="K661" i="50"/>
  <c r="S660" i="50" s="1"/>
  <c r="M390" i="50"/>
  <c r="M304" i="41"/>
  <c r="M399" i="50" s="1"/>
  <c r="J287" i="50"/>
  <c r="J158" i="41"/>
  <c r="J293" i="50" s="1"/>
  <c r="J155" i="41"/>
  <c r="J290" i="50" s="1"/>
  <c r="J411" i="41"/>
  <c r="J414" i="41" s="1"/>
  <c r="J421" i="41" s="1"/>
  <c r="J269" i="41"/>
  <c r="J359" i="50"/>
  <c r="I269" i="41"/>
  <c r="I359" i="50"/>
  <c r="K478" i="50"/>
  <c r="Q28" i="37"/>
  <c r="L755" i="50" s="1"/>
  <c r="G1908" i="37"/>
  <c r="J390" i="50"/>
  <c r="J304" i="41"/>
  <c r="J399" i="50" s="1"/>
  <c r="K359" i="50"/>
  <c r="K269" i="41"/>
  <c r="L359" i="50"/>
  <c r="L269" i="41"/>
  <c r="I325" i="41"/>
  <c r="I417" i="50" s="1"/>
  <c r="K325" i="41"/>
  <c r="K417" i="50" s="1"/>
  <c r="J325" i="41"/>
  <c r="J417" i="50" s="1"/>
  <c r="L325" i="41"/>
  <c r="L417" i="50" s="1"/>
  <c r="M325" i="41"/>
  <c r="M417" i="50" s="1"/>
  <c r="L324" i="41"/>
  <c r="K324" i="41"/>
  <c r="I324" i="41"/>
  <c r="J324" i="41"/>
  <c r="M324" i="41"/>
  <c r="I390" i="50"/>
  <c r="I304" i="41"/>
  <c r="I399" i="50" s="1"/>
  <c r="O215" i="34"/>
  <c r="R215" i="34" s="1"/>
  <c r="D215" i="34"/>
  <c r="C216" i="34"/>
  <c r="I601" i="50" l="1"/>
  <c r="R600" i="50" s="1"/>
  <c r="N478" i="50"/>
  <c r="F481" i="50" s="1"/>
  <c r="I721" i="50"/>
  <c r="R720" i="50" s="1"/>
  <c r="K755" i="50"/>
  <c r="I755" i="50"/>
  <c r="J755" i="50"/>
  <c r="M755" i="50"/>
  <c r="J416" i="50"/>
  <c r="J334" i="41"/>
  <c r="J426" i="50" s="1"/>
  <c r="L635" i="50"/>
  <c r="K575" i="50"/>
  <c r="J635" i="50"/>
  <c r="L515" i="50"/>
  <c r="M635" i="50"/>
  <c r="M695" i="50"/>
  <c r="J695" i="50"/>
  <c r="I695" i="50"/>
  <c r="M575" i="50"/>
  <c r="J575" i="50"/>
  <c r="L695" i="50"/>
  <c r="J515" i="50"/>
  <c r="K635" i="50"/>
  <c r="L575" i="50"/>
  <c r="I635" i="50"/>
  <c r="I575" i="50"/>
  <c r="I515" i="50"/>
  <c r="M515" i="50"/>
  <c r="K515" i="50"/>
  <c r="K695" i="50"/>
  <c r="I416" i="50"/>
  <c r="I334" i="41"/>
  <c r="I426" i="50" s="1"/>
  <c r="L368" i="50"/>
  <c r="L289" i="41"/>
  <c r="M416" i="50"/>
  <c r="M334" i="41"/>
  <c r="M426" i="50" s="1"/>
  <c r="L416" i="50"/>
  <c r="L334" i="41"/>
  <c r="L426" i="50" s="1"/>
  <c r="K368" i="50"/>
  <c r="K289" i="41"/>
  <c r="I289" i="41"/>
  <c r="I368" i="50"/>
  <c r="K416" i="50"/>
  <c r="K334" i="41"/>
  <c r="K426" i="50" s="1"/>
  <c r="J289" i="41"/>
  <c r="J368" i="50"/>
  <c r="M289" i="41"/>
  <c r="M368" i="50"/>
  <c r="D216" i="34"/>
  <c r="O216" i="34"/>
  <c r="R216" i="34" s="1"/>
  <c r="C217" i="34"/>
  <c r="I481" i="50" l="1"/>
  <c r="R480" i="50" s="1"/>
  <c r="M481" i="50"/>
  <c r="T469" i="50" s="1"/>
  <c r="T480" i="50" s="1"/>
  <c r="K481" i="50"/>
  <c r="S480" i="50" s="1"/>
  <c r="L385" i="50"/>
  <c r="L338" i="41"/>
  <c r="K338" i="41"/>
  <c r="K385" i="50"/>
  <c r="M338" i="41"/>
  <c r="M385" i="50"/>
  <c r="I338" i="41"/>
  <c r="I385" i="50"/>
  <c r="J385" i="50"/>
  <c r="J338" i="41"/>
  <c r="O217" i="34"/>
  <c r="R217" i="34" s="1"/>
  <c r="C218" i="34"/>
  <c r="D217" i="34"/>
  <c r="Q1325" i="50" l="1"/>
  <c r="M1325" i="50" s="1"/>
  <c r="Q1333" i="50"/>
  <c r="Q1334" i="50"/>
  <c r="Q1329" i="50"/>
  <c r="Q1332" i="50"/>
  <c r="Q1327" i="50"/>
  <c r="Q1326" i="50"/>
  <c r="Q1328" i="50"/>
  <c r="Q1331" i="50"/>
  <c r="Q1330" i="50"/>
  <c r="L339" i="41"/>
  <c r="L430" i="50" s="1"/>
  <c r="L429" i="50"/>
  <c r="I429" i="50"/>
  <c r="I339" i="41"/>
  <c r="I430" i="50" s="1"/>
  <c r="M339" i="41"/>
  <c r="M430" i="50" s="1"/>
  <c r="M429" i="50"/>
  <c r="J429" i="50"/>
  <c r="J339" i="41"/>
  <c r="J430" i="50" s="1"/>
  <c r="K429" i="50"/>
  <c r="K339" i="41"/>
  <c r="K430" i="50" s="1"/>
  <c r="C219" i="34"/>
  <c r="D218" i="34"/>
  <c r="O218" i="34"/>
  <c r="R218" i="34" s="1"/>
  <c r="K1325" i="50" l="1"/>
  <c r="K1368" i="50" s="1"/>
  <c r="J1325" i="50"/>
  <c r="J1368" i="50" s="1"/>
  <c r="L1325" i="50"/>
  <c r="L1368" i="50" s="1"/>
  <c r="I1325" i="50"/>
  <c r="I1368" i="50" s="1"/>
  <c r="K1328" i="50"/>
  <c r="K1371" i="50" s="1"/>
  <c r="L1328" i="50"/>
  <c r="L1371" i="50" s="1"/>
  <c r="M1328" i="50"/>
  <c r="M1371" i="50" s="1"/>
  <c r="J1328" i="50"/>
  <c r="J1371" i="50" s="1"/>
  <c r="I1328" i="50"/>
  <c r="I1371" i="50" s="1"/>
  <c r="J1326" i="50"/>
  <c r="J1369" i="50" s="1"/>
  <c r="K1326" i="50"/>
  <c r="K1369" i="50" s="1"/>
  <c r="M1326" i="50"/>
  <c r="M1369" i="50" s="1"/>
  <c r="L1326" i="50"/>
  <c r="L1369" i="50" s="1"/>
  <c r="I1326" i="50"/>
  <c r="I1369" i="50" s="1"/>
  <c r="K1327" i="50"/>
  <c r="K1370" i="50" s="1"/>
  <c r="I1327" i="50"/>
  <c r="I1370" i="50" s="1"/>
  <c r="M1327" i="50"/>
  <c r="M1370" i="50" s="1"/>
  <c r="L1327" i="50"/>
  <c r="L1370" i="50" s="1"/>
  <c r="J1327" i="50"/>
  <c r="J1370" i="50" s="1"/>
  <c r="J1332" i="50"/>
  <c r="J1375" i="50" s="1"/>
  <c r="K1332" i="50"/>
  <c r="K1375" i="50" s="1"/>
  <c r="I1332" i="50"/>
  <c r="I1375" i="50" s="1"/>
  <c r="M1332" i="50"/>
  <c r="M1375" i="50" s="1"/>
  <c r="L1332" i="50"/>
  <c r="L1375" i="50" s="1"/>
  <c r="K1329" i="50"/>
  <c r="K1372" i="50" s="1"/>
  <c r="I1329" i="50"/>
  <c r="I1372" i="50" s="1"/>
  <c r="M1329" i="50"/>
  <c r="M1372" i="50" s="1"/>
  <c r="J1329" i="50"/>
  <c r="J1372" i="50" s="1"/>
  <c r="L1329" i="50"/>
  <c r="L1372" i="50" s="1"/>
  <c r="J1334" i="50"/>
  <c r="J1377" i="50" s="1"/>
  <c r="L1334" i="50"/>
  <c r="L1377" i="50" s="1"/>
  <c r="K1334" i="50"/>
  <c r="K1377" i="50" s="1"/>
  <c r="I1334" i="50"/>
  <c r="I1377" i="50" s="1"/>
  <c r="M1334" i="50"/>
  <c r="M1377" i="50" s="1"/>
  <c r="L1333" i="50"/>
  <c r="L1376" i="50" s="1"/>
  <c r="K1333" i="50"/>
  <c r="K1376" i="50" s="1"/>
  <c r="J1333" i="50"/>
  <c r="J1376" i="50" s="1"/>
  <c r="I1333" i="50"/>
  <c r="I1376" i="50" s="1"/>
  <c r="M1333" i="50"/>
  <c r="M1376" i="50" s="1"/>
  <c r="M1330" i="50"/>
  <c r="M1373" i="50" s="1"/>
  <c r="I1330" i="50"/>
  <c r="I1373" i="50" s="1"/>
  <c r="L1330" i="50"/>
  <c r="L1373" i="50" s="1"/>
  <c r="J1330" i="50"/>
  <c r="J1373" i="50" s="1"/>
  <c r="K1330" i="50"/>
  <c r="K1373" i="50" s="1"/>
  <c r="J1331" i="50"/>
  <c r="J1374" i="50" s="1"/>
  <c r="L1331" i="50"/>
  <c r="L1374" i="50" s="1"/>
  <c r="I1331" i="50"/>
  <c r="I1374" i="50" s="1"/>
  <c r="K1331" i="50"/>
  <c r="K1374" i="50" s="1"/>
  <c r="M1331" i="50"/>
  <c r="M1374" i="50" s="1"/>
  <c r="M1368" i="50"/>
  <c r="C220" i="34"/>
  <c r="O219" i="34"/>
  <c r="R219" i="34" s="1"/>
  <c r="D219" i="34"/>
  <c r="J1385" i="50" l="1"/>
  <c r="M1385" i="50"/>
  <c r="K1342" i="50"/>
  <c r="J1342" i="50"/>
  <c r="I1385" i="50"/>
  <c r="M1342" i="50"/>
  <c r="K1385" i="50"/>
  <c r="L1342" i="50"/>
  <c r="L1385" i="50"/>
  <c r="I1342" i="50"/>
  <c r="D220" i="34"/>
  <c r="O220" i="34"/>
  <c r="R220" i="34" s="1"/>
  <c r="C221" i="34"/>
  <c r="C222" i="34" l="1"/>
  <c r="D221" i="34"/>
  <c r="O221" i="34"/>
  <c r="R221" i="34" s="1"/>
  <c r="D222" i="34" l="1"/>
  <c r="O222" i="34"/>
  <c r="R222" i="34" s="1"/>
  <c r="C223" i="34"/>
  <c r="D223" i="34" l="1"/>
  <c r="O223" i="34"/>
  <c r="R223" i="34" s="1"/>
  <c r="C224" i="34"/>
  <c r="C225" i="34" l="1"/>
  <c r="D224" i="34"/>
  <c r="O224" i="34"/>
  <c r="R224" i="34" s="1"/>
  <c r="C226" i="34" l="1"/>
  <c r="O225" i="34"/>
  <c r="R225" i="34" s="1"/>
  <c r="D225" i="34"/>
  <c r="C227" i="34" l="1"/>
  <c r="O226" i="34"/>
  <c r="R226" i="34" s="1"/>
  <c r="D226" i="34"/>
  <c r="D227" i="34" l="1"/>
  <c r="C228" i="34"/>
  <c r="O227" i="34"/>
  <c r="R227" i="34" s="1"/>
  <c r="D228" i="34" l="1"/>
  <c r="O228" i="34"/>
  <c r="R228" i="34" s="1"/>
  <c r="C229" i="34"/>
  <c r="D229" i="34" l="1"/>
  <c r="O229" i="34"/>
  <c r="R229" i="34" s="1"/>
  <c r="C230" i="34"/>
  <c r="O230" i="34" l="1"/>
  <c r="R230" i="34" s="1"/>
  <c r="C231" i="34"/>
  <c r="D230" i="34"/>
  <c r="D231" i="34" l="1"/>
  <c r="O231" i="34"/>
  <c r="R231" i="34" s="1"/>
  <c r="C232" i="34"/>
  <c r="C233" i="34" l="1"/>
  <c r="D232" i="34"/>
  <c r="O232" i="34"/>
  <c r="R232" i="34" s="1"/>
  <c r="D233" i="34" l="1"/>
  <c r="O233" i="34"/>
  <c r="R233" i="34" s="1"/>
  <c r="C234" i="34"/>
  <c r="O234" i="34" l="1"/>
  <c r="R234" i="34" s="1"/>
  <c r="D234" i="34"/>
  <c r="C235" i="34"/>
  <c r="O235" i="34" l="1"/>
  <c r="R235" i="34" s="1"/>
  <c r="D235" i="34"/>
  <c r="C236" i="34"/>
  <c r="O236" i="34" l="1"/>
  <c r="R236" i="34" s="1"/>
  <c r="D236" i="34"/>
  <c r="C237" i="34"/>
  <c r="D237" i="34" l="1"/>
  <c r="C238" i="34"/>
  <c r="O237" i="34"/>
  <c r="R237" i="34" s="1"/>
  <c r="D238" i="34" l="1"/>
  <c r="C239" i="34"/>
  <c r="O238" i="34"/>
  <c r="R238" i="34" s="1"/>
  <c r="O239" i="34" l="1"/>
  <c r="R239" i="34" s="1"/>
  <c r="D239" i="34"/>
  <c r="C240" i="34"/>
  <c r="O240" i="34" l="1"/>
  <c r="R240" i="34" s="1"/>
  <c r="D240" i="34"/>
  <c r="C241" i="34"/>
  <c r="D241" i="34" l="1"/>
  <c r="C242" i="34"/>
  <c r="O241" i="34"/>
  <c r="R241" i="34" s="1"/>
  <c r="O242" i="34" l="1"/>
  <c r="R242" i="34" s="1"/>
  <c r="C243" i="34"/>
  <c r="D242" i="34"/>
  <c r="C244" i="34" l="1"/>
  <c r="D243" i="34"/>
  <c r="O243" i="34"/>
  <c r="R243" i="34" s="1"/>
  <c r="O244" i="34" l="1"/>
  <c r="R244" i="34" s="1"/>
  <c r="C245" i="34"/>
  <c r="D244" i="34"/>
  <c r="D245" i="34" l="1"/>
  <c r="O245" i="34"/>
  <c r="R245" i="34" s="1"/>
  <c r="C246" i="34"/>
  <c r="O246" i="34" l="1"/>
  <c r="R246" i="34" s="1"/>
  <c r="D246" i="34"/>
  <c r="C247" i="34"/>
  <c r="O247" i="34" l="1"/>
  <c r="R247" i="34" s="1"/>
  <c r="C248" i="34"/>
  <c r="D247" i="34"/>
  <c r="O248" i="34" l="1"/>
  <c r="R248" i="34" s="1"/>
  <c r="C249" i="34"/>
  <c r="D248" i="34"/>
  <c r="O249" i="34" l="1"/>
  <c r="R249" i="34" s="1"/>
  <c r="C250" i="34"/>
  <c r="D249" i="34"/>
  <c r="O250" i="34" l="1"/>
  <c r="R250" i="34" s="1"/>
  <c r="D250" i="34"/>
  <c r="C251" i="34"/>
  <c r="C252" i="34" l="1"/>
  <c r="D251" i="34"/>
  <c r="O251" i="34"/>
  <c r="R251" i="34" s="1"/>
  <c r="C253" i="34" l="1"/>
  <c r="O252" i="34"/>
  <c r="R252" i="34" s="1"/>
  <c r="D252" i="34"/>
  <c r="O253" i="34" l="1"/>
  <c r="R253" i="34" s="1"/>
  <c r="D253" i="34"/>
  <c r="C254" i="34"/>
  <c r="D254" i="34" l="1"/>
  <c r="C255" i="34"/>
  <c r="O254" i="34"/>
  <c r="R254" i="34" s="1"/>
  <c r="D255" i="34" l="1"/>
  <c r="O255" i="34"/>
  <c r="R255"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44385BF7-3935-4266-AD7A-C0CF631DBB99}">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<sst xmlns="http://schemas.openxmlformats.org/spreadsheetml/2006/main" count="6245" uniqueCount="2577">
  <si>
    <t>a</t>
  </si>
  <si>
    <t>UK ETS BASELINE DATA REPORT - Second Allocation Period</t>
  </si>
  <si>
    <t>A.</t>
  </si>
  <si>
    <t>I</t>
  </si>
  <si>
    <t>II</t>
  </si>
  <si>
    <t>III</t>
  </si>
  <si>
    <t>IV</t>
  </si>
  <si>
    <t>D.</t>
  </si>
  <si>
    <t>E.</t>
  </si>
  <si>
    <t>F.</t>
  </si>
  <si>
    <t>G.</t>
  </si>
  <si>
    <t>H.</t>
  </si>
  <si>
    <t>Sheet "SpecialBM" - SPECIAL DATA FOR SOME PRODUCT BENCHMARKS</t>
  </si>
  <si>
    <t>V</t>
  </si>
  <si>
    <t>VI</t>
  </si>
  <si>
    <t>VII</t>
  </si>
  <si>
    <t>VIII</t>
  </si>
  <si>
    <t>IX</t>
  </si>
  <si>
    <t>I.</t>
  </si>
  <si>
    <t>Sheet "Specific" -  ADDITIONAL DATA REQUIREMENTS FOR SOME USES, HSES AND ELECTRICITY GENERATORS</t>
  </si>
  <si>
    <t>J.</t>
  </si>
  <si>
    <t>K.</t>
  </si>
  <si>
    <t>B+C.</t>
  </si>
  <si>
    <t>Permit ID for the Installation:</t>
  </si>
  <si>
    <t>UK ETS Data Extract starts at cell P100</t>
  </si>
  <si>
    <t>Sheet</t>
  </si>
  <si>
    <t>Section</t>
  </si>
  <si>
    <t>Reference</t>
  </si>
  <si>
    <t>FieldName</t>
  </si>
  <si>
    <t>Value</t>
  </si>
  <si>
    <t>a_Contents</t>
  </si>
  <si>
    <t>File Version</t>
  </si>
  <si>
    <t>FileVersion</t>
  </si>
  <si>
    <t>A_InstallationData</t>
  </si>
  <si>
    <t>Identification of the Installation</t>
  </si>
  <si>
    <t>A.I.1.c</t>
  </si>
  <si>
    <t>PermitID</t>
  </si>
  <si>
    <t>A.I.1.d</t>
  </si>
  <si>
    <t>RegistryID</t>
  </si>
  <si>
    <t>A.I.1.h.i</t>
  </si>
  <si>
    <t>OperatorName</t>
  </si>
  <si>
    <t>A.I.1.a</t>
  </si>
  <si>
    <t>InstallationName</t>
  </si>
  <si>
    <t>I_Specific</t>
  </si>
  <si>
    <t>USE applicants' supporting evidence</t>
  </si>
  <si>
    <t>I.I.1</t>
  </si>
  <si>
    <t>2024Emissions</t>
  </si>
  <si>
    <t>I.I.2</t>
  </si>
  <si>
    <t>HaveReportedEmissions</t>
  </si>
  <si>
    <t>HSE applicants' supporting evidence</t>
  </si>
  <si>
    <t>I.II.i</t>
  </si>
  <si>
    <t>Condition</t>
  </si>
  <si>
    <t>I.II.1</t>
  </si>
  <si>
    <t>ConditionAThermalInput2021</t>
  </si>
  <si>
    <t>ConditionAThermalInput2022</t>
  </si>
  <si>
    <t>ConditionAThermalInput2023</t>
  </si>
  <si>
    <t>I.II.2</t>
  </si>
  <si>
    <t>EmmsionsEstimate2026</t>
  </si>
  <si>
    <t>I.II.3</t>
  </si>
  <si>
    <t>ConditionBThermalInput2021</t>
  </si>
  <si>
    <t>ConditionBThermalInput2022</t>
  </si>
  <si>
    <t>ConditionBThermalInput2023</t>
  </si>
  <si>
    <t>I.II.4</t>
  </si>
  <si>
    <t>ConditionCThermalInput2021</t>
  </si>
  <si>
    <t>ConditionCThermalInput2022</t>
  </si>
  <si>
    <t>ConditionCThermalInput2023</t>
  </si>
  <si>
    <t>ConditionCThermalInput2024</t>
  </si>
  <si>
    <t>I.II.5</t>
  </si>
  <si>
    <t>Estimate2026Emissions</t>
  </si>
  <si>
    <t>I.II.6</t>
  </si>
  <si>
    <t>Estimate2024Emissions</t>
  </si>
  <si>
    <t>I.II.7</t>
  </si>
  <si>
    <t>UnlikelyExceedMaxEmissions</t>
  </si>
  <si>
    <t>I.II.8</t>
  </si>
  <si>
    <t>EmmsionsReport2021</t>
  </si>
  <si>
    <t>EmmsionsReport2022</t>
  </si>
  <si>
    <t>EmmsionsReport2023</t>
  </si>
  <si>
    <t>EmmsionsReport2024</t>
  </si>
  <si>
    <t>I.II.9</t>
  </si>
  <si>
    <t>ExtraEvidence</t>
  </si>
  <si>
    <t>I.II.10</t>
  </si>
  <si>
    <t>EvidenceProvided</t>
  </si>
  <si>
    <t xml:space="preserve">Electricity generator supporting evidence  </t>
  </si>
  <si>
    <t>I.III.1</t>
  </si>
  <si>
    <t>ElectricityGenerator</t>
  </si>
  <si>
    <t>I.III.2</t>
  </si>
  <si>
    <t>ForSale</t>
  </si>
  <si>
    <t>I.III.3</t>
  </si>
  <si>
    <t>StopElectrcity</t>
  </si>
  <si>
    <t>I.III.4</t>
  </si>
  <si>
    <t>Statement</t>
  </si>
  <si>
    <t>I.III.5</t>
  </si>
  <si>
    <t>StatementEvidence</t>
  </si>
  <si>
    <t>I.III.6.i</t>
  </si>
  <si>
    <t>NetElectricity2019</t>
  </si>
  <si>
    <t>NetElectricity2020</t>
  </si>
  <si>
    <t>NetElectricity2021</t>
  </si>
  <si>
    <t>NetElectricity2022</t>
  </si>
  <si>
    <t>NetElectricity2023</t>
  </si>
  <si>
    <t>I.III.6.ii</t>
  </si>
  <si>
    <t>ExportedElectricity2019</t>
  </si>
  <si>
    <t>ExportedElectricity2020</t>
  </si>
  <si>
    <t>ExportedElectricity2021</t>
  </si>
  <si>
    <t>ExportedElectricity2022</t>
  </si>
  <si>
    <t>ExportedElectricity2023</t>
  </si>
  <si>
    <t>I.III.6.iii</t>
  </si>
  <si>
    <t>ChpElectricity2019</t>
  </si>
  <si>
    <t>ChpElectricity2020</t>
  </si>
  <si>
    <t>ChpElectricity2021</t>
  </si>
  <si>
    <t>ChpElectricity2022</t>
  </si>
  <si>
    <t>ChpElectricity2023</t>
  </si>
  <si>
    <t>TotalNetElectricity</t>
  </si>
  <si>
    <t>TotalExportedElectricity</t>
  </si>
  <si>
    <t>TotalChpElectricity</t>
  </si>
  <si>
    <t>I.III.6.iv</t>
  </si>
  <si>
    <t>Meet2c4a</t>
  </si>
  <si>
    <t>I.III.6.v</t>
  </si>
  <si>
    <t>Meet2c4b</t>
  </si>
  <si>
    <t>I.III.6</t>
  </si>
  <si>
    <t>IsRelevantChpElectricityChpqa</t>
  </si>
  <si>
    <t>I.III.7</t>
  </si>
  <si>
    <t>Disagreement</t>
  </si>
  <si>
    <t>I.III.8</t>
  </si>
  <si>
    <t>ChpqaEvidence</t>
  </si>
  <si>
    <t>I.III.9</t>
  </si>
  <si>
    <t>DistrictHeat</t>
  </si>
  <si>
    <t>I.III.10</t>
  </si>
  <si>
    <t>AverageChpHeat</t>
  </si>
  <si>
    <t>AverageRefHeat</t>
  </si>
  <si>
    <t>AverageChpElectricity</t>
  </si>
  <si>
    <t>AverageRefElectricity</t>
  </si>
  <si>
    <t>PES</t>
  </si>
  <si>
    <t>PesDisagrement</t>
  </si>
  <si>
    <t>I.III.11</t>
  </si>
  <si>
    <t>ChpqaEvidenceRepeated</t>
  </si>
  <si>
    <t>I.III.12</t>
  </si>
  <si>
    <t>ApplyingForFa</t>
  </si>
  <si>
    <t>FaConfirmation</t>
  </si>
  <si>
    <t>b</t>
  </si>
  <si>
    <t>Read me first: Guidelines and conditions</t>
  </si>
  <si>
    <t>The UK ETS is given effect by the 'UK ETS Order’, which is the Greenhouse Gas Emissions Trading Scheme Order 2020. The Order can be downloaded from here:</t>
  </si>
  <si>
    <t>https://www.legislation.gov.uk/uksi/2020/1265/introduction</t>
  </si>
  <si>
    <t>The rules on free allocation are contained within Commission Delegated Regulation (EU) 2019/331 of 19 December 2018 as it forms part of domestic law. This Regulation is known as the Free Allocation Regulation (the FAR).</t>
  </si>
  <si>
    <t>https://www.legislation.gov.uk/eur/2019/331/contents</t>
  </si>
  <si>
    <t xml:space="preserve">The views expressed in this file represent the views of the authors and not necessarily those of the European Commission. </t>
  </si>
  <si>
    <t>This is the first published (final) version of 4 March 2019, updated with actual BM values in February 2021.</t>
  </si>
  <si>
    <t>Essential information to read to ensure that operators comply with all BDR requirements</t>
  </si>
  <si>
    <t>Please read the following carefully. It is recommended that you go through the file from start to end as there are formulae in the template that take information from earlier Sheets. 
All installations (including those applying for FA or HSE/USE status, and those applying for none of those things), should fill in the "A_InstallationData" sheet, D.1.2 and, where relevant, Sheet I. If applying to receive FA in the 2027-2030 allocation period, and in some instances, in 2026, you should submit all  sheets (except B+C if inputting aggregated data). 
Existing USEs should complete the separate USE template only, unless they are applying for HSE status or to receive FA in the next allocation period, in which case both the BDR and the USE template should both be submitted (please contact your regulator if you are unsure what to complete given your individual circumstances). Main scheme operators and HSEs can use the BDR template.
HSE applicants should complete this template but only 'A_InstallationData', D.1.2 (except line 44 ‘energy input from fuels’), and Sheet I (HSE applicants’ supporting evidence).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</si>
  <si>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Automatic calculation (to be found in the menu Formula/Calculation options) must be turned on.</t>
  </si>
  <si>
    <t>It is especially important to fill in sheet "A_InstallationData", sections A.II.2 (Baseline period chosen) and A.III (definition of sub-installations). Without correct information there, calculation results may be wrong, or it may not be possible for data for sub-installations to be entered correctly.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</si>
  <si>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</si>
  <si>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are still missing.</t>
  </si>
  <si>
    <t>Special care must be taken of consistency of data with the units displayed.</t>
  </si>
  <si>
    <t>Error messages are often very short due to the little space available. The most important ones are:</t>
  </si>
  <si>
    <t>incomplete!</t>
  </si>
  <si>
    <t>Means that data is not sufficient for calculation (e.g. an emission factor is missing in one year)</t>
  </si>
  <si>
    <t>inconsistent!</t>
  </si>
  <si>
    <t>The units selected are inconsistent, and calculations based upon related inputs will give wrong results.</t>
  </si>
  <si>
    <t>negative!</t>
  </si>
  <si>
    <t>In this calculation no negative values are allowed.</t>
  </si>
  <si>
    <t>A.II.1.a-g!</t>
  </si>
  <si>
    <t>These are references to document sections. This means that data in the referenced sections are missing.</t>
  </si>
  <si>
    <t>Colour codes and fonts:</t>
  </si>
  <si>
    <t>Black bold text:</t>
  </si>
  <si>
    <t>This is text describing the input required.</t>
  </si>
  <si>
    <t>Smaller italic text:</t>
  </si>
  <si>
    <t xml:space="preserve">This text gives further explanations. </t>
  </si>
  <si>
    <t>Yellow fields indicate mandatory inputs. However, if the topic is not relevant for the installation, no input is required. Furthermore, information entered in earlier sections may make certain sections 'not relevant' or optional. In these situations, the field will be displayed in a different colour code.</t>
  </si>
  <si>
    <t>Light orange fields indicate that an input is optional.</t>
  </si>
  <si>
    <t>Green fields show automatically calculated results. Red text indicates error messages (missing data etc).</t>
  </si>
  <si>
    <t>Shaded fields indicate that an input in another field makes the input here irrelevant.</t>
  </si>
  <si>
    <t>Grey shaded areas should be filled by Member States before publishing customized version of the template.</t>
  </si>
  <si>
    <t>Light grey areas indicate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</si>
  <si>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are missing in the related section (not in all sheets).</t>
  </si>
  <si>
    <t>This template has been locked and password protected against data entry except for yellow and orange fields. This is to prevent accidental changes to formula or intended structural changes to accommodate different data. For transparency reasons, it is still possible to view all formulae.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</si>
  <si>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</si>
  <si>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</si>
  <si>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DISLAIMER: All formulae have been developed carefully and thoroughly. However, mistakes cannot be fully excluded. As described above, full transparency for checking the calculations is ensured. Neither the regulators nor the UK ETS Authority can be held liable for eventual damages resulting from wrong or misleading results of the provided calculations. It is the full responsibility of the user of this file (i.e. the operator of a UK ETS installation) to ensure that accurate data are submitted that comply with the relevant legislation.</t>
  </si>
  <si>
    <t>Regulator specific information</t>
  </si>
  <si>
    <t>The required information, for which the BDR has been designed to facilitate, must be uploaded to Manage your UK ETS reporting (METS) platform by 30th June 2025 for each installation (unless you are an existing USE in which case you submit all of your documents via email to your regulator). If you have any questions, contact email addresses are below:</t>
  </si>
  <si>
    <t>UK Websites:</t>
  </si>
  <si>
    <t>UK ETS general:</t>
  </si>
  <si>
    <t>https://www.gov.uk/government/publications/participating-in-the-uk-ets/participating-in-the-uk-ets</t>
  </si>
  <si>
    <t xml:space="preserve">Authority Response to Moving the second UK ETS Allocation Period </t>
  </si>
  <si>
    <t>https://www.gov.uk/government/consultations/uk-emissions-trading-scheme-free-allocation-review</t>
  </si>
  <si>
    <t>Guidance and data collection template for existing USEs:</t>
  </si>
  <si>
    <t>https://www.gov.uk/guidance/opt-out-of-the-uk-ets-if-your-installation-is-an-ultra-small-emitter</t>
  </si>
  <si>
    <t>ausblenden</t>
  </si>
  <si>
    <t>Column for</t>
  </si>
  <si>
    <t>controls</t>
  </si>
  <si>
    <t>(a)</t>
  </si>
  <si>
    <t>This name should be the same as has been already used for correspondence with the regulator. As noted previously, existing USEs should submit the separate USE Data Collection template. Existing USEs applying for FA and/or HSE status should complete this BDR template in addition to the USE Data Collection Template. Existing HSEs and main scheme participants should continue to fill out this BDR template. If an operator is applying for FA in the next allocation period, they should complete all the sheets in this BDR apart from 'B+C Emissions data' Sheets if using aggregated data. The submission window is 1 April to 30 June 2025.</t>
  </si>
  <si>
    <t>(b)</t>
  </si>
  <si>
    <t>Set this to United Kingdom:</t>
  </si>
  <si>
    <t>Has this installation been included in the UK ETS before?</t>
  </si>
  <si>
    <t>(c)</t>
  </si>
  <si>
    <t>UK ETS Permit number provided by your UK regulator:</t>
  </si>
  <si>
    <t>(d)</t>
  </si>
  <si>
    <t>UK Registry ID:</t>
  </si>
  <si>
    <t>(f)</t>
  </si>
  <si>
    <t>Unique ID for notification to UK ETS:</t>
  </si>
  <si>
    <t>CNTR_UniqueID</t>
  </si>
  <si>
    <t>(e)</t>
  </si>
  <si>
    <t>Information on the greenhouse gas emissions permit or hospital and small emitter permit:</t>
  </si>
  <si>
    <t>Please provide here information on the greenhouse gas emissions permit (=permit issued in accordance with Article 26 of the UK ETS Order).</t>
  </si>
  <si>
    <t>Name of Regulator:</t>
  </si>
  <si>
    <t>i.</t>
  </si>
  <si>
    <t>Permit number:</t>
  </si>
  <si>
    <t>ii.</t>
  </si>
  <si>
    <t>iii.</t>
  </si>
  <si>
    <t>iv.</t>
  </si>
  <si>
    <t>This input is only relevant if the installation, as a whole, has started operation after 1 January 2019.</t>
  </si>
  <si>
    <t>(g)</t>
  </si>
  <si>
    <t>An installation is an incumbent if one of the following apply</t>
  </si>
  <si>
    <t>-</t>
  </si>
  <si>
    <t>- an installation for which a permit is issued on or before 30 June 2025
- an installation that is an ultra-small emitter for the 2025 scheme year
- an installation for which an application for a permit has been made but not yet determined.</t>
  </si>
  <si>
    <t>All installations which do not meet one of the above criteria will be considered "new entrants" by the regulator.</t>
  </si>
  <si>
    <t>New entrants should not use this template.</t>
  </si>
  <si>
    <t>(h)</t>
  </si>
  <si>
    <t>Postcode:</t>
  </si>
  <si>
    <t>v.</t>
  </si>
  <si>
    <t>vi.</t>
  </si>
  <si>
    <t>vii.</t>
  </si>
  <si>
    <t>viii.</t>
  </si>
  <si>
    <t>ix.</t>
  </si>
  <si>
    <t>(i)</t>
  </si>
  <si>
    <t>Street, Number (onshore) or Grid reference (offshore UKCS):</t>
  </si>
  <si>
    <t>Please nominate a contact the regulator can get in touch with in case of questions regarding this report, including its verification.</t>
  </si>
  <si>
    <t>Accreditation Certificate number:</t>
  </si>
  <si>
    <t>Activities according to Table C of Schedule 2 of The Greenhouse Gas Emissions Trading Scheme Order 2020 carried out at your installation:</t>
  </si>
  <si>
    <t>This information is important for the regulators because changes compared to previous ETS phases may have taken place.</t>
  </si>
  <si>
    <t>Name of activity listed in Table C Schedule 2</t>
  </si>
  <si>
    <t>Number of activity</t>
  </si>
  <si>
    <t>If you are not sure about the values to enter here, please contact your regulator.</t>
  </si>
  <si>
    <t>https://www.legislation.gov.uk/eur/2006/1893/pdfs/eur_20061893_2019-07-26_en.pdf</t>
  </si>
  <si>
    <t>CNTR_NACEInstallation</t>
  </si>
  <si>
    <t>If applicable, please provide the identification code of the installation in the EPRTR:</t>
  </si>
  <si>
    <t>This information is useful for the regulators for consistency checking and aligning environmental information sources.</t>
  </si>
  <si>
    <t>Part 1 of HSE status application under Schedule 7 to the UK ETS Order (Please complete Part 2 on Sheet I):</t>
  </si>
  <si>
    <t>Does the installation meet one of the following conditions: 
- where an installation started to carry out a regulated activity on or before 1st January 2021, they have reportable emissions of less than 25,000 tonnes of CO2 equivalent and, where they carry out combustion activities, have a rated thermal input below 35MW in each of the 2021, 2022 and 2023 scheme years.  
- where an installation started to carry out a regulated activity after 1st January 2021 or will commence before 1st November 2025, their reportable emissions are below 25,000 tonnes of CO2 equivalent and, where they carry out combustion activities, have a rated thermal input below 35MW in each of the scheme years they have been operating and that their reportable emissions and rated thermal input are not likely to exceed these thresholds in each of the 2026-2030 scheme years. 
- the installation primarily provides services to hospitals or it intends to do so before 1st November 2025.</t>
  </si>
  <si>
    <t>Conditional formatting: Art. 27 reporting mandatory?</t>
  </si>
  <si>
    <t>Does the installation primarily provide services to a hospital in the [2024] scheme year; or will the regulated activity will begin to be carried out at the installation before 1st November 2025?</t>
  </si>
  <si>
    <t>The installation is eligible for exclusion under Schedule 7, paragraph 5 to the UK ETS Order.</t>
  </si>
  <si>
    <t>If applying to join the HSE list for 2026-2030, it is essential that you now complete all information required on Sheet I to ensure that your application is valid.</t>
  </si>
  <si>
    <t>Eligibility for USE status under Schedule 8 to the UK ETS Order (Please enter 2024 emissions onto Sheet I if applicable):</t>
  </si>
  <si>
    <t xml:space="preserve">Under paragraph 3 of Schedule 8 to the Order, the following installations are eligible for USE status for the 2026-2030 period: </t>
  </si>
  <si>
    <t>Installations which have reported to the regulator emissions of less than 2 500 tonnes of carbon dioxide equivalent, excluding emissions from biomass, in each of the 2021, 2022, 2023 and, if applicable, 2024 scheme years.</t>
  </si>
  <si>
    <t>Conditional formatting: Art. 27a reporting mandatory?</t>
  </si>
  <si>
    <t>This installation is eligible for exclusion pursuant to Schedule 8 to the Order</t>
  </si>
  <si>
    <t xml:space="preserve">USE applicants must ensure that they input the correct data for the scheme years listed below:
- For installations that began regulated activity on or before 1 January 2021,  data from scheme years 2021, 2022 and 2023. 
- For installations that began regulated activity between 2 January 2021 and 1 January 2022, data from scheme years 2022, 2023 and 2024.
- For installations that began regulated activity between 2 January 2022 and 1 January 2023, data from scheme years 2023 and 2024. 
- For installations that began regulated activity between 2 January 2023 and 1 January 2024, data from scheme year 2024 should be submitted. 
Please input 2021-2023 data into D.1.2. 
If you need to input 2024 data, please use Sheet I. </t>
  </si>
  <si>
    <t>Please input data on Tab D "Emissions" (D.I.2) and it will automatically be displayed here (USE and HSE applicants, as described above, please provide 2024 data, if applicable, on Sheet I):</t>
  </si>
  <si>
    <t xml:space="preserve">Eligibility for free allocation under current legislation </t>
  </si>
  <si>
    <t>Will the installation be considered an electricity generator pursuant to Article 2c of the FAR in the second allocation period? Please answer this question carefully and consult the legislation.</t>
  </si>
  <si>
    <t xml:space="preserve">This is an installation in which both the following apply:
- That in the baseline period produced electricity for sale for consumption outside the installation. N.B (This does not include relevant CHP electricity or if the electricity sold for consumption outside the installation represents no more than 5% of the total electricity (not including relevant CHP electricity) produced at the installation in the baseline period – see Article 2c(4) of the FAR).
- At which the regulated activity (combustion of fuels) and no other regulated activity is carried out (apart from the following: the capture of greenhouse gases from a regulated activity for the purpose of transport and geological storage in a storage site; the transport of greenhouse gases by pipelines for geological storage in a storage site; the geological storage of greenhouse gases in a storage site). </t>
  </si>
  <si>
    <t>Does the installation capture greenhouse gases for the purpose of transport and geographical storage in a storage site, transport greenhouse gases by pipelines for geographical storage in a storage site or store greenhouse gases in a geological storage site?</t>
  </si>
  <si>
    <t>This installation is considered as covered by Article 2a of the FAR as it forms part of domestic law</t>
  </si>
  <si>
    <t>Confirmation of non-eligibility for free allocation:</t>
  </si>
  <si>
    <t>Only installations applying for free allocation should continue to provide further data after (h), however please also note that electricity generators, HSE and USE applicants may be required to provide further data on Sheet I which is stated above.</t>
  </si>
  <si>
    <t>If no further data is to be reported, because no application for FA nor HSE/USE status is being made, there is also no need for verification of this report.</t>
  </si>
  <si>
    <t>Confirm the eligibility of the installation for FA:</t>
  </si>
  <si>
    <t>CNTR_BaselinePeriod:</t>
  </si>
  <si>
    <t>2019-2023</t>
  </si>
  <si>
    <t>Only calendar years during which the installation has been operating for at least one day shall be taken into account for determining averages for historical activity levels.</t>
  </si>
  <si>
    <t>For each type of product, only one sub-installation may be chosen. Similar products which are covered by the same product benchmark in Annex I of the  FAR are aggregated.</t>
  </si>
  <si>
    <t>The status regarding the exposure to significant risk of carbon leakage ("CL") is based on the current CLL found here -  https://www.legislation.gov.uk/eudn/2019/708/annex. The CLL is subject to consultation and some affected operators may need to resubmit data depending on its outcome.</t>
  </si>
  <si>
    <t>Every sub-installation name may only occur once, otherwise some parts of this template will not function properly.</t>
  </si>
  <si>
    <t>In the second yellow column please provide the start date of normal operation pursuant to Article 2(12) of the Commission Delegated Regulation for each sub-installation. This information is necessary to identify which years must be taken into account to determine the historic activity level pursuant to Article 15(7) in sheets F and G. This input is only relevant if the sub-installation has started operation after 1 January 2019.</t>
  </si>
  <si>
    <t>BM number</t>
  </si>
  <si>
    <t>Sorting</t>
  </si>
  <si>
    <t>Unit</t>
  </si>
  <si>
    <t># occurrences</t>
  </si>
  <si>
    <t>&lt; 1 year</t>
  </si>
  <si>
    <t>Please confirm whether each type of sub-installation is relevant for your installation or not. Don’t leave the yellow fields empty.</t>
  </si>
  <si>
    <t>Relevant?</t>
  </si>
  <si>
    <t>This information is needed by the regulator for ensuring consistency of the data provided, and for avoiding double counting of allocation data. It is essential you only respond using the available options below when completing this section.</t>
  </si>
  <si>
    <t>In the column "Type of Entity*", the following options can be selected:</t>
  </si>
  <si>
    <t>Installation covered by the UK ETS</t>
  </si>
  <si>
    <t>Type of connection**  options are:</t>
  </si>
  <si>
    <t>Flow direction options***  are (perspective of the installation to which this report refers):</t>
  </si>
  <si>
    <t>Type of Entity*</t>
  </si>
  <si>
    <t>Type of connection**</t>
  </si>
  <si>
    <t>Flow direction options***</t>
  </si>
  <si>
    <t>ETS coverage (f. formatting)</t>
  </si>
  <si>
    <t>UK Registry ID number is mandatory if the connected installation is covered by the UK ETS, and it has already been covered by the UK ETS before 20 June 2025. HSEs do not have to supply a UK Registry ID number here.</t>
  </si>
  <si>
    <t>UK Registry ID number 
(7 numerical digits)</t>
  </si>
  <si>
    <t>Email address</t>
  </si>
  <si>
    <t>Phone number</t>
  </si>
  <si>
    <t>End</t>
  </si>
  <si>
    <t>Area for functionalities, Constants etc.</t>
  </si>
  <si>
    <t>Green fields are used throughout the template for conditional formatting!</t>
  </si>
  <si>
    <t>Table for conditional formatting:</t>
  </si>
  <si>
    <t>Column Index:</t>
  </si>
  <si>
    <t>Reporting years (default):</t>
  </si>
  <si>
    <t>Reporting years used:</t>
  </si>
  <si>
    <t>Member of period:</t>
  </si>
  <si>
    <t>Period chosen:</t>
  </si>
  <si>
    <t>Year relevant:</t>
  </si>
  <si>
    <t>CNTR_HasEntries_A_I:</t>
  </si>
  <si>
    <t>Used for formatting and Error messages.</t>
  </si>
  <si>
    <t>List of Sub-installations for drop-downlists:</t>
  </si>
  <si>
    <t>Sub-installation type</t>
  </si>
  <si>
    <t>Product BM?</t>
  </si>
  <si>
    <t>BM no.</t>
  </si>
  <si>
    <t>Start date</t>
  </si>
  <si>
    <t>&lt; 1 year?</t>
  </si>
  <si>
    <t>CL exposed?</t>
  </si>
  <si>
    <t>Unit of HAL</t>
  </si>
  <si>
    <t>For formatting of capacity list:</t>
  </si>
  <si>
    <t>CNTR_ExistSubInstEntries</t>
  </si>
  <si>
    <t>CNTR_ExistProductSubEntries</t>
  </si>
  <si>
    <t>List of technical connections for drop-downlists:</t>
  </si>
  <si>
    <t>sorted line</t>
  </si>
  <si>
    <t>interim value</t>
  </si>
  <si>
    <t>Name of Transfer Entity</t>
  </si>
  <si>
    <t>EUTL-List</t>
  </si>
  <si>
    <t>Type of entity</t>
  </si>
  <si>
    <t>For formatting of connection list:</t>
  </si>
  <si>
    <t>CNTR_ExistConnectionEntries</t>
  </si>
  <si>
    <t>Any error messages?</t>
  </si>
  <si>
    <t>Section II.1</t>
  </si>
  <si>
    <t>Used f. Formatting of navigation panel</t>
  </si>
  <si>
    <t>Section II.2</t>
  </si>
  <si>
    <t>Section III</t>
  </si>
  <si>
    <t>Total:</t>
  </si>
  <si>
    <t>If you have completed "B+C_Emissions Y1 to Y5", this section contains the summary of the emissions and energy content data from the five sheets. If you choose instead to enter aggregated data, the relevant entries must be made in section 2 below.</t>
  </si>
  <si>
    <t>Data displayed here are the automatic summary from data entered in sheets B+C.
In most cases, you will not need to complete (1). It is only if you choose to provide detailed source stream data in Sheets B+C that this section will be automatically filled. You should move to (2) and input aggregated data at installation level.</t>
  </si>
  <si>
    <t>Input aggregated data at installation level here if B+C sheets have not been used</t>
  </si>
  <si>
    <t>If according to section B.I. you are allowed to enter emission totals instead of detailed source stream data, you should complete this section.</t>
  </si>
  <si>
    <t>In such case, please enter below in line with the principles of the MRR 2018.</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</si>
  <si>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 of the FAR.</t>
  </si>
  <si>
    <t>make grey?</t>
  </si>
  <si>
    <t>The operator should update these values with the appropriate fuel-specific values taken from the link below:</t>
  </si>
  <si>
    <t>https://www.legislation.gov.uk/eur/2015/2402/annex/II</t>
  </si>
  <si>
    <t>Calculation results can only be considered correct if complete and consistent data are reported in sections above.</t>
  </si>
  <si>
    <t>Jump Address:</t>
  </si>
  <si>
    <t>Under Article 10 of the FAR, waste gases occurring outside the system boundaries of a product benchmark are considered process emissions.</t>
  </si>
  <si>
    <t>As two process emissions sub-installations (CL and non-CL) can be present in one installation, or different types of waste gases can occur, this “waste gas tool” exists twofold in this template.</t>
  </si>
  <si>
    <t>for E.III:</t>
  </si>
  <si>
    <t>These amounts are automatically calculated based on the figures input above. The formula is described in guidance document UKETS17.</t>
  </si>
  <si>
    <t>(j)</t>
  </si>
  <si>
    <t>Detailed instructions for data entries in this tool can be found at the first copy of this tool (D.IV.1)</t>
  </si>
  <si>
    <t>Period choosen:</t>
  </si>
  <si>
    <t>taken from D.II.2.b</t>
  </si>
  <si>
    <t>CTRL_InputMethodFuelDistribution</t>
  </si>
  <si>
    <t>Fuel benchmark sub-installation "CL" (exposed to a significant risk of Carbon Leakage) and "non-CL" (not exposed to carbon leakage risk). This is subject to revision following completion of the Free Allocation Review.</t>
  </si>
  <si>
    <t>x.</t>
  </si>
  <si>
    <t>xi.</t>
  </si>
  <si>
    <t>xii.</t>
  </si>
  <si>
    <t>If both types of heat input are relevant, "eligible" (self-produced and/or imported from UK ETS installations) and "non-eligible" (import from non-UK ETS or produced from a Nitric acid sub-installation), AND if both types of heat use take place, i.e. "eligible" (internal use and/or export to non- UK ETS) and "non-eligible" (export to UK ETS-Installations), it is necessary to earmark the eligible and non-eligible cases.</t>
  </si>
  <si>
    <t>If this is not feasible, all uses shall be weighted according to the ratio of inputs (UK ETS input : total input) as defined above.</t>
  </si>
  <si>
    <t>Heat exports to installations covered by the UK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</si>
  <si>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Measurable heat imported from installations covered by the UK ETS:</t>
  </si>
  <si>
    <t>Measurable heat imported from installations and entities not covered by the UK ETS (not eligible for heat benchmark):</t>
  </si>
  <si>
    <t>Measurable heat produced from net electricity</t>
  </si>
  <si>
    <t>%</t>
  </si>
  <si>
    <t>xiii.</t>
  </si>
  <si>
    <t>xiv.</t>
  </si>
  <si>
    <t>(k)</t>
  </si>
  <si>
    <t>(l)</t>
  </si>
  <si>
    <t>(m)</t>
  </si>
  <si>
    <t>Net amount of measurable heat exported for the purpose of district heating:</t>
  </si>
  <si>
    <t>(n)</t>
  </si>
  <si>
    <t>(o)</t>
  </si>
  <si>
    <t>(p)</t>
  </si>
  <si>
    <t>(q)</t>
  </si>
  <si>
    <t>CTRL_InputMethodHeatSubInstSplit</t>
  </si>
  <si>
    <t>(r)</t>
  </si>
  <si>
    <t>CNTR_ProdElec</t>
  </si>
  <si>
    <t>Note that this question applies to all installations and is not directly related to whether the installation is an “electricity generator” within the meaning of Article 2c of the FAR. The remainder of this Section is only relevant for installations that produce electricity (i.e. those that have selected ‘True’ in (a)).</t>
  </si>
  <si>
    <t>make conditional?</t>
  </si>
  <si>
    <t>taken from E.II.r</t>
  </si>
  <si>
    <t>Needed for G.I.1.a</t>
  </si>
  <si>
    <t>Needed for G.I.2.a</t>
  </si>
  <si>
    <t>taken from E.I.1.c</t>
  </si>
  <si>
    <t>Needed for G.I.3.a</t>
  </si>
  <si>
    <t>Needed for G.I.4.a</t>
  </si>
  <si>
    <t>These are auxiliary calculations for the heat balance:</t>
  </si>
  <si>
    <t>Start (up to section e)</t>
  </si>
  <si>
    <t>amount eligible (i.e. not coming from non-ETS):</t>
  </si>
  <si>
    <t>amount non-eligible</t>
  </si>
  <si>
    <t>Electricity production:</t>
  </si>
  <si>
    <t>amount eligible:</t>
  </si>
  <si>
    <t>AFTER electricity production:</t>
  </si>
  <si>
    <t>Product benchmarks</t>
  </si>
  <si>
    <t>AFTER product benchmarks:</t>
  </si>
  <si>
    <t>Export to ETS installations (considered 100% eligible)</t>
  </si>
  <si>
    <t>AFTER export to ETS installations:</t>
  </si>
  <si>
    <t>Print area:</t>
  </si>
  <si>
    <t>Start of aggregation</t>
  </si>
  <si>
    <t>Errors?</t>
  </si>
  <si>
    <t>indicator for cond. format.</t>
  </si>
  <si>
    <t>Usually this is the production data of the product, e.g. tonnes of grey cement clinker or tonnes of glass bottles, as defined by Annex I of the FAR.</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</si>
  <si>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under the third sub-paragraph of Article 15(7) of the FAR.</t>
  </si>
  <si>
    <t xml:space="preserve">Corresponding entries are required in column N for that year which will be 2024. </t>
  </si>
  <si>
    <t>make grey? (column N)</t>
  </si>
  <si>
    <t>for BM value</t>
  </si>
  <si>
    <t>Make grey?</t>
  </si>
  <si>
    <t>Indicator</t>
  </si>
  <si>
    <t>avg16-17|21-22</t>
  </si>
  <si>
    <t>AVERAGE</t>
  </si>
  <si>
    <t>Special reporting?</t>
  </si>
  <si>
    <t>According to Article 22 of the FAR, the "direct emissions", the net amount of "imported heat" and the "relevant electricity consumption" are needed.</t>
  </si>
  <si>
    <t>Make tool grey?</t>
  </si>
  <si>
    <t>Direct:</t>
  </si>
  <si>
    <t>According to Article 21 of the FAR, an amount of emissions has to be deducted from the preliminary annual allocation from product-benchmark sub-installations.</t>
  </si>
  <si>
    <t>Please enter the appropriate values here. Note that the values have to be consistent with the sub-totals for import from non-UK ETS under point E.II.c in sheet "E_Energy flows".</t>
  </si>
  <si>
    <t>A product benchmark can encompass several similar products (or product groups). In some cases intermediates can be relevant for allocation purposes. The relevant products must be identified here in order to allow the regulator to check if the boundaries defined for this product benchmark are respected.</t>
  </si>
  <si>
    <t>A list of PRODCOM codes, as took effect in domestic law in 2020, can be found at:</t>
  </si>
  <si>
    <t>https://www.legislation.gov.uk/eur/2019/1933</t>
  </si>
  <si>
    <t>PRODCOM 2019</t>
  </si>
  <si>
    <t>Data required for determining benchmarks</t>
  </si>
  <si>
    <t>This sub-section covers the attribution of emissions related to source streams, emissions sources, import and export of measurable heat and waste gases including heat losses in accordance with section 10 of Annex VII of the FAR.</t>
  </si>
  <si>
    <t>Please note that further information should be sought in 'UKETS13 FAR - Monitoring and reporting in relation to the free allocation rules'</t>
  </si>
  <si>
    <t>Please refer to the UKETS13 guidance document for more information.</t>
  </si>
  <si>
    <t>Data provided here will impact the attributable emissions in accordance with the FAR.</t>
  </si>
  <si>
    <t>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</si>
  <si>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MRR Regulation that is combustible and for which a net calorific value can be determined. The weighted emission factor corresponds to the accumulated emissions from the fuels divided by the total energy content.</t>
  </si>
  <si>
    <t>Data provided here will impact the attributable emissions in accordance with section 10.1.1 of Annex VII to the FAR.</t>
  </si>
  <si>
    <t>Error messages?</t>
  </si>
  <si>
    <t xml:space="preserve"> %</t>
  </si>
  <si>
    <t>xv.</t>
  </si>
  <si>
    <t>xvi.</t>
  </si>
  <si>
    <t>xvii.</t>
  </si>
  <si>
    <t>xviii.</t>
  </si>
  <si>
    <t>As required by paragraph 3.1(k) of Annex IV to the FAR, please provide here the amount of transferred CO2 imported from or exported to other sub-installations, installations or other entities, in line with the rules set out in the MRR.</t>
  </si>
  <si>
    <t>Data provided here will impact the attributable emissions in accordance with sections 10.1.2 and 10.1.3 of Annex VII to the FAR.</t>
  </si>
  <si>
    <t>This includes the total amount of heat either produced in, imported from or exported to (sub-)installations covered by the UK ETS or from installations or entities not covered by the UK ETS. The specific emission factors (EF) associated with the heat should take into account the provisions in FAR Annex VII sections 8 and 10, in particular sections 10.1.2 and 10.1.3 thereof.</t>
  </si>
  <si>
    <t>1000Nm3/year</t>
  </si>
  <si>
    <t>for allocation reduction for flaring as of 2026:</t>
  </si>
  <si>
    <t>Data provided here will impact the attributable emissions in accordance with section 10.1.5 of Annex VII to the FAR.</t>
  </si>
  <si>
    <t>xix.</t>
  </si>
  <si>
    <t>xx.</t>
  </si>
  <si>
    <t>xxi.</t>
  </si>
  <si>
    <t>xxii.</t>
  </si>
  <si>
    <t>xxiii.</t>
  </si>
  <si>
    <t>xxiv.</t>
  </si>
  <si>
    <t>xxv.</t>
  </si>
  <si>
    <t>xxvi.</t>
  </si>
  <si>
    <t>Data provided here will impact the attributable emissions in accordance with section 10 of Annex VII to the FAR.</t>
  </si>
  <si>
    <t>This includes electricity that is produced directly from this sub-installation as required by Paragraph 3.1(i) of Annex IV to the FAR. Any electricity that is produced via intermediate measurable heat should not be listed here but under export of measurable heat under (k).v. above.</t>
  </si>
  <si>
    <t>Pursuant to Paragraph 2.4(k) of Annex IV to the FAR, the total amount of pulp produced for the short fibre kraft pulp, long fibre kraft pulp, thermo-mechanical pulp and mechanical pulp, sulphite pulp product benchmark sub-installations should be reported.</t>
  </si>
  <si>
    <t>In order to avoid any double counting or gaps in attributed emissions when determining the updated benchmarks, Paragraph 2.7(d) of Annex IV to the FAR require you to report any import or export of intermediary products covered by any of the product benchmarks listed in Annex I to the FAR.</t>
  </si>
  <si>
    <t>for dynamic print area</t>
  </si>
  <si>
    <t>A list of PRODCOM 2019 codes can be found at:</t>
  </si>
  <si>
    <t>Sum of measurable heat from non-ETS imports for further use in sheet "E_EnergyFlows":</t>
  </si>
  <si>
    <t>Search criterion</t>
  </si>
  <si>
    <t>Number of non-empty relevant cells</t>
  </si>
  <si>
    <t>Measurable heat aggregated</t>
  </si>
  <si>
    <t>for use in section E.II</t>
  </si>
  <si>
    <t>Sum of exchangable electricity for corroboration use in sheet "E_EnergyFlows":</t>
  </si>
  <si>
    <t>for use in section E.III.1.f</t>
  </si>
  <si>
    <t>BM1</t>
  </si>
  <si>
    <t>BM2</t>
  </si>
  <si>
    <t>BM3</t>
  </si>
  <si>
    <t>BM4</t>
  </si>
  <si>
    <t>BM5</t>
  </si>
  <si>
    <t>BM6</t>
  </si>
  <si>
    <t>BM7</t>
  </si>
  <si>
    <t>BM8</t>
  </si>
  <si>
    <t>BM9</t>
  </si>
  <si>
    <t>BM10</t>
  </si>
  <si>
    <t>value needed for conditional formatting</t>
  </si>
  <si>
    <t>District heating sub-installation</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</si>
  <si>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to the FAR.</t>
  </si>
  <si>
    <t>Corresponding entries are required in column N for that year which will be 2024. However, since the annual production for that year will not be known at the time of the BDR submission, entries here can only be done at a later stage</t>
  </si>
  <si>
    <t>Identify and use only relevant years here:</t>
  </si>
  <si>
    <t xml:space="preserve">-  </t>
  </si>
  <si>
    <t>A list of PRODCOM codes can be found at:</t>
  </si>
  <si>
    <t xml:space="preserve">PRODCOM </t>
  </si>
  <si>
    <t>Data required for the determination of the benchmark improvement rate pursuant to Article 10 of the FAR.</t>
  </si>
  <si>
    <t>This sub-section covers the attribution of emissions related to source streams, emissions sources, import and export of measurable heat and waste gases including heat losses in accordance with section 10 of Annex VII to the FAR.</t>
  </si>
  <si>
    <t>Please note that although some guidance is provided for each of the points below, further information should be sought in  UKETS 13 ("Monitoring and Reporting  in relation to the FAR") which also includes examples.</t>
  </si>
  <si>
    <t>Please refer to the UKETS13 guidance for more information.</t>
  </si>
  <si>
    <t>As required by Paragraph 2.4(a) of Annex IV to the FAR, please provide the total fuel input and a corresponding weighted emission factor taking into account the related energy content of each fuel.</t>
  </si>
  <si>
    <t>The term "fuel" should be understood as any source stream in accordance with the MRR that is combustible and for which a net calorific value can be determined. The weighted emission factor corresponds to the accumulated emissions from the fuels, including those used to produce measurable heat, divided by the total energy content.</t>
  </si>
  <si>
    <t xml:space="preserve">Please enter here the measurable heat produced pursuant to section 3.2(a) of Annex IV to the FAR. </t>
  </si>
  <si>
    <t>Do not include here any heat imports from "non-eligible" sources, i.e. installations not covered by the UK ETS, or heat produced in nitric acid sub-installations.</t>
  </si>
  <si>
    <t>FB1</t>
  </si>
  <si>
    <t>FB2</t>
  </si>
  <si>
    <t>FB3</t>
  </si>
  <si>
    <t>FB4</t>
  </si>
  <si>
    <t>FB5</t>
  </si>
  <si>
    <t>FB6</t>
  </si>
  <si>
    <t>FB7</t>
  </si>
  <si>
    <t>This tool helps you determine the HAL (historical activity levels) for the refinery benchmark (Annex III point 1 to the FAR).</t>
  </si>
  <si>
    <t>BM number:</t>
  </si>
  <si>
    <t>Jump info:</t>
  </si>
  <si>
    <t>For the definition and boundaries of each CWT function please see Paragraph 1 of Annex II to the FAR.</t>
  </si>
  <si>
    <t>F</t>
  </si>
  <si>
    <t>R</t>
  </si>
  <si>
    <t>P</t>
  </si>
  <si>
    <t>SG</t>
  </si>
  <si>
    <t>Important note:  In accordance with Annex II to the FAR, the units for reporting are kilotonnes throughput.</t>
  </si>
  <si>
    <t>P (MNm3 O2)</t>
  </si>
  <si>
    <t>F (MNm3)</t>
  </si>
  <si>
    <t>kW</t>
  </si>
  <si>
    <t>Here the refinery activity level is calculated using the formula given in Paragraph 1 of Annex III to the FAR (before determining the average value).</t>
  </si>
  <si>
    <t>Therefore the results below are multiplied with a factor of 1000, which is not explicitly mentioned in Paragraph 1 of Annex III to the FAR.</t>
  </si>
  <si>
    <t>This tool helps you determine the HAL (historical activity levels) for the lime benchmark (Paragraph 2 of Annex III to the FAR)</t>
  </si>
  <si>
    <t>Pursuant to Paragraph 2 of Annex III to the FAR, the following data is required:</t>
  </si>
  <si>
    <t>m(CaO)</t>
  </si>
  <si>
    <t>m(MgO)</t>
  </si>
  <si>
    <t>Here the corrected lime activity level is calculated using the formula given in Paragraph 2 of Annex III to the FAR (before determining the average value).</t>
  </si>
  <si>
    <t>This tool helps you determine the HAL (historical activity levels) for the Dolime benchmark (Paragraph 3 of Annex III to the FAR). It is not to be used for "sintered dolime".</t>
  </si>
  <si>
    <t>Pursuant to Paragraph 3 of Annex III to the FAR, the following data is required:</t>
  </si>
  <si>
    <t>Here the corrected dolime activity level is calculated using the formula given in Paragraph 3 of Annex III to the FAR (before determining the average value).</t>
  </si>
  <si>
    <t>This tool helps you determine the HAL (historical activity levels) for the steam cracking benchmark (Paragraph 4 of Annex III to the FAR).</t>
  </si>
  <si>
    <t>Pursuant to Paragraph 4 of Annex III to the FAR, the following data is required:</t>
  </si>
  <si>
    <t>Here the corrected activity level (net amount HVC) is calculated using the formula given in Paragraph 4 of Annex III to the FAR, Annex III point 4 (before determining the average value).</t>
  </si>
  <si>
    <t>Steam cracking tool part 2: Preliminary allocation (Article 19 to the FAR)</t>
  </si>
  <si>
    <t>This tool helps you determine the preliminary allocation for the steam cracking sub-installation (Article 19 to the FAR).</t>
  </si>
  <si>
    <t>The data is automatically taken from section IV.1.c above. The multipliers are taken from Article 19 to the FAR.</t>
  </si>
  <si>
    <t>Identify and use only relevant years here (relevant = full baseline period):</t>
  </si>
  <si>
    <t>This tool helps you determine the HAL (historical activity levels) for the aromatics benchmark (Paragraph 5 of Annex III to the FAR)</t>
  </si>
  <si>
    <t>For the definition and boundaries of each CWT function please see Paragraph 2 of Annex II to the FAR.</t>
  </si>
  <si>
    <t>Here the aromatics activity level is calculated using the formula given in Paragraph 5 of Annex III to the FAR (before determining the average value).</t>
  </si>
  <si>
    <t>Therefore the results below are multiplied with a factor of 1000, which is not explicitly mentioned in Paragraph 5 of Annex III to the FAR.</t>
  </si>
  <si>
    <t>This tool helps you determine the HAL (historical activity levels) for the hydrogen benchmark (Paragraph 6 of Annex III to the FAR).</t>
  </si>
  <si>
    <t>Here the corrected activity level (100% hydrogen) is calculated using the formula given in Paragraph 6 of Annex III to the FAR (before determining the average value).</t>
  </si>
  <si>
    <t>This tool helps you determine the HAL (historical activity levels) for the synthesis gas benchmark (Paragraph 7 of Annex III to the FAR).</t>
  </si>
  <si>
    <t>Here the corrected activity level (referring to 47% H2) is calculated using the formula given in Paragraph 7 of Annex III to the FAR (before determining the average value).</t>
  </si>
  <si>
    <t>This tool helps you determine the HAL (historical activity levels) for the ethylene oxide / ethylene glycols benchmark (Paragraph 8 of Annex III to the FAR).</t>
  </si>
  <si>
    <t>CF(EOE)</t>
  </si>
  <si>
    <t>The historical activity level expressed in tonnes of ethylene oxide equivalents is calculated using the formula given in Paragraph 8 of Annex III to the FAR.</t>
  </si>
  <si>
    <t>Vinyl chloride monomer tool: Preliminary allocation (Article 20 to the FAR)</t>
  </si>
  <si>
    <t>This tool helps you determine the preliminary allocation for the vinyl chloride monomer ("VCM") sub-installation (Article 20 to the FAR).</t>
  </si>
  <si>
    <t>Determine relevant data (relevant=full baseline period, all years!)</t>
  </si>
  <si>
    <t>Direct emissions</t>
  </si>
  <si>
    <t>Total emissions</t>
  </si>
  <si>
    <t>I. 
Specific</t>
  </si>
  <si>
    <t>Sheet "Specific" -  ADDITIONAL DATA REQUIREMENTS</t>
  </si>
  <si>
    <t>1</t>
  </si>
  <si>
    <t>If the installation began regulated activity between 2 January 2021 and 1 January 2024, in addition to the reportable emissions data on Sheet D.1.2, please input your 2024 reportable emissions data:</t>
  </si>
  <si>
    <t xml:space="preserve">tCO2 </t>
  </si>
  <si>
    <t>Please confirm that you have inputted the reportable emissions data onto D.1.2:</t>
  </si>
  <si>
    <t>HSE applicants should  answer the relevant questions relating to their Condition, in addition to the information already supplied in the ‘Installation Data’ sheet in which the operator has demonstrated that their reportable emissions do not exceed the maximum amount.</t>
  </si>
  <si>
    <t>Under paragraph 5 of Schedule 7 to the UK ETS Order, the following types of installation are eligible to apply for HSE status for the 2026-2030 period:</t>
  </si>
  <si>
    <t>Installations which meet one of the following: 
Condition A: The installation primarily provides services to a hospital in the 2024 scheme year or, where a regulated activity has not begun to be carried out at the installation at the date of the application, it will begin to be carried out before 1st November 2025 and the installation will primarily provide services to a hospital, 
Condition B: Where the activity referred to in column 1 of the first entry in table C in Schedule 2 (combustion of fuels) is carried out at the installation the thermal input is below 35 megawatts in 2021, 2022 and 2023, 
Condition C: The installation’s reportable emissions are not likely to exceed the maximum amount in each scheme year in the 2026-2030 period and, where combustion of fuels is carried out, the installation’s rated thermal input is likely to be below 35MW in each scheme year in the 2026-2030 period. If a regulated activity has already begun to be carried out, the installation’s reportable emissions were below the maximum amount and, where combustion of fuels is carried out, the installation’s rated thermal input has been below 35MW in each scheme year the installation has been in operation.</t>
  </si>
  <si>
    <t>If applying for HSE status, please select the condition listed in Schedule 7 to the UK ETS Order the HSE meets:</t>
  </si>
  <si>
    <t>You must also complete HSE section in Sheet I to submit all information required for your application to be valid. Operators should check the UK ETS Order to ensure they meet the HSE criteria listed in the legislation.</t>
  </si>
  <si>
    <t>If applying under Condition A:</t>
  </si>
  <si>
    <t>Please provide your rated thermal input in each of these years: 2021, 2022 and 2023.</t>
  </si>
  <si>
    <t>MW</t>
  </si>
  <si>
    <t>If you do not hold evidence for reportable emissions for a complete scheme year, please provide an estimate of your reportable emissions in the 2026 scheme year.</t>
  </si>
  <si>
    <t>If applying under Condition B:</t>
  </si>
  <si>
    <t>If applying under Condition C:</t>
  </si>
  <si>
    <t>Please provide your rated thermal input in each of the years for which evidence is available: 2021, 2022,2023 and/or 2024.</t>
  </si>
  <si>
    <t>If you do not hold evidence for reportable emissions for a complete scheme year, please provide an estimate of emissions in the 2026 scheme year.</t>
  </si>
  <si>
    <t>tCO2</t>
  </si>
  <si>
    <t>If your installation has been operating in 2024, please provide your 2024 reportable emissions.</t>
  </si>
  <si>
    <t>If your installation has not been operating throughout the entirety of 2024, please still provide your reportable emissions to cover the months of operation.</t>
  </si>
  <si>
    <t>Are the installation’s reportable emissions likely to be below the maximum amount AND, where combustion of fuels is carried out, is the installation likely to have a rated thermal input of below 35MW in each of the 2026-2030 scheme years?</t>
  </si>
  <si>
    <t>For all Conditions:</t>
  </si>
  <si>
    <t>Please confirm which verified emissions reports or self-declared emissions reports have previously been sent to your regulator and please confirm that this should be considered as part of your evidence that you meet Condition A, B or C.</t>
  </si>
  <si>
    <t>Confirmation:</t>
  </si>
  <si>
    <t>If you haven’t provided verified/self-declared reports nor evidence of thermal input to your regulator before, please list the evidence that you are providing for the first time.</t>
  </si>
  <si>
    <t xml:space="preserve">If evidence has been previously submitted in relation to your rated thermal input, please indicate:
- what has been submitted
- where this can be found 
- that this should be considered as part of your evidence that you meet Condition A, B or C.  </t>
  </si>
  <si>
    <t>This section of the BDR template is to help operators assess whether they may be eligible for free allocation. This should be treated as indicative. The operator should use their own data sets to confirm whether they are eligible for FA. Please communicate with your regulator if you would like to discuss your circumstances.</t>
  </si>
  <si>
    <t>Are you an electricity generator in accordance with Article 2c(3) of the FAR?</t>
  </si>
  <si>
    <t>This means that:
(a)       in the baseline period the installation produced electricity for sale for consumption outside the installation, and 
(b)       the regulated activity is combustion of fuels and no other regulated activity (apart from carbon capture and storage activities) is carried out.</t>
  </si>
  <si>
    <t xml:space="preserve">If you have answered True to question 1, does the electricity produced for sale for consumption outside the installation in the baseline period meet one of the following, as set out in Article 2c(4) FAR? </t>
  </si>
  <si>
    <t xml:space="preserve">This means that either:  </t>
  </si>
  <si>
    <t xml:space="preserve">it is ‘relevant CHP electricity’, which means electricity produced by a cogeneration unit certified under the Combined Heat and Power Quality Assurance Programme (CHPQA) that produces electricity for consumption at the installation (and may also produce electricity for sale outside the installations), or </t>
  </si>
  <si>
    <t>it represents no more than 5% of the total electricity (not including relevant CHP electricity) produced at the installation in the baseline period.</t>
  </si>
  <si>
    <t>Application for FA due to Article 2b of the FAR</t>
  </si>
  <si>
    <t>If you do meet the definition of electricity generator in Article 2c, will you stop producing any electricity (other than relevant CHP electricity) for sale for consumption outside the installation from the date of your application for FA and ending with 31 December 2030 (see Article 2b of the FAR)?</t>
  </si>
  <si>
    <t>If the answer to (3) is True, please provide a statement that you will not produce electricity for sale for consumption outside the installation between the date of your FA application and 31 December 2030, and the date on which you stopped producing electricity.</t>
  </si>
  <si>
    <t>If the answer to (3) is True, please indicate where evidence provided in support of this statement can be found.</t>
  </si>
  <si>
    <t>Evidence that installation does not meet the definition of electricity generator</t>
  </si>
  <si>
    <t>The table below includes data taken from other Sheets of the BDR to summarise your relevant CHP electricity in relation to your total electricity, which might help you to indicate whether you may be eligible to apply to receive free allocation pursuant to Article 2c(4)(a) or Article 2c(4)(b) of the FAR.</t>
  </si>
  <si>
    <t>•
•
•</t>
  </si>
  <si>
    <r>
      <t xml:space="preserve">Rows (i) and (ii) will pull the relevant data from Net Electricity produced from Fuels in Sheet E Energy Flows. 
Row (iii) will pull the relevant CHP electricity from Electricity output from CHP in Sheet D Emissions. Please ensure that you have entered data in these Sheets first. 
</t>
    </r>
    <r>
      <rPr>
        <b/>
        <sz val="8"/>
        <color rgb="FF333399"/>
        <rFont val="Arial"/>
        <family val="2"/>
      </rPr>
      <t>Row (iv) will show whether, using previous inputs,  your relevant CHP electricity is equal to or greater than your electricity exported, which may indicate that you are eligible to apply for FA under Article 2c 4(a). 
Row (v) will show whether, using previous inputs, the electricity exported is 5% or less than the total electricity (minus relevant CHP electricity). This may indicate that you are eligible to apply for FA under Article 2c(4)(b).
The totals will show whether this provision is met across the baseline period.</t>
    </r>
  </si>
  <si>
    <t xml:space="preserve">Total </t>
  </si>
  <si>
    <t>i</t>
  </si>
  <si>
    <t>Net electricity produced from fuels</t>
  </si>
  <si>
    <t>MWh / year</t>
  </si>
  <si>
    <t>ii</t>
  </si>
  <si>
    <t xml:space="preserve">Electricity exported </t>
  </si>
  <si>
    <t>iii</t>
  </si>
  <si>
    <t>Relevant CHP electricity</t>
  </si>
  <si>
    <t>iv</t>
  </si>
  <si>
    <t>Indicative assessment that Article 2c 4(a) criteria will be met</t>
  </si>
  <si>
    <t>v</t>
  </si>
  <si>
    <t xml:space="preserve">Indicative assessment that Article 2c 4(b) criteria will be met </t>
  </si>
  <si>
    <t>Confirm whether all of the 'relevant CHP electricity' produced by a cogeneration unit (in row iii of the table) is certified under the standard applying from time to time for the purposes of the Combined Heat and Power Quality Assurance Programme that produces electricity for consumption at the installation (and may also produce electricity for sale for consumption outside the installation).</t>
  </si>
  <si>
    <t>If you disagree with the indicative assessments made on QII.6.iv or QII.6.v please provide an explanation:</t>
  </si>
  <si>
    <t xml:space="preserve">If relevant, please submit supporting evidence that electricity was produced at a cogeneration unit certified under the standard applying from time to time for the purposes of the CHPQA Programme. CHPQA certification is needed for each year of the baseline period. Please indicate where this information can be viewed. </t>
  </si>
  <si>
    <t>FA for electricity generator in relation to measurable heat</t>
  </si>
  <si>
    <t>Do you currently, or intend to, produce measurable heat by means of high efficiency cogeneration or export measurable heat for the purposes of district heating?</t>
  </si>
  <si>
    <t>If the answer to (9) is True you may make an application for FA under the heat BM (and for district heating if relevant) if you meet the relevant criteria.</t>
  </si>
  <si>
    <t xml:space="preserve">This means that either: </t>
  </si>
  <si>
    <t>CHP production from CHP units shall provide primary energy savings (PES) calculated according to point (b) of Annex II of at least 10% compared with the references for separate production of heat and electricity, or</t>
  </si>
  <si>
    <t>production from small-scale and micro-CHP units providing primary energy savings may qualify as high-efficiency CHP.</t>
  </si>
  <si>
    <t>If relevant, your primary energy savings are indicated below:</t>
  </si>
  <si>
    <t xml:space="preserve">Average CHP Hη </t>
  </si>
  <si>
    <t>Average REF Hη</t>
  </si>
  <si>
    <t>Average CHP Eη</t>
  </si>
  <si>
    <t xml:space="preserve">Average REF Eη </t>
  </si>
  <si>
    <t>If you disagree with the primary energy savings indicated above, please provide an explanation:</t>
  </si>
  <si>
    <t>If relevant, please indicate where your regulator can find CHPQA certification which will be needed for each year of the baseline period.</t>
  </si>
  <si>
    <t xml:space="preserve">Please select True or False to indicate whether you wish to make an application to apply for FA from 2026. </t>
  </si>
  <si>
    <t xml:space="preserve">If you answer ‘True’ and are satisfied that you meet the FA eligibility criteria, please continue to complete the BDR. </t>
  </si>
  <si>
    <t>If needed, check with your Regulator if other file formats than the ones mentioned above are acceptable.</t>
  </si>
  <si>
    <t>In space below you can enter all information which was not suitable for input in other sheets and which you consider important for the regulator.</t>
  </si>
  <si>
    <t>UK ETS Permit number provided by your UK regulator</t>
  </si>
  <si>
    <t>Included in UK ETS before:</t>
  </si>
  <si>
    <t>HSE eligibility</t>
  </si>
  <si>
    <t>USE eligibility</t>
  </si>
  <si>
    <t>Activities according to Table C of para 3 of Schedule 2 to the UK ETS Order:</t>
  </si>
  <si>
    <t>1.</t>
  </si>
  <si>
    <t>2.</t>
  </si>
  <si>
    <t>3.</t>
  </si>
  <si>
    <t>4.</t>
  </si>
  <si>
    <t>5.</t>
  </si>
  <si>
    <t>6.</t>
  </si>
  <si>
    <t>Installation covered by Article 2a of the FAR</t>
  </si>
  <si>
    <t>CNTR_ApplyLinF</t>
  </si>
  <si>
    <t>CNTR_ConfirmationOK</t>
  </si>
  <si>
    <t>Installation is eligible for free allocation under Article 2a of the FAR.</t>
  </si>
  <si>
    <t>CNTR_Eligible10a</t>
  </si>
  <si>
    <t>=</t>
  </si>
  <si>
    <t>+/-</t>
  </si>
  <si>
    <t>+</t>
  </si>
  <si>
    <t>Emissions associated with imported heat in accordance with sections 10.1.2 and 10.1.3 of Annex VII to the FAR</t>
  </si>
  <si>
    <t>Emissions associated with exported heat in accordance with sections 10.1.2 and 10.1.3 of Annex VII to the FAR</t>
  </si>
  <si>
    <t>Emissions associated with imported waste gases in accordance with section 10.1.5 of Annex VII to the FAR</t>
  </si>
  <si>
    <t>Emissions associated with exported waste gases in accordance with section 10.1.5 of Annex VII to the FAR by deducting the energy content multiplied with the emission factor of natural gas and the default correction factor of 0.667</t>
  </si>
  <si>
    <t>no calculation if heatBM or fuelBM needs to be applied:</t>
  </si>
  <si>
    <t>Value of the benchmark according to Annex I to the FAR. For the draft preliminary application, values used are either the indicative minimum or the maximum values as shown included in each sub-installation's overview table below.</t>
  </si>
  <si>
    <t>ElExch?</t>
  </si>
  <si>
    <t>ElExch-F</t>
  </si>
  <si>
    <t>HVC-Corr</t>
  </si>
  <si>
    <t>VCM-F</t>
  </si>
  <si>
    <t>The actual preliminary annual number of emission allowances taking into account the actual benchmark value for this sub-installation. For the initial BDR this value cannot be determined, but only at a later stage, once the benchmark values for each allocation period have been published.</t>
  </si>
  <si>
    <t>Dont touch!</t>
  </si>
  <si>
    <t>sub-inst-No</t>
  </si>
  <si>
    <t>Name</t>
  </si>
  <si>
    <t>CL-status</t>
  </si>
  <si>
    <t>Prelim Alloc</t>
  </si>
  <si>
    <t>CL-value for Y1:</t>
  </si>
  <si>
    <t>Alloc (min)</t>
  </si>
  <si>
    <t>Alloc (max)</t>
  </si>
  <si>
    <t>Alloc (actual)</t>
  </si>
  <si>
    <t>HAL total</t>
  </si>
  <si>
    <t>Prelim Alloc Y1</t>
  </si>
  <si>
    <t>UKA / year</t>
  </si>
  <si>
    <t>Specific EF (heat export)</t>
  </si>
  <si>
    <t>end of sum</t>
  </si>
  <si>
    <t>In this section you can see a summary of preliminary allocation values for the next allocation period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</si>
  <si>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As at the time of submitting the data to the regulator, the updated benchmark values are not yet available, you can get an indication of the order of magnitude of the expected allocation by selecting either the "minimum" or "maximum" benchmark values in point 1.a below.</t>
  </si>
  <si>
    <t>The calculation takes into account, if the installation is covered by Article 2a of the FAR, i.e. if it is an electricity generator or an installation for (a) the capture of greenhouse gases from a regulated activity for the purpose of transport and geological storage in a storage site; (b) the transport of greenhouse gases by pipelines for geological storage in a storage site; (c) the geological storage of greenhouse gases in a storage site. Pursuant to Article 16 of the FAR, the allocation of such installations has to be corrected by applying the linear factor and is taken into account here.</t>
  </si>
  <si>
    <t>The preliminary allocation of all other installations (those not covered by Article 2a(3) of the FAR) has to be multiplied by the cross-sectoral correction factor as determined in accordance with Article 16a of the FAR. This factor will be calculated by the UK ETS Authority as soon as all regulators have submitted the baseline data reports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</si>
  <si>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regulator, no cross sectoral-correction factor is to be entered.</t>
  </si>
  <si>
    <t>Disclaimer: According to Article 16(2) of the FAR, regulators are required to determine the preliminary number of emission allowances allocated free of charge to each installation applying for free allocation. The UK ETS Authority must then approve the final annual number allowances. The indicative FA values produced by the BDR template may be subject to revision following the publication of any changes to the FA rules resulting from the Free Allocation Review.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</si>
  <si>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preliminary annual number of allowances allocated free of charge in accordance with paragraphs 1 to 7 of Article 16 to the FAR, i.e. the factors referred to in Annex V to the FAR (referred to as "Carbon leakage factor" below) have already been applied. Pursuant to Article 16(3) to the FAR, for the district heating sub-installation this factor will be 0.3 for all years.</t>
  </si>
  <si>
    <t>Actual</t>
  </si>
  <si>
    <t>CNTR_MinMaxActual</t>
  </si>
  <si>
    <t>prelim alloc</t>
  </si>
  <si>
    <t>CL?</t>
  </si>
  <si>
    <t>Linear factor referred to in Article 16a of the FAR</t>
  </si>
  <si>
    <t>Cross-sectoral correction factor (CSCF) in accordance with Article 16a of the FAR</t>
  </si>
  <si>
    <t>For the purpose of your own information, as explained above, you can enter values for the cross-sectoral uniform correction factor in accordance with Article 16a of the FAR here. The default value is 1, until the UK ETS Authority has published the final value in accordance with Article 16a of the FAR.</t>
  </si>
  <si>
    <t>When submitting this report to the regulator for the purpose of establishing the BDR measures, make sure that no data is entered here.</t>
  </si>
  <si>
    <t>For installations covered by Article 16a of the FAR, the linear factor displayed in point (a) has to be applied for each year unless the CSCF displayed in point (b) is lower than 1. In such case, the CSCF has to be applied for any such year.</t>
  </si>
  <si>
    <t>For installations not covered by Article 16a, the CSCF displayed in point (b) will be applied for each year.</t>
  </si>
  <si>
    <t xml:space="preserve"> Calculation in accordance with Article 16(2) of the FAR</t>
  </si>
  <si>
    <t>The amounts displayed here reflect the calculation of the final total amount of allowances allocated free of charge in accordance with Article 16(2)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</si>
  <si>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 xml:space="preserve">&lt;&lt;&lt; END OF TEMPLATE &gt;&gt;&gt; </t>
  </si>
  <si>
    <t>EUconst_StatusOfDataCollection</t>
  </si>
  <si>
    <t>EUconst_ReportingYears</t>
  </si>
  <si>
    <t>EUconst_AllYears</t>
  </si>
  <si>
    <t>EUconst_BaselinePeriods</t>
  </si>
  <si>
    <t>2014-2018</t>
  </si>
  <si>
    <t>EUconst_TrueFalse</t>
  </si>
  <si>
    <t>EUconst_TrueFalseNA</t>
  </si>
  <si>
    <t>EUconst_AbsRel</t>
  </si>
  <si>
    <t>EUconst_NA</t>
  </si>
  <si>
    <t>EUconst_EUA</t>
  </si>
  <si>
    <t>UKA</t>
  </si>
  <si>
    <t>EUconst_Unit</t>
  </si>
  <si>
    <t>EUconst_Month</t>
  </si>
  <si>
    <t>EUconst_Fuel</t>
  </si>
  <si>
    <t>EUconst_BM</t>
  </si>
  <si>
    <t>EUconst_BMSubinst</t>
  </si>
  <si>
    <t>EUconst_FBSubinst</t>
  </si>
  <si>
    <t>EUconst_Year</t>
  </si>
  <si>
    <t>EUconst_Tons</t>
  </si>
  <si>
    <t>EUconst_TJ</t>
  </si>
  <si>
    <t>TJ</t>
  </si>
  <si>
    <t>EUconst_GJ</t>
  </si>
  <si>
    <t>GJ</t>
  </si>
  <si>
    <t>EUconst_tCO2e</t>
  </si>
  <si>
    <t>t CO2e</t>
  </si>
  <si>
    <t>EUconst_tCO2</t>
  </si>
  <si>
    <t>t CO2</t>
  </si>
  <si>
    <t>EUconst_tN2O</t>
  </si>
  <si>
    <t>t N2O</t>
  </si>
  <si>
    <t>EUconst_TJpa</t>
  </si>
  <si>
    <t>EUconst_MWh</t>
  </si>
  <si>
    <t>MWh</t>
  </si>
  <si>
    <t>EUconst_MWhpa</t>
  </si>
  <si>
    <t>EUconst_t</t>
  </si>
  <si>
    <t>t</t>
  </si>
  <si>
    <t>EUconst_tpa</t>
  </si>
  <si>
    <t>EUconst_EUApa</t>
  </si>
  <si>
    <t>EUconst_EUApt</t>
  </si>
  <si>
    <t>EUconst_GJpt</t>
  </si>
  <si>
    <t>EUconst_GJpa</t>
  </si>
  <si>
    <t>EUconst_tCO2pTJ</t>
  </si>
  <si>
    <t>EUconst_tCO2pa</t>
  </si>
  <si>
    <t>EUconst_tCO2pt</t>
  </si>
  <si>
    <t>EUconst_tN2Opa</t>
  </si>
  <si>
    <t>EUconst_tCO2eptN2O</t>
  </si>
  <si>
    <t>tCO2e/tN2O</t>
  </si>
  <si>
    <t>EUconst_tCO2epa</t>
  </si>
  <si>
    <t>EUconst_tCO2ept</t>
  </si>
  <si>
    <t>EUconst_Or</t>
  </si>
  <si>
    <t>EUconst_relOrTJpa</t>
  </si>
  <si>
    <t>EUconst_relOrMWhpa</t>
  </si>
  <si>
    <t>EUconst_relOrtCO2pa</t>
  </si>
  <si>
    <t>EUconst_ConnectedEntityTypes</t>
  </si>
  <si>
    <t>EUconst_ConnectionTypes</t>
  </si>
  <si>
    <t>EUconst_ConnectionShortTypes</t>
  </si>
  <si>
    <t>CO2</t>
  </si>
  <si>
    <t>EUconst_ConnectionTransferTypes</t>
  </si>
  <si>
    <t>EUconst_WithinInst</t>
  </si>
  <si>
    <t>EUconst_HeatUseTypes</t>
  </si>
  <si>
    <t>EUconst_FuelUseTypes</t>
  </si>
  <si>
    <t>EUconst_ProcessEmissionTypes</t>
  </si>
  <si>
    <t>N2O</t>
  </si>
  <si>
    <t>EUconst_HeatBMvalue</t>
  </si>
  <si>
    <t>EUconst_ElBM</t>
  </si>
  <si>
    <t>EUconst_FuelBMvalue</t>
  </si>
  <si>
    <t>EUconst_BM_ARR_Range</t>
  </si>
  <si>
    <t>EUconst_Relevant</t>
  </si>
  <si>
    <t>EUconst_NotRelevant</t>
  </si>
  <si>
    <t>EUconst_RelevantNotRelevant</t>
  </si>
  <si>
    <t>EUconst_CLnonCL</t>
  </si>
  <si>
    <t>EUconst_kNm3pa</t>
  </si>
  <si>
    <t>EUconst_TonnesOrkNm3pa</t>
  </si>
  <si>
    <t>EUconst_GJperTorKNm3</t>
  </si>
  <si>
    <t>EUconst_tCO2pTJorT</t>
  </si>
  <si>
    <t>EUconst_tCO2pkNm3</t>
  </si>
  <si>
    <t>EUconst_GJperUnit</t>
  </si>
  <si>
    <t>EUconst_MNm3pa</t>
  </si>
  <si>
    <t>EUconst_CWTpa</t>
  </si>
  <si>
    <t>EUconst_Allowances</t>
  </si>
  <si>
    <t>EUconst_ConfirmationNotEligible</t>
  </si>
  <si>
    <t>EUconst_ConfirmApplicationForAlloc</t>
  </si>
  <si>
    <t>EUconst_ConfirmAllowUseOfData</t>
  </si>
  <si>
    <t>EUconst_SumCO2</t>
  </si>
  <si>
    <t>SUM_CO2</t>
  </si>
  <si>
    <t>EUconst_SumTransferCO2</t>
  </si>
  <si>
    <t>SUM_Tranfer_CO2</t>
  </si>
  <si>
    <t>EUconst_SumBioCO2</t>
  </si>
  <si>
    <t>SUM_bioCO2</t>
  </si>
  <si>
    <t>EUconst_SumEnergyIN</t>
  </si>
  <si>
    <t>SUM_EnergyIN</t>
  </si>
  <si>
    <t>EUconst_SumN2O</t>
  </si>
  <si>
    <t>SUM_N2O</t>
  </si>
  <si>
    <t>EUconst_SumPFC</t>
  </si>
  <si>
    <t>SUM_PFC</t>
  </si>
  <si>
    <t>EUconst_CNTR_HAL</t>
  </si>
  <si>
    <t>HAL_</t>
  </si>
  <si>
    <t>EUconst_CNTR_HALspecial</t>
  </si>
  <si>
    <t>HALspecial_</t>
  </si>
  <si>
    <t>EUconst_CNTR_ELEXCH</t>
  </si>
  <si>
    <t>ELEXCH_</t>
  </si>
  <si>
    <t>EUconst_CNTR_ELEXCH_min</t>
  </si>
  <si>
    <t>ELEXCHmin_</t>
  </si>
  <si>
    <t>EUconst_CNTR_ELEXCH_max</t>
  </si>
  <si>
    <t>ELEXCHmax_</t>
  </si>
  <si>
    <t>EUconst_CNTR_HEAT</t>
  </si>
  <si>
    <t>HEAT_</t>
  </si>
  <si>
    <t>EUconst_CNTR_VCM</t>
  </si>
  <si>
    <t>VCM_</t>
  </si>
  <si>
    <t>EUconst_CNTR_HVC</t>
  </si>
  <si>
    <t>HVC_</t>
  </si>
  <si>
    <t>EUconst_HALsum</t>
  </si>
  <si>
    <t>HALsum_</t>
  </si>
  <si>
    <t>EUconst_Error</t>
  </si>
  <si>
    <t>ERR_</t>
  </si>
  <si>
    <t>EUconst_AllocPrelim</t>
  </si>
  <si>
    <t>AllocPrelim_</t>
  </si>
  <si>
    <t>EUconst_Incomplete</t>
  </si>
  <si>
    <t>EUconst_Negative</t>
  </si>
  <si>
    <t>EUconst_Inconsistent</t>
  </si>
  <si>
    <t>EUconst_OK</t>
  </si>
  <si>
    <t>EUconst_DateMissing</t>
  </si>
  <si>
    <t>EUconst_NotEligible</t>
  </si>
  <si>
    <t>EUconst_CNTR_nonETSMeasHeat</t>
  </si>
  <si>
    <t>EUconst_MSlist</t>
  </si>
  <si>
    <t>EUconst_MSlistISOcodes</t>
  </si>
  <si>
    <t>EUconst_MSlistEUTLcodes</t>
  </si>
  <si>
    <t>EUconst_ERR_Mandatory_abd</t>
  </si>
  <si>
    <t>EUconst_ERR_Mandatory_ef</t>
  </si>
  <si>
    <t>EUconst_ERR_Mandatory_g</t>
  </si>
  <si>
    <t>EUconst_ERR_DoubleBMentry</t>
  </si>
  <si>
    <t>EUconst_ERR_MissingSubInstEntry</t>
  </si>
  <si>
    <t>EUconst_ERR_MissingFallBackEntry</t>
  </si>
  <si>
    <t>EUconst_ERR_Mandatory_Bbc</t>
  </si>
  <si>
    <t>EUconst_ERR_StartWithFuels</t>
  </si>
  <si>
    <t>EUconst_ERR_Goto_DI2</t>
  </si>
  <si>
    <t>EUconst_ERR_MandatoryEII4</t>
  </si>
  <si>
    <t>EUconst_ERR_MandatoryDII3a</t>
  </si>
  <si>
    <t>EUconst_ERR_AttrEmBMapplied</t>
  </si>
  <si>
    <t>EUconst_MsgSeeFirst</t>
  </si>
  <si>
    <t>EUconst_MsgAttrEm</t>
  </si>
  <si>
    <t>EUconst_MsgProceedF</t>
  </si>
  <si>
    <t>EUconst_MsgProceedEII2</t>
  </si>
  <si>
    <t>EUconst_MsgGoOn</t>
  </si>
  <si>
    <t>EUconst_MsgUseElExchTool</t>
  </si>
  <si>
    <t>EUconst_MsgGoOn_d</t>
  </si>
  <si>
    <t>EUconst_MsgGoOnIfNotRelevant</t>
  </si>
  <si>
    <t>EUconst_ERR_DatesSorting</t>
  </si>
  <si>
    <t>EUconst_ERR_ActivityMissing</t>
  </si>
  <si>
    <t>EUconst_MsgEnterThisSection</t>
  </si>
  <si>
    <t>EUconst_MsgGoToNextSubInst</t>
  </si>
  <si>
    <t>EUconst_MsgBackToSheetF</t>
  </si>
  <si>
    <t>EUconst_MsgGoOn_cd</t>
  </si>
  <si>
    <t>EUconst_MsgGoOn_e</t>
  </si>
  <si>
    <t>EUconst_CNTR_FuelInput</t>
  </si>
  <si>
    <t>FuelInput_</t>
  </si>
  <si>
    <t>EUconst_CNTR_FuelEF</t>
  </si>
  <si>
    <t>FuelEF_</t>
  </si>
  <si>
    <t>EUconst_CNTR_HeatProduced</t>
  </si>
  <si>
    <t>HeatProd_</t>
  </si>
  <si>
    <t>EUconst_CNTR_HeatExport</t>
  </si>
  <si>
    <t>HeatEx_</t>
  </si>
  <si>
    <t>EUconst_CNTR_HeatExportEF</t>
  </si>
  <si>
    <t>HeatExEF_</t>
  </si>
  <si>
    <t>EUconst_CNTR_WGProduced</t>
  </si>
  <si>
    <t>WasteGasProd_</t>
  </si>
  <si>
    <t>EUconst_CNTR_WGProducedEF</t>
  </si>
  <si>
    <t>WasteGasProdEF_</t>
  </si>
  <si>
    <t>EUconst_CNTR_WGConsumed</t>
  </si>
  <si>
    <t>WasteGasCons_</t>
  </si>
  <si>
    <t>EUconst_CNTR_WGConsumedEF</t>
  </si>
  <si>
    <t>WasteGasConsEF_</t>
  </si>
  <si>
    <t>EUconst_CNTR_WGFlared</t>
  </si>
  <si>
    <t>WasteGasFlare_</t>
  </si>
  <si>
    <t>EUconst_CNTR_WGFlaredEF</t>
  </si>
  <si>
    <t>WasteGasFlareEF_</t>
  </si>
  <si>
    <t>EUconst_CNTR_WGImport</t>
  </si>
  <si>
    <t>WasteGasIm_</t>
  </si>
  <si>
    <t>EUconst_CNTR_WGImportEF</t>
  </si>
  <si>
    <t>WasteGasImEF_</t>
  </si>
  <si>
    <t>EUconst_CNTR_WGExport</t>
  </si>
  <si>
    <t>WasteGasEx_</t>
  </si>
  <si>
    <t>EUconst_CNTR_WGExportEF</t>
  </si>
  <si>
    <t>WasteGasExEF_</t>
  </si>
  <si>
    <t>EUconst_CNTR_HeatImport</t>
  </si>
  <si>
    <t>HeatIm_</t>
  </si>
  <si>
    <t>EUconst_CNTR_HeatImportEF</t>
  </si>
  <si>
    <t>HeatImEF_</t>
  </si>
  <si>
    <t>EUconst_CNTR_HeatImportPulp</t>
  </si>
  <si>
    <t>HeatImPulp_</t>
  </si>
  <si>
    <t>EUconst_CNTR_HeatImportNitric</t>
  </si>
  <si>
    <t>HeatImNitric_</t>
  </si>
  <si>
    <t>EUconst_CNTR_ElectricityExported</t>
  </si>
  <si>
    <t>ElecEx_</t>
  </si>
  <si>
    <t>EUconst_CNTR_AttributedEmissions</t>
  </si>
  <si>
    <t>AttrEmissions_</t>
  </si>
  <si>
    <t>EUconst_CNTR_Emissions</t>
  </si>
  <si>
    <t>DirEmissions_</t>
  </si>
  <si>
    <t>EUconst_CNTR_HeatImportProduct</t>
  </si>
  <si>
    <t>HeatImProd_</t>
  </si>
  <si>
    <t>EUconst_CNTR_HeatImportProductEF</t>
  </si>
  <si>
    <t>HeatImProdEF_</t>
  </si>
  <si>
    <t>EUconst_CNTR_HeatImportPulpEF</t>
  </si>
  <si>
    <t>HeatImPulpEF_</t>
  </si>
  <si>
    <t>EUconst_CNTR_HeatImportFuel</t>
  </si>
  <si>
    <t>HeatImFuel_</t>
  </si>
  <si>
    <t>EUconst_CNTR_HeatImportFuelEF</t>
  </si>
  <si>
    <t>HeatImFuelEF_</t>
  </si>
  <si>
    <t>EUconst_CNTR_EmissionsIntSource1</t>
  </si>
  <si>
    <t>EmInternalSource1_</t>
  </si>
  <si>
    <t>EUconst_CNTR_EmissionsIntSource2</t>
  </si>
  <si>
    <t>EmInternalSource2_</t>
  </si>
  <si>
    <t>EUconst_CNTR_IntermediateImport</t>
  </si>
  <si>
    <t>IntImp_</t>
  </si>
  <si>
    <t>EUconst_CNTR_IntermediateExport</t>
  </si>
  <si>
    <t>IntExp_</t>
  </si>
  <si>
    <t>EUconst_CNTR_CO2Feedstock</t>
  </si>
  <si>
    <t>EmCO2Feedstock_</t>
  </si>
  <si>
    <t>EUconst_CNTR_HALPulpTotal</t>
  </si>
  <si>
    <t>HALPulpTotal_</t>
  </si>
  <si>
    <t>EUconst_tCO2pMWh</t>
  </si>
  <si>
    <t>EUconst_NGEFvalue</t>
  </si>
  <si>
    <t>EUconst_WasteGasCorrFactor</t>
  </si>
  <si>
    <t>EUconst_CLEFYears</t>
  </si>
  <si>
    <t>EUconst_CLEFDistrict</t>
  </si>
  <si>
    <t>EUconst_MinOrMaxOrActual</t>
  </si>
  <si>
    <t>EUconst_HeatBMvalueForBM</t>
  </si>
  <si>
    <t>EUconst_FuelBMvalueForBM</t>
  </si>
  <si>
    <t>UK_ETS_Linear_Factors</t>
  </si>
  <si>
    <t>Note, constants to the left and the BMs need 
to start with = otherwise the UBA tool cannot 
update the operator BDRs</t>
  </si>
  <si>
    <t>UK_ETS_CL_FactorForNonCLSectors</t>
  </si>
  <si>
    <t>UK_ETS_CL_FactorForDistrictHeating</t>
  </si>
  <si>
    <t>truncated to 250 characters</t>
  </si>
  <si>
    <t>Originals, not truncated</t>
  </si>
  <si>
    <t>ARR(min)</t>
  </si>
  <si>
    <t>ARR(max)</t>
  </si>
  <si>
    <t>ARR (actual)</t>
  </si>
  <si>
    <t>end</t>
  </si>
  <si>
    <t>ARR</t>
  </si>
  <si>
    <t>E.II.r !</t>
  </si>
  <si>
    <t>E.I.1.c !</t>
  </si>
  <si>
    <t>D.II.b !</t>
  </si>
  <si>
    <t>Constant</t>
  </si>
  <si>
    <t>Further constants</t>
  </si>
  <si>
    <t>Default values</t>
  </si>
  <si>
    <t>MSconst_RequirePermitInfo</t>
  </si>
  <si>
    <t>MSconst_RequireArt27Info</t>
  </si>
  <si>
    <t>MSconst_RequireArt27aInfo</t>
  </si>
  <si>
    <t>MSconst_AllowInstEmmisionTotals</t>
  </si>
  <si>
    <t>Ref. No.</t>
  </si>
  <si>
    <t>TEXT (Language Version)</t>
  </si>
  <si>
    <t>English Version (Original)</t>
  </si>
  <si>
    <t>Navigation area:</t>
  </si>
  <si>
    <t>Next sheet</t>
  </si>
  <si>
    <t>Summary</t>
  </si>
  <si>
    <t>Top of sheet</t>
  </si>
  <si>
    <t>End of sheet</t>
  </si>
  <si>
    <t>BASELINE DATA REPORT for Phase 4 of the EU ETS</t>
  </si>
  <si>
    <t>CONTENTS</t>
  </si>
  <si>
    <t>Language version:</t>
  </si>
  <si>
    <t>Reference filename:</t>
  </si>
  <si>
    <t>Information about this file:</t>
  </si>
  <si>
    <t>Installation name:</t>
  </si>
  <si>
    <t>Unique Installation Identifier:</t>
  </si>
  <si>
    <t>Relevant baseline period</t>
  </si>
  <si>
    <t>If your competent authority requires you to hand in a signed paper copy of the report, please use the space below for signature:</t>
  </si>
  <si>
    <t>Date</t>
  </si>
  <si>
    <t>Name and Signature of 
legally responsible person</t>
  </si>
  <si>
    <t>Table of contents</t>
  </si>
  <si>
    <t>Previous sheet</t>
  </si>
  <si>
    <t>GUIDELINES AND CONDITIONS</t>
  </si>
  <si>
    <t>General Information on this Template</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</si>
  <si>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</si>
  <si>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https://eur-lex.europa.eu/eli/dir/2003/87/2018-04-08</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</si>
  <si>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</si>
  <si>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</si>
  <si>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</si>
  <si>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This data collection template has been developed on behalf of the Commission by its consultants (Umweltbundesamt GmbH Austria and SQ Consult).</t>
  </si>
  <si>
    <t>How to use this file</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</si>
  <si>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</si>
  <si>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</si>
  <si>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</si>
  <si>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</si>
  <si>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</si>
  <si>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Error messages are often very short due to the little place available. The most important ones are:</t>
  </si>
  <si>
    <t>Yellow fields indicate mandatory inputs. However, if the topic is not relevant for the installation, no input is required.</t>
  </si>
  <si>
    <t>Light yellow fields indicate that an input is optional.</t>
  </si>
  <si>
    <t>Light grey areas are dedicated for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</si>
  <si>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</si>
  <si>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</si>
  <si>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</si>
  <si>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</si>
  <si>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Member State specific information:</t>
  </si>
  <si>
    <t>This Report must be submitted to your Competent Authority to the following address:</t>
  </si>
  <si>
    <t>Detail address to be provided by the Member State</t>
  </si>
  <si>
    <t>Information sources:</t>
  </si>
  <si>
    <t>EU Websites:</t>
  </si>
  <si>
    <t>EU-Legislation:</t>
  </si>
  <si>
    <t xml:space="preserve">http://eur-lex.europa.eu/en/index.htm </t>
  </si>
  <si>
    <t>EU ETS general:</t>
  </si>
  <si>
    <t>http://ec.europa.eu/clima/policies/ets/index_en.htm</t>
  </si>
  <si>
    <t>Other Websites:</t>
  </si>
  <si>
    <t>&lt;to be provided by Member State&gt;</t>
  </si>
  <si>
    <t>Helpdesk:</t>
  </si>
  <si>
    <t>&lt;to be provided by Member State, if relevant&gt;</t>
  </si>
  <si>
    <t>Further guidance as provided by the Member State:</t>
  </si>
  <si>
    <t xml:space="preserve">&lt;&lt;&lt; Click here to proceed to next sheet &gt;&gt;&gt; </t>
  </si>
  <si>
    <t>A.
Installation Data</t>
  </si>
  <si>
    <t>Installation ID</t>
  </si>
  <si>
    <t>Contact persons</t>
  </si>
  <si>
    <t>Verifier</t>
  </si>
  <si>
    <t>Further information</t>
  </si>
  <si>
    <t>Eligibility</t>
  </si>
  <si>
    <t>Baseline period</t>
  </si>
  <si>
    <t>Sub-installations</t>
  </si>
  <si>
    <t>Technical connections</t>
  </si>
  <si>
    <t>Sheet "InstallationData" - GENERAL INFORMATION ON THIS REPORT</t>
  </si>
  <si>
    <t>General information:</t>
  </si>
  <si>
    <t>Name of the installation:</t>
  </si>
  <si>
    <t>This name should be the same as has been already used for correspondence with the competent authority.</t>
  </si>
  <si>
    <t>Member State in which the installation is situated:</t>
  </si>
  <si>
    <t>"Member State" means here: State which participates in the EU ETS, i.e. EU Member States and Iceland, Norway and Liechtenstein.</t>
  </si>
  <si>
    <t>Has this installation been included in the EU ETS before?</t>
  </si>
  <si>
    <t>Unique identifier provided by the competent authority:</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</si>
  <si>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</si>
  <si>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</si>
  <si>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 xml:space="preserve">Competent authorities must ensure to have a unique ID available before notifying any data to the European Commission. </t>
  </si>
  <si>
    <t>Identification code of the installation in the Registry:</t>
  </si>
  <si>
    <t>This is usually a natural number, i.e. a code different from the Permit identifier used in the Registry (EUTL).</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</si>
  <si>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</si>
  <si>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Unique ID for notification to the Commission:</t>
  </si>
  <si>
    <t>Information on the greenhouse gas emissions permit:</t>
  </si>
  <si>
    <t>Please provide here information on the greenhouse gas emissions permit (=permit issued in accordance with Articles 5 and 6 of the EU ETS Directive).</t>
  </si>
  <si>
    <t>Member States may make this information optional if the competent authority is in possession of this information already.</t>
  </si>
  <si>
    <t>Name of Competent authority:</t>
  </si>
  <si>
    <t>First GHG permit received when the installation was included in the ETS for the first time:</t>
  </si>
  <si>
    <t>Permit-ID:</t>
  </si>
  <si>
    <t>Date of issuance:</t>
  </si>
  <si>
    <t>Most recent update of the permit, if applicable:</t>
  </si>
  <si>
    <t>Date of start of operation of the installation:</t>
  </si>
  <si>
    <t>This input is only relevant if the installation, as a whole, has started operation after 1 January 2014.</t>
  </si>
  <si>
    <t>This installation is an incumbent:</t>
  </si>
  <si>
    <t>An installation is an incumbent if it has received a greenhouse gas emission permit for the first time on or before:</t>
  </si>
  <si>
    <t>30 June 2019 for the allocation period 2021-2025, or</t>
  </si>
  <si>
    <t>30 June 2024 for the period 2026-2030.</t>
  </si>
  <si>
    <t>All installations which are not incumbents according to the above criteria will be considered "New entrants" by the competent authority.</t>
  </si>
  <si>
    <t xml:space="preserve">New entrants are not to be notified to the Commission under the national implementation measures pursuant to Article 11 of the EU ETS Directive. </t>
  </si>
  <si>
    <t xml:space="preserve">Consequently, this template has not been developed for the use by new entrants. </t>
  </si>
  <si>
    <t>Operator data:</t>
  </si>
  <si>
    <t>The operator is the [natural or legal] person who operates or controls an installation or, where this is provided for in national legislation, to whom decisive economic power over the technical functioning of the installation has been delegated.</t>
  </si>
  <si>
    <t>Operator Name:</t>
  </si>
  <si>
    <t>Street, Number:</t>
  </si>
  <si>
    <t>ZIP-Code:</t>
  </si>
  <si>
    <t>City:</t>
  </si>
  <si>
    <t>Country:</t>
  </si>
  <si>
    <t>Name of authorized representative:</t>
  </si>
  <si>
    <t>Email:</t>
  </si>
  <si>
    <t>Telephone:</t>
  </si>
  <si>
    <t>Fax:</t>
  </si>
  <si>
    <t>Installation address:</t>
  </si>
  <si>
    <t>Contact persons:</t>
  </si>
  <si>
    <t>Please nominate persons here whom the competent authority can contact in case of questions regarding this report, including its verification.</t>
  </si>
  <si>
    <t>Authorised representative of the operator in charge of this installation:</t>
  </si>
  <si>
    <t>Name:</t>
  </si>
  <si>
    <t>Primary contact person for technical questions regarding installation data, if different from (a):</t>
  </si>
  <si>
    <t>Verifier engaged for this baseline data report:</t>
  </si>
  <si>
    <t>Name and address of the verifier of this baseline data report:</t>
  </si>
  <si>
    <t>Company Name:</t>
  </si>
  <si>
    <t>Postcode/ZIP:</t>
  </si>
  <si>
    <t>Authorised representative of the verifier:</t>
  </si>
  <si>
    <t>The nominated person should be familiar with this report. Ideally it is the lead verifier involved with this report.</t>
  </si>
  <si>
    <t>Email address:</t>
  </si>
  <si>
    <t>Telephone number:</t>
  </si>
  <si>
    <t>Information about the verifier's accreditation:</t>
  </si>
  <si>
    <t>Accreditation Member State:</t>
  </si>
  <si>
    <t>Name of the national accreditation body:</t>
  </si>
  <si>
    <t>Registration number issued by the Accreditation body:</t>
  </si>
  <si>
    <t>Further installation data:</t>
  </si>
  <si>
    <t>Activities according to Annex I of the EU ETS Directive:</t>
  </si>
  <si>
    <t>This information is important for the competent authorities because changes compared to previous ETS phases may have taken place.</t>
  </si>
  <si>
    <t>To the extent feasible, please sort the list with regard to the direct emissions, starting with the activity causing the highest direct emissions.</t>
  </si>
  <si>
    <t>Number</t>
  </si>
  <si>
    <t>Name of activity (Annex I of the ETS Directive)</t>
  </si>
  <si>
    <t>Under which NACE code has your company reported value added for structural business statistics?</t>
  </si>
  <si>
    <t>If you are not sure about the values to enter here, please contact your relevant national statistics office.</t>
  </si>
  <si>
    <t xml:space="preserve">NACE rev 2.0 can be found here: </t>
  </si>
  <si>
    <t>http://ec.europa.eu/eurostat/ramon/nomenclatures/index.cfm?TargetUrl=LST_CLS_DLD&amp;StrNom=NACE_REV2&amp;StrLanguageCode=EN&amp;StrLayoutCode=HIERARCHIC</t>
  </si>
  <si>
    <t>NACE codes shall be entered at 4-digit level, in the form "nnnn", i.e. without any dots or other delimiters in between.</t>
  </si>
  <si>
    <t>You will receive an error message if you do not enter exactly 4 digits.</t>
  </si>
  <si>
    <t>NACE code reported using NACE rev 2 classification:</t>
  </si>
  <si>
    <t>Please provide the identification code of the installation in the EPRTR, if applicable:</t>
  </si>
  <si>
    <t>The EPRTR is the European Pollutant Release and Transfer Register.</t>
  </si>
  <si>
    <t>This information is useful for the competent authorities for consistency checks and alignment of environmental information sources.</t>
  </si>
  <si>
    <t>Eligibility for exclusion pursuant to Article 27 of the EU ETS Directive</t>
  </si>
  <si>
    <t>Pursuant to Article 27 of the EU ETS Directive, the following types of installations may be excluded from the EU ETS if they undertake equivalent measures:</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</si>
  <si>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</si>
  <si>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</si>
  <si>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Installations which are hospitals.</t>
  </si>
  <si>
    <t>Did the installation emit less than 25 000 tonnes and have a rated thermal input below 35MW?</t>
  </si>
  <si>
    <t>Is the Installation a hospital?</t>
  </si>
  <si>
    <t>The installation is eligible for exclusion pursuant to Article 27 of the EU ETS Directive:</t>
  </si>
  <si>
    <t>Eligibility for exclusion pursuant to Article 27a of the EU ETS Directive</t>
  </si>
  <si>
    <t>Pursuant to Article 27a of the EU ETS Directive, following consultation with the operator, Member States may exclude the following types of installations from the EU ETS:</t>
  </si>
  <si>
    <t>installations which have reported to the competent authority emissions of less than 2 500 tonnes of carbon dioxide equivalent, excluding emissions from biomass, in each of the last three years;</t>
  </si>
  <si>
    <t>units kept in reserve or as backup which did not operate more than 300 hours per year in each of the three years;</t>
  </si>
  <si>
    <t>Did the installation emit less than 2 500 tonnes CO2(e) per year?</t>
  </si>
  <si>
    <t>Did units kept in reserve or as back-up in the installation not operate more than 300 hours per year?</t>
  </si>
  <si>
    <t>(Parts of) this installation is/are eligible for exclusion pursuant to Article 27a of the EU ETS Directive:</t>
  </si>
  <si>
    <t>Annual emissions from the three previous years for plausibility checking of (d) above</t>
  </si>
  <si>
    <t>The following data is automatically taken from sheet "D_Emissions".</t>
  </si>
  <si>
    <t>Maximum</t>
  </si>
  <si>
    <t>Annual emissions for plausibility checking:</t>
  </si>
  <si>
    <t>Has the installation been opted-in?</t>
  </si>
  <si>
    <t>Please provide information if the installation does not carry out at least one Annex I activity of the EU ETS Directive but has been unilaterally included by the Member State (opted-in) pursuant to Article 24 of that Directive.</t>
  </si>
  <si>
    <t>Information on this baseline data report</t>
  </si>
  <si>
    <t>Eligibility for free allocation:</t>
  </si>
  <si>
    <t>Is the installation an electricity generator pursuant to Article 3(u) of the Directive?</t>
  </si>
  <si>
    <t>Article 3(u) defines: ‘electricity generator’ means an installation that, on or after 1 January 2005, has produced electricity for sale to third parties, and in which no activity listed in Annex I is carried out other than the combustion of fuels.</t>
  </si>
  <si>
    <t>The Commission has provided a guidance paper to identify electricity generators.</t>
  </si>
  <si>
    <t>Is the installation an installation for the capture of CO2, for transport of CO2 or a CO2 storage site?</t>
  </si>
  <si>
    <t>This installation is considered as covered by Article 10a(3) of the EU ETS Directive:</t>
  </si>
  <si>
    <t xml:space="preserve">If the answer to (a) or (b) was positive, the answer to (c) is automatically positive. </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</si>
  <si>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</si>
  <si>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Does the installation produce heat not used for electricity production?</t>
  </si>
  <si>
    <t>If the answer to (a) or (b) is positive, and if the answer to (d) is negative, the installation is not eligible for free allocation under Article 10a of the EU ETS Directive. If this is relevant for your installation, please confirm here:</t>
  </si>
  <si>
    <t>Important notes:</t>
  </si>
  <si>
    <t>If the installation is not eligible for free allocation under Article 10a of the EU ETS Directive, there is no obligation to report further detailed data in the following data sheets. It is only mandatory to complete this sheet ("A_InstallationData").</t>
  </si>
  <si>
    <t>If no further data is to be reported, there is also no need for verification of this report.</t>
  </si>
  <si>
    <t>This report and especially the answers given in points (a) to (f) here have no impact on possible free allocations under Article 10c of the EU ETS Directive ("Option for transitional free allocation for the modernisation of the energy sector").</t>
  </si>
  <si>
    <t>Application for free allocation:</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</si>
  <si>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</si>
  <si>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Consent to use the data contained in this file: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</si>
  <si>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</si>
  <si>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If the operator confirms point (e) or (f) above, it is automatically assumed that this also confirms consent to use data contained in this file.</t>
  </si>
  <si>
    <t>Baseline period chosen</t>
  </si>
  <si>
    <t>Please select the baseline period for this report:</t>
  </si>
  <si>
    <t>This is the baseline period pursuant to Article 2(14) of the FAR.</t>
  </si>
  <si>
    <t>Years in which the installation was operating:</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</si>
  <si>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</si>
  <si>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Please enter in the table below for each year if the installation was operating at least one day per calendar year. Don't leave yellow cells empty.</t>
  </si>
  <si>
    <t>Confirm:</t>
  </si>
  <si>
    <t>Installation was operating in this year:</t>
  </si>
  <si>
    <t>Error messages:</t>
  </si>
  <si>
    <t>List of sub-installations</t>
  </si>
  <si>
    <t>Product benchmark sub-installations</t>
  </si>
  <si>
    <t>Please select here the product benchmark sub-installations relevant at your installation, if any:</t>
  </si>
  <si>
    <t>For each type of product, only one sub-installation may be chosen. Similar products which are covered by the same product benchmark in Annex I of the FAR are aggregated.</t>
  </si>
  <si>
    <t>The status regarding the exposure to significant risk of carbon leakage ("CL") is based on &lt;ADD REFERENCE TO CLL ACT&gt;.</t>
  </si>
  <si>
    <t>Every sub-installation name may occur only once. Otherwise some parts of this template will not function properly.</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</si>
  <si>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</si>
  <si>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Please note that the correct entries here are essential for all subsequent inputs dealing with sub-installations.</t>
  </si>
  <si>
    <t>No.</t>
  </si>
  <si>
    <t>Product type</t>
  </si>
  <si>
    <t>Start of operation</t>
  </si>
  <si>
    <t>Sub-installations with fall-back approaches</t>
  </si>
  <si>
    <t>Please indicate here which fall-back sub-installations are relevant at your installation, if any:</t>
  </si>
  <si>
    <t>For each type of fall-back approach, a maximum of two sub-installations may exist, one exposed to significant risk of carbon leakage, the other non-exposed.</t>
  </si>
  <si>
    <t>As an exception to that rule, for measurable heat a third sub-installation is defined for the delivery of district heating.</t>
  </si>
  <si>
    <t>Please select for each type of sub-installation, if it is relevant in your installation or not. Don't leave the yellow fields empty.</t>
  </si>
  <si>
    <t xml:space="preserve">Note that according to Article 10(3) of the FAR an exemption from the distinction of CL and non-CL may be granted for reporting purposes. </t>
  </si>
  <si>
    <t>This exemption is applicable if at least 95% of inputs, outputs and emissions belong to one of the "CL" or "non-CL" status.</t>
  </si>
  <si>
    <t>relevant?</t>
  </si>
  <si>
    <t>List of technical connections</t>
  </si>
  <si>
    <t>Please enter here the information relevant for identifying technical connections to your installation:</t>
  </si>
  <si>
    <t>This information is needed by the competent authority for ensuring consistency of the data provided, and for avoiding double counting of allocation data.</t>
  </si>
  <si>
    <t>Only those cases are relevant, where either measurable heat, waste gases or "transferred CO2" as defined by the Monitoring and Reporting Regulation are transferred.</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</si>
  <si>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</si>
  <si>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</si>
  <si>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the column "Type of entity" the following options can be selected:</t>
  </si>
  <si>
    <t>Installation covered by ETS</t>
  </si>
  <si>
    <t>Installation outside ETS</t>
  </si>
  <si>
    <t>Installation producing Nitric Acid</t>
  </si>
  <si>
    <t>Heat distribution network</t>
  </si>
  <si>
    <t>Special case: Nitric acid production:</t>
  </si>
  <si>
    <t>Please select this option for identifying that your installation uses heat from nitric acid production.</t>
  </si>
  <si>
    <t>Please list this fact even if the nitric acid production is part of your own installation, not only if your installation is connected to such installation.</t>
  </si>
  <si>
    <t>This information is relevant for the heat balance (sheet "E_EnergyFlows", section II)</t>
  </si>
  <si>
    <t>Type of connection options are:</t>
  </si>
  <si>
    <t>Measurable heat</t>
  </si>
  <si>
    <t>Waste gas</t>
  </si>
  <si>
    <t>Transferred CO2</t>
  </si>
  <si>
    <t>Intermediate products covered by product benchmarks (Sections 1.6 and 3.1(l) of Annex IV of the FAR)</t>
  </si>
  <si>
    <t>Flow direction options are (perspective of the installation to which this report refers):</t>
  </si>
  <si>
    <t>Import (to this installation)</t>
  </si>
  <si>
    <t>Export (from this installation)</t>
  </si>
  <si>
    <t>Name of installation or entity</t>
  </si>
  <si>
    <t>Type of connection</t>
  </si>
  <si>
    <t>Flow direction</t>
  </si>
  <si>
    <t>Please enter here further information regarding those connected installations, if relevant:</t>
  </si>
  <si>
    <t>Installation ID is mandatory if the connected installation is covered by the EU ETS, and if it has already been covered by the EU ETS before 30 June 2019 for the first allocation period, and before 30 June 2024 for the second allocation period.</t>
  </si>
  <si>
    <t>For entities not covered by the EU ETS, contact details are mandatory, but the Registry ID is not required.</t>
  </si>
  <si>
    <t>Installation ID used in Registry</t>
  </si>
  <si>
    <t>Name of contact person</t>
  </si>
  <si>
    <t>email address</t>
  </si>
  <si>
    <t>phone number</t>
  </si>
  <si>
    <t>B+C Annual Emissions Data</t>
  </si>
  <si>
    <t>Source streams (excl. PFC)</t>
  </si>
  <si>
    <t>PFC source streams</t>
  </si>
  <si>
    <t>Emission Sources (CEMS)</t>
  </si>
  <si>
    <t>Fall-back</t>
  </si>
  <si>
    <t>Sheet "Annual Emissions Data" for the Year:</t>
  </si>
  <si>
    <t>General guidance for source stream data</t>
  </si>
  <si>
    <t>Member State requires detailed source stream data generally to be reported mandatorily:</t>
  </si>
  <si>
    <t>If this is set to "false", entries here are optional and only provide annual total emissions in section D.I.</t>
  </si>
  <si>
    <t>Source streams and emission sources</t>
  </si>
  <si>
    <t>The tables below are identical to sheet "Accounting" in the Annual Emissions Report template provided by the Commission.</t>
  </si>
  <si>
    <t>You can therefore copy data for each table from the Annual Emissions Report template without further entries and also find further guidance there.</t>
  </si>
  <si>
    <t>If the Commission's template is not used in your Member State, or you prefer to enter data manually, each table contains example data at the top (white fields).</t>
  </si>
  <si>
    <t>Please note that no calculations are made in this sheet. Therefore, totals in columns AU to AY need to be entered correctly as these data will be further used in this template!</t>
  </si>
  <si>
    <t>Source Streams (excluding PFC emissions)</t>
  </si>
  <si>
    <t>Method</t>
  </si>
  <si>
    <t>Source stream name</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</si>
  <si>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</si>
  <si>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</si>
  <si>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</si>
  <si>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</si>
  <si>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</si>
  <si>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</si>
  <si>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</si>
  <si>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</si>
  <si>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</si>
  <si>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</si>
  <si>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</si>
  <si>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</si>
  <si>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</si>
  <si>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</si>
  <si>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</si>
  <si>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</si>
  <si>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</si>
  <si>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</si>
  <si>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</si>
  <si>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</si>
  <si>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</si>
  <si>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</si>
  <si>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</si>
  <si>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</si>
  <si>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</si>
  <si>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</si>
  <si>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</si>
  <si>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</si>
  <si>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</si>
  <si>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</si>
  <si>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</si>
  <si>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</si>
  <si>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</si>
  <si>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</si>
  <si>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</si>
  <si>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</si>
  <si>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</si>
  <si>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</si>
  <si>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</si>
  <si>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</si>
  <si>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</si>
  <si>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</si>
  <si>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</si>
  <si>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</si>
  <si>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</si>
  <si>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</si>
  <si>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</si>
  <si>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</si>
  <si>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</si>
  <si>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Ex.2</t>
  </si>
  <si>
    <t>Process Emissions</t>
  </si>
  <si>
    <t>Clay</t>
  </si>
  <si>
    <t>Ex.3</t>
  </si>
  <si>
    <t>Mass balance</t>
  </si>
  <si>
    <t>Steel</t>
  </si>
  <si>
    <t>PFC Source Streams</t>
  </si>
  <si>
    <t>Ex.</t>
  </si>
  <si>
    <t>PFC Emissions</t>
  </si>
  <si>
    <t>Centre Worked Pre-Bake (CWPB); Anode type A</t>
  </si>
  <si>
    <t>Emissions Sources (Measurement-Based Approaches)</t>
  </si>
  <si>
    <t>Nitric acid line 1</t>
  </si>
  <si>
    <t>h/year</t>
  </si>
  <si>
    <t>1000Nm3/h</t>
  </si>
  <si>
    <t>CO2 transfer</t>
  </si>
  <si>
    <t>Transfer to EU ETS installation X</t>
  </si>
  <si>
    <t>D.
Emissions</t>
  </si>
  <si>
    <t>Emissions and Energy Input</t>
  </si>
  <si>
    <t>Emissions Attribution</t>
  </si>
  <si>
    <t>Cogeneration (1)</t>
  </si>
  <si>
    <t>Cogeneration (2)</t>
  </si>
  <si>
    <t>Waste gases (1)</t>
  </si>
  <si>
    <t>Waste gases (2)</t>
  </si>
  <si>
    <t>Sheet "Emissions" - ATTRIBUTION OF EMISSIONS</t>
  </si>
  <si>
    <t>Total Direct Greenhouse Gas Emissions and Energy Input from Fuels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</si>
  <si>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</si>
  <si>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For further information see general notes at the beginning of sheet B.</t>
  </si>
  <si>
    <t>Automatically calculated data at installation level</t>
  </si>
  <si>
    <t>Data displayed here are the automatic summary from data entered in sheets B+C.</t>
  </si>
  <si>
    <t>Installation level data:</t>
  </si>
  <si>
    <t>Total CO2 emissions</t>
  </si>
  <si>
    <t>Biomass emissions</t>
  </si>
  <si>
    <t>Total N2O emissions</t>
  </si>
  <si>
    <t>Total PFC emissions</t>
  </si>
  <si>
    <t>Sum of direct emissions</t>
  </si>
  <si>
    <t>Transferred CO2 exported</t>
  </si>
  <si>
    <t>Total direct emissions of the installation</t>
  </si>
  <si>
    <t>Total energy input from fuels</t>
  </si>
  <si>
    <t>Input if Member State allows aggregated reporting at installation level</t>
  </si>
  <si>
    <t>If according to section B.I. you are allowed to enter emission totals instead of detailed source stream data, then input in this section is mandatory.</t>
  </si>
  <si>
    <t>In such case, please enter below in line with the principles of the M&amp;R Regulation: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</si>
  <si>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</si>
  <si>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</si>
  <si>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</si>
  <si>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</si>
  <si>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Transferred amount of CO2 exported from the installation, reported as negative values</t>
  </si>
  <si>
    <t>Total energy input from fuels including from biomass and waste gases</t>
  </si>
  <si>
    <t>Result of installation level data for use in sheets "D_Emissions" and "E_EnergyFlows":</t>
  </si>
  <si>
    <t>Where data is displayed under points 1 AND 2, the data of point 2 will be used, because no completeness check for data in sheets B+C can be performed.</t>
  </si>
  <si>
    <t>Such conflicting values are highlighted with red figures in the table below.</t>
  </si>
  <si>
    <t>The responsibility for avoiding conflicting data entries is fully on the operator of the installation.</t>
  </si>
  <si>
    <t>Attribution of emissions to sub-installations</t>
  </si>
  <si>
    <t>Total emissions at installation level (taken from section D.I.3)</t>
  </si>
  <si>
    <t>Total direct emission of the installation</t>
  </si>
  <si>
    <t>Attribution to sub-installations</t>
  </si>
  <si>
    <t xml:space="preserve">The attribution of emissions to sub-installations has to be done in sheets F and G for each sub-installation. </t>
  </si>
  <si>
    <t>A summary table of attributed emissions can be found in the summary sheet (see link below).</t>
  </si>
  <si>
    <t>Cogeneration tool</t>
  </si>
  <si>
    <t>Are combined heat and power (CHP) units relevant?</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</si>
  <si>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</si>
  <si>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</si>
  <si>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</si>
  <si>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tool exists twofold in this template and each tool should only be used for one CHP. If more CHPs are relevant, a separate template might be used to provide relevant information.</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</si>
  <si>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</si>
  <si>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Tool for calculating the emissions attributable to heat production in combined heat and power units (CHP)</t>
  </si>
  <si>
    <t>Total amount of fuel input into CHP units</t>
  </si>
  <si>
    <t>Please enter here the annual fuel input into the CHP unit.</t>
  </si>
  <si>
    <t>Fuel input into CHP</t>
  </si>
  <si>
    <t>Heat output from CHP</t>
  </si>
  <si>
    <t>This is the total amount of heat produced by the CHP.</t>
  </si>
  <si>
    <t>Electricity output CHP</t>
  </si>
  <si>
    <t>This is the total amount of electricity (or mechanical energy, where applicable) produced by the CHP.</t>
  </si>
  <si>
    <t>Electricity output from CHP</t>
  </si>
  <si>
    <t>Total emissions from CHP</t>
  </si>
  <si>
    <t>Values should distinguish between emissions from fuel input and from flue gas cleaning.</t>
  </si>
  <si>
    <t>From fuel input to CHP</t>
  </si>
  <si>
    <t>From flue gas cleaning</t>
  </si>
  <si>
    <t>Default efficiencies:</t>
  </si>
  <si>
    <t>Heat:</t>
  </si>
  <si>
    <t>Electricity:</t>
  </si>
  <si>
    <t>Efficiencies for heat and electricity</t>
  </si>
  <si>
    <t>These values are dimensionless and automatically calculated from inputs in (a) to (c) above.</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</si>
  <si>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</si>
  <si>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Heat production</t>
  </si>
  <si>
    <t>Electricity production</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</si>
  <si>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</si>
  <si>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</si>
  <si>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</si>
  <si>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https://eur-lex.europa.eu/eli/reg_del/2015/2402/oj</t>
  </si>
  <si>
    <t>Default efficiencies below are for natural gas CHPs producing electricity and hot water.</t>
  </si>
  <si>
    <t>Emissions attributable to heat production from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</si>
  <si>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</si>
  <si>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</si>
  <si>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</si>
  <si>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</si>
  <si>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</si>
  <si>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</si>
  <si>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This is the final result of this tool. The values displayed here should be entered in relevant sections in sheets E, F and G.</t>
  </si>
  <si>
    <t>Fuel input for heat</t>
  </si>
  <si>
    <t>Fuel input for electricity</t>
  </si>
  <si>
    <t>Waste gas tool</t>
  </si>
  <si>
    <t>Does the installation consume waste gases produced outside the boundaries of a product benchmark?</t>
  </si>
  <si>
    <t>Pursuant to the definition given in Articles 2(10) and 2(11) of the FAR, (combustible) waste gases occurring outside the boundaries of product benchmarks are considered process emissions.</t>
  </si>
  <si>
    <t>However, for waste gases a CO2 amount equivalent to natural gas used for the "technically usable energy content" is to be subtracted from the total process emissions.</t>
  </si>
  <si>
    <t>The amount of process emissions without this subtraction is referred to as "uncorrected process emissions" below.</t>
  </si>
  <si>
    <t>In order to determine the "technically usable energy content" the following information is needed:</t>
  </si>
  <si>
    <t>Amount of waste gases used for electricity production and for production of measurable or other heat outside of product benchmark sub-installations, or exported out of the installation;</t>
  </si>
  <si>
    <t>Optionally (for consistency checking) the process emissions associated with these waste gas amounts should be reported.</t>
  </si>
  <si>
    <t>Net calorific value of the waste gas;</t>
  </si>
  <si>
    <t>Assumptions for the different efficiency for the use of waste gas and natural gas. These assumptions are as follows: Efficiency of electricity production with natural gas is 52.5%, with waste gases 35%;</t>
  </si>
  <si>
    <t>Emission factor of natural gas: 56.1 t CO2/TJ.</t>
  </si>
  <si>
    <t>Because both possible sub-installations can be concerned in one installation, or because different waste gases can occur, this "waste gas tool" exists twofold in this template.</t>
  </si>
  <si>
    <t>Tool for calculating the amount of process emissions if waste gases are produced outside product benchmarks</t>
  </si>
  <si>
    <t>This section relates to the process emissions sub-installation of this type:</t>
  </si>
  <si>
    <t>Please select here to which of the two process emission sub-installations the data in this tool is related.</t>
  </si>
  <si>
    <t>The production, not the use of the waste gas is relevant for determining the correct sub-installation.</t>
  </si>
  <si>
    <t>Please confirm if waste gases are relevant for this sub-installation:</t>
  </si>
  <si>
    <t>Type of waste gas:</t>
  </si>
  <si>
    <t>Please describe the waste gas and the process from which it is produced. Above enter a name for the gas stream, below give a short process description.</t>
  </si>
  <si>
    <t>If several different waste gases are relevant in your installation, please submit details in separate files using this tool for more complex cases.</t>
  </si>
  <si>
    <t>Total amount of process emissions before subtracting an equivalent for the technically usable energy content:</t>
  </si>
  <si>
    <t>This amount must be consistent with the carbon leakage status selected under point (a) above.</t>
  </si>
  <si>
    <t>Uncorrected process emissions</t>
  </si>
  <si>
    <t>Estimation of waste gas emissions</t>
  </si>
  <si>
    <t>Optionally, and for the purpose of consistency checks only, please provide an estimation of the quantity of emissions relating to the waste gas used or exported.</t>
  </si>
  <si>
    <t>This amount must be consistent with the amount of waste gas under point (f) below.</t>
  </si>
  <si>
    <t>Emissions from waste gases</t>
  </si>
  <si>
    <t>outside product benchmarks</t>
  </si>
  <si>
    <t>Amount of waste gas produced outside product benchmark sub-installations, including for exports:</t>
  </si>
  <si>
    <t>Only waste gas which is used for the production of heat or electricity is relevant. If the waste gas is flared, only the amount relating to safety flaring is relevant.</t>
  </si>
  <si>
    <t>You may choose to report either as tonnes or as 1000 Nm3 (cubic meters under standard conditions). The units must be consistent with those for the NCV below.</t>
  </si>
  <si>
    <t>Amount of waste gas per year</t>
  </si>
  <si>
    <t>Net calorific value of the waste gas</t>
  </si>
  <si>
    <t>You may choose to report either as GJ/t or as GJ/1000 Nm3. The units must be consistent with those for the amounts above.</t>
  </si>
  <si>
    <t>Net calorific value</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</si>
  <si>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</si>
  <si>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</si>
  <si>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</si>
  <si>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</si>
  <si>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</si>
  <si>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</si>
  <si>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These amounts are automatically calculated based on the figures input above. The formula is described in the guidance document No. 8.</t>
  </si>
  <si>
    <t>Deduction for waste gases</t>
  </si>
  <si>
    <t>Process emissions calculated taking into account the correction for waste gases (=d-i)</t>
  </si>
  <si>
    <t>This is the final result of this tool. The values displayed here should be entered in sheet G for the relevant process emissions sub-installation.</t>
  </si>
  <si>
    <t>In case the result is negative, it is set to zero.</t>
  </si>
  <si>
    <t>Result of waste gas tool:</t>
  </si>
  <si>
    <t>E.
Energy flows</t>
  </si>
  <si>
    <t>Attribution of Fuels</t>
  </si>
  <si>
    <t>Heat (final result)</t>
  </si>
  <si>
    <t>Waste gases</t>
  </si>
  <si>
    <t>Electricity</t>
  </si>
  <si>
    <t>Sheet "EnergyFlows" - DATA ON ENERGY INPUT, MEASURABLE HEAT AND ELECTRICITY</t>
  </si>
  <si>
    <t>Energy input from fuels</t>
  </si>
  <si>
    <t>Overview and split into use categories</t>
  </si>
  <si>
    <t>Energy input from fuels, total installation (taken from sheet "D_Emissions", section I):</t>
  </si>
  <si>
    <t>Input method:</t>
  </si>
  <si>
    <t>You can choose the method for entering the values in the table below under point (c). Available options are: "Absolute values" (enter TJ/year), or "percentages".</t>
  </si>
  <si>
    <t>For fast data entries in simple cases, where most entries will be "100%" or zero, percentages are the better choice.</t>
  </si>
  <si>
    <t>Distribution of fuel input to different uses</t>
  </si>
  <si>
    <t>Please enter in the table below the amount of energy consumed for each use type, or - depending on input (b) - the percentage of amount (a).</t>
  </si>
  <si>
    <t>Fuel input to product BM is the sum of direct fuel input and fuel input to measurable heat consumed by the sub-installation.</t>
  </si>
  <si>
    <t>Fuel input for production of measurable heat not used for product BM or electricity production</t>
  </si>
  <si>
    <t>Fuel input to fuel BM sub-installations</t>
  </si>
  <si>
    <t>Fuel input for electricity production</t>
  </si>
  <si>
    <t>For attributing fuel input from cogeneration (CHP) to production of measurable heat and electricity, the "CHP tool" in section D.III. has to be used.</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</si>
  <si>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</si>
  <si>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</si>
  <si>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</si>
  <si>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Usage type of fuel input</t>
  </si>
  <si>
    <t>Fuel input to product BM sub-installations</t>
  </si>
  <si>
    <t>Fuel input for production of measurable heat</t>
  </si>
  <si>
    <t>Rest</t>
  </si>
  <si>
    <t>For control purposes, the inputs are displayed here in the unit which you have not chosen for input:</t>
  </si>
  <si>
    <t>Complete balance of measurable heat at the installation</t>
  </si>
  <si>
    <t>The installation has a heat benchmark or district heating sub-installation?</t>
  </si>
  <si>
    <t>The name of the product benchmark sub-installation is displayed automatically based in the inputs in sheet "A_InstallationData".</t>
  </si>
  <si>
    <t>If "TRUE" is displayed here, entries in the section are always relevant. Only where if none of these sub-installation is relevant, the question below has to be answered.</t>
  </si>
  <si>
    <t>Are any measurable heat flows produced or consumed in, imported to or exported from this installation?</t>
  </si>
  <si>
    <t>All heat data should  refer to "net amount of measurable heat" (i.e. heat content of heat flow to user minus heat content of the return flow).</t>
  </si>
  <si>
    <t>Outline of the calculation approach used:</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</si>
  <si>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</si>
  <si>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</si>
  <si>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</si>
  <si>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If this is not feasible, all uses shall be weighted according to the ratio of inputs (ETS input : total input) as defined above.</t>
  </si>
  <si>
    <t>For the purpose of this template, the following step-by-step approach is used:</t>
  </si>
  <si>
    <t>A separate balance for the consumption of the "eligible" and "non-eligible" heat is calculated.</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</si>
  <si>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</si>
  <si>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</si>
  <si>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</si>
  <si>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</si>
  <si>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After these deductions of heat from the available amount, a new "eligibility ratio" is calculated (point (k)).</t>
  </si>
  <si>
    <t>The remaining eligible amount can then be attributed to the both heat benchmark sub-installations.</t>
  </si>
  <si>
    <t>Heat Inputs</t>
  </si>
  <si>
    <t>Total net amount of measurable heat produced in the installation:</t>
  </si>
  <si>
    <t>Note that heat produced from nitric acid sub-installations has to be reported under point (c) as "non-ETS import".</t>
  </si>
  <si>
    <t>Measurable heat produced</t>
  </si>
  <si>
    <t>Measurable heat imported from installations covered by the EU ETS:</t>
  </si>
  <si>
    <t>Installation names in the drop down list are taken from Section A.IV. Therefore you must ensure that you have entered complete data there.</t>
  </si>
  <si>
    <t>Name of installation</t>
  </si>
  <si>
    <t>Sub-total</t>
  </si>
  <si>
    <t>Measurable heat imported from installations and entities not covered by the EU ETS (not eligible for heat benchmark):</t>
  </si>
  <si>
    <t xml:space="preserve">This includes the nitric acid producing sub-installations (select "Within installation" as name of installation, if the nitric acid production is part of this installation). </t>
  </si>
  <si>
    <t>Note that the data entered here is to be checked for double counting with deductions under product benchmark sub-installations (see sheet "F_ProductBM").</t>
  </si>
  <si>
    <t>Measurable heat produced from electricity</t>
  </si>
  <si>
    <t>This includes heat from any electric pumps, electric boilers, etc. This amount of heat is to be included in the data given under point (c) above. It is only contained here for completeness but not included in the balance below as this heat is non-eligible.</t>
  </si>
  <si>
    <t>Heat from electricity</t>
  </si>
  <si>
    <t>Sum of measurable heat available at installation (=a+b+c)</t>
  </si>
  <si>
    <t>Total measurable heat</t>
  </si>
  <si>
    <t>Ratio of "ETS heat" to "Total heat"</t>
  </si>
  <si>
    <t>"ETS heat" is heat produced in the installation plus heat imported from ETS installations (=a+b).</t>
  </si>
  <si>
    <t xml:space="preserve">Total heat is the ETS heat plus heat imported from non-ETS entities and installations (=a+b+c). </t>
  </si>
  <si>
    <t>Heat input ratio (a+b) / (a+b+c):</t>
  </si>
  <si>
    <t>Heat not eligible for sub-installations with heat benchmark</t>
  </si>
  <si>
    <t>Before the amount of heat falling under the heat benchmark sub-installations can be quantified, the amount not eligible for this purpose has to be identified.</t>
  </si>
  <si>
    <t>In a first step the non-eligible amounts for heat use within the installation are considered.</t>
  </si>
  <si>
    <t xml:space="preserve">This is the amount of heat used for electricity production and heat consumed within product benchmark sub-installations. </t>
  </si>
  <si>
    <t>Measurable heat consumed for electricity production within the installation (not eligible for heat benchmark):</t>
  </si>
  <si>
    <t>As default, it is assumed that the whole amount of heat used for electricity production is split between eligible and non-eligible inputs using the ratio calculated under (f).</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</si>
  <si>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</si>
  <si>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Heat used for electricity production</t>
  </si>
  <si>
    <t>Amount of heat from non-ETS sources</t>
  </si>
  <si>
    <t>Manual override of (ii)</t>
  </si>
  <si>
    <t>Measurable heat consumed for product benchmark sub-installations within the installation  (not eligible for heat benchmark):</t>
  </si>
  <si>
    <t>According to Article 21 of the FAR a CO2 equivalent for non-ETS heat imports is to be deducted from preliminary allocations for product benchmarks. The data needed for that correction is input in sheet "F_ProductBM", section (d) of each sub-installation.</t>
  </si>
  <si>
    <t>Therefore here a plausibility check for that data is included.</t>
  </si>
  <si>
    <t>Values entered in sheet "F_ProductBM":</t>
  </si>
  <si>
    <t>Plausibility check:</t>
  </si>
  <si>
    <t>Please make sure that you check this section again after completing the sheet "F_ProductBM", if applicable, in order to avoid non-plausible inputs.</t>
  </si>
  <si>
    <t>The best suggested approach for filling this section is to first make the relevant entries under "F_ProductBM" and only then continue with point (i) below.</t>
  </si>
  <si>
    <t>Non-ETS heat entered in sheet "F_ProductBM" compared to total amount of heat for all product benchmarks:</t>
  </si>
  <si>
    <t>Point xii in relation to point xi:</t>
  </si>
  <si>
    <t>Non-ETS heat entered in sheet "F_ProductBM" compared to total amount of non-ETS heat imports entered above under point (c):</t>
  </si>
  <si>
    <t>Point xii in relation to point (c) above:</t>
  </si>
  <si>
    <t>Heat exported to ETS installations (not eligible for heat benchmark):</t>
  </si>
  <si>
    <t>This amount of heat is allocated to the consumer of the heat.</t>
  </si>
  <si>
    <t>Total heat exported to ETS installations</t>
  </si>
  <si>
    <t>Heat benchmark and district heating sub-installations:</t>
  </si>
  <si>
    <t>Sub-total: remaining total measurable heat, potentially belonging to heat benchmark sub-installations (=e-g-h-i):</t>
  </si>
  <si>
    <t>Sub-total:</t>
  </si>
  <si>
    <t>This amount can be split into "eligible" and "non-eligible" heat (according to their origin, see introduction to this section above).</t>
  </si>
  <si>
    <t>Thereafter the factor determined under (e) is corrected taking into account the remainder of eligible and non-eligible heat. This factor is used for point (m).</t>
  </si>
  <si>
    <t>eligible by origin:</t>
  </si>
  <si>
    <t>non-eligible by origin:</t>
  </si>
  <si>
    <t>Eligibility ratio for the remaining heat calculated under (j):</t>
  </si>
  <si>
    <t>corrected eligibility ratio (=(j).ii / (j).i):</t>
  </si>
  <si>
    <t>Net amount measurable heat consumed in the installation and eligible under heat benchmark:</t>
  </si>
  <si>
    <t>This is consumption within the installation excluding for purposes listed in points (g) and (h).</t>
  </si>
  <si>
    <t>Heat consumed within the installation</t>
  </si>
  <si>
    <t>Heat exported to installations or entities not covered by the EU ETS (e.g. district heating networks):</t>
  </si>
  <si>
    <t>Name of receiving entity or installation</t>
  </si>
  <si>
    <t>Total heat exported to outside ETS:</t>
  </si>
  <si>
    <t>Heat losses (=j-l-m)</t>
  </si>
  <si>
    <t>This table shows calculated heat losses (i.e. the amount of heat not covered by points g,h,k,l and m) for reasons of completeness of the heat balance.</t>
  </si>
  <si>
    <t>If negative values are displayed this means that the heat consumption levels entered above exceed the amount of heat available from production and imports.</t>
  </si>
  <si>
    <t>Heat losses (calculated)</t>
  </si>
  <si>
    <t>Heat losses (fraction of heat available = e)</t>
  </si>
  <si>
    <t>Total amount of heat potentially part of the heat benchmark or district heating sub-installations (=l+m):</t>
  </si>
  <si>
    <t>Total heat benchmark sub-installations:</t>
  </si>
  <si>
    <t>Final result: Amount of heat attributable to heat benchmark or district heating sub-installations</t>
  </si>
  <si>
    <t>This result is calculated as point (o) multiplied with the corrected eligibility ratio determined under (k).</t>
  </si>
  <si>
    <t>The maximum allowed value is the eligible amount identified under point (j).ii.</t>
  </si>
  <si>
    <t>Heat eligible for heat benchmark sub-installations</t>
  </si>
  <si>
    <t>Sub-installation split - Input method:</t>
  </si>
  <si>
    <t>You can choose the method for entering the values in the table below under point (r). Available options are: "Absolute values" (enter TJ/year), or "percentages".</t>
  </si>
  <si>
    <t>Attribution of heat sub-installations to Carbon Leakage exposure levels:</t>
  </si>
  <si>
    <t>Please identify here the amount of measurable heat which is consumed by each sub-installation, where 100% refers to the sum calculated under point (p) above.</t>
  </si>
  <si>
    <t>Heat benchmark sub-installation "CL" (exposed to a significant risk of Carbon Leakage), "non-CL" (not exposed to carbon leakage risk; which includes heat exported to non-ETS installations and entities but not for district heating) and district heating sub-installation "non-CL".</t>
  </si>
  <si>
    <t>The data is automatically used again in sheet "G_Fall-back". Therefore data entry is mandatory here, if this tool is used.</t>
  </si>
  <si>
    <t>Figures for control:</t>
  </si>
  <si>
    <t>Waste gas balance</t>
  </si>
  <si>
    <t>Complete balance of waste gases at the installation</t>
  </si>
  <si>
    <t>This balance is mainly used for consistency checking between related entries made in the "waste gas tool" in section D.IV and the sub-installation level waste gas balances in sheets F and G.</t>
  </si>
  <si>
    <t>Where possible sections below are automatically filled with data entered in these sections.</t>
  </si>
  <si>
    <t>Are any waste gases produced or consumed in, imported to or exported from this installation?</t>
  </si>
  <si>
    <t>It this question is set to "false", entries here are not relevant and you may proceed with the next point below.</t>
  </si>
  <si>
    <t>Waste gases produced within the system boundaries of a product benchmark sub-installation</t>
  </si>
  <si>
    <t>Information is taken from section F.(l).v. If relevant, you must ensure that you have entered complete data there.</t>
  </si>
  <si>
    <t>Sub-installation</t>
  </si>
  <si>
    <t>Waste gases produced outside the system boundaries of a product benchmark sub-installation</t>
  </si>
  <si>
    <t>Information is taken from section D.IV. If relevant, you must ensure that you have entered complete data there.</t>
  </si>
  <si>
    <t>Note that entries there might relate to waste gases produced in other installations from which they are imported.</t>
  </si>
  <si>
    <t>from section D.IV.</t>
  </si>
  <si>
    <t>Waste gas 1</t>
  </si>
  <si>
    <t>Waste gas 2</t>
  </si>
  <si>
    <t>Sum of waste gases (=a+b)</t>
  </si>
  <si>
    <t>Waste gases produced</t>
  </si>
  <si>
    <t>Waste gases imported from other installations or entities</t>
  </si>
  <si>
    <t>Please make sure that there is no double counting with (b) where imported amounts are included there.</t>
  </si>
  <si>
    <t>Waste gases exported to other installations or entities</t>
  </si>
  <si>
    <t>Sum of waste gases available at installation (=c+d-e)</t>
  </si>
  <si>
    <t>Waste gases available</t>
  </si>
  <si>
    <t>Waste gases consumed within product benchmark sub-installations</t>
  </si>
  <si>
    <t>Information is taken from section F.(l).viii. If relevant, you must ensure that you have entered complete data there.</t>
  </si>
  <si>
    <t>Type of product BM sub-installation</t>
  </si>
  <si>
    <t>Waste gases consumed within fall-back sub-installations</t>
  </si>
  <si>
    <t>Information is taken from corresponding entries in sheet "G_Fall-back". If relevant, you must ensure that you have entered complete data there.</t>
  </si>
  <si>
    <t>Type of fall-back sub-installation</t>
  </si>
  <si>
    <t>District heating sub-installation, non-CL</t>
  </si>
  <si>
    <t>Amount of waste gases consumed for the production of electricity</t>
  </si>
  <si>
    <t>Waste gases for electricity</t>
  </si>
  <si>
    <t>Amount of waste gases flared other than safety flaring</t>
  </si>
  <si>
    <t>For product BM sub-installations, information is taken automatically from entries in sheet "F_ProductBM".</t>
  </si>
  <si>
    <t>For waste gases produced outside product BM sub-installations and flared for non-safety flaring need to be entered here.</t>
  </si>
  <si>
    <t>produced outside product BM sub-installations</t>
  </si>
  <si>
    <t>Plausibility check</t>
  </si>
  <si>
    <t>This is to check completeness of the waste gas balance. If different from zero, please check for any inconsistencies in the values listed above.</t>
  </si>
  <si>
    <t>Difference (calculated)</t>
  </si>
  <si>
    <t>Difference (as fraction of f)</t>
  </si>
  <si>
    <t>Complete balance of electricity at the installation</t>
  </si>
  <si>
    <t>Does the installation produce electricity?</t>
  </si>
  <si>
    <t>Note that this question applies to all installations and is not directly related to whether the installation is an "electricity generator" within the meaning of Article 3(u) of the EU ETS Directive. If the answer here is "false", entries below are optional.</t>
  </si>
  <si>
    <t>Total net amount of electricity produced in the installation</t>
  </si>
  <si>
    <t>Other electricity production includes e.g. hydro, wind, solar power, from expansion turbines and other non-ETS processes.</t>
  </si>
  <si>
    <t>Other electricity produced</t>
  </si>
  <si>
    <t>Total electricity imported from the grid or from other installations</t>
  </si>
  <si>
    <t>Electricity imported</t>
  </si>
  <si>
    <t>Total electricity exported to the grid or to other installations</t>
  </si>
  <si>
    <t>Electricity exported</t>
  </si>
  <si>
    <t>Total electricity available for use in the installation (= b+c-d)</t>
  </si>
  <si>
    <t>Electricity useable</t>
  </si>
  <si>
    <t>Total electricity consumed in the installation</t>
  </si>
  <si>
    <t>Electricity consumed in the installation</t>
  </si>
  <si>
    <t>Plausibility check: Sum of electricity input in sheet "F_ProductBM" for exchangability of electricity</t>
  </si>
  <si>
    <t>Electricity entered as exchangeable</t>
  </si>
  <si>
    <t>Compare to (f)</t>
  </si>
  <si>
    <t>F. 
Product BM</t>
  </si>
  <si>
    <t>Sheet "ProductBM" - SUB-INSTALLATION DATA RELATING TO PRODUCT BENCHMARKS</t>
  </si>
  <si>
    <t>The navigation bar above only contains links to the relevant sub-installations listed in section A.III.1.</t>
  </si>
  <si>
    <t>Historic Activity levels and disaggregated production details</t>
  </si>
  <si>
    <t>This sheet serves the following two purposes:</t>
  </si>
  <si>
    <t>data needed to determine the amount of free allocation of product benchmark sub-installations;</t>
  </si>
  <si>
    <t>data needed to determine improvement rates of product benchmark values.</t>
  </si>
  <si>
    <t>Historic activity levels</t>
  </si>
  <si>
    <t>Under this point the "main activity levels" should be reported, i.e. the data which is directly applicable for the calculation of the allocation.</t>
  </si>
  <si>
    <t xml:space="preserve">Usually this is the production data of the product, e.g. tonnes of grey cement clinker or tonnes of glass bottles, as defined by Annex I of the FAR. </t>
  </si>
  <si>
    <t>However, if a message appears under point (b), the appropriate calculation tool has to be used, and its results are automatically copied into this table under (ii).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</si>
  <si>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</si>
  <si>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Corresponding entries are required in column N for that year which will either be 2019 or 2020. However, since the annual production for that year will not be known at the time of the NIMs submission, entries here can only be done at a later stage.</t>
  </si>
  <si>
    <t>Annual activity levels:</t>
  </si>
  <si>
    <t>From sheet "H_SpecialBM":</t>
  </si>
  <si>
    <t>Values used for calculation:</t>
  </si>
  <si>
    <t>Special reporting requirements:</t>
  </si>
  <si>
    <t>Some product benchmarks require special information to be reported (e.g. CWT values). If relevant, an automatically generated message will appear here.</t>
  </si>
  <si>
    <t>Further correction factors</t>
  </si>
  <si>
    <t>Exchangeability of fuel and electricity:</t>
  </si>
  <si>
    <t>If relevant, an automatically generated message will appear here demanding the input needed for taking into account the exchangeability of fuels and electricity.</t>
  </si>
  <si>
    <t>According to Article 22 of the FAR the "direct emissions", the net amount of "imported heat" and the "relevant electricity consumption" are needed.</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</si>
  <si>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</si>
  <si>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Parameter</t>
  </si>
  <si>
    <t>Net imported heat</t>
  </si>
  <si>
    <t>Relevant electricity consumption</t>
  </si>
  <si>
    <t>Total direct emissions</t>
  </si>
  <si>
    <t>Indirect emissions</t>
  </si>
  <si>
    <t>Heat imported from non-ETS installations or entities:</t>
  </si>
  <si>
    <t>Pursuant to Article 21 of the FAR, an amount of emissions has to be deducted from the preliminary annual allocation from product-benchmark sub-installations.</t>
  </si>
  <si>
    <t>That amount is the amount of measurable heat imported from non-ETS installations (including any heat from nitric acid sub-installations) or entities multiplied with the heat benchmark.</t>
  </si>
  <si>
    <t>Please enter the appropriate values here. Note that the values have to be consistent with the sub-totals for import from non-ETS under point E.II.c in sheet "E_Energy flows".</t>
  </si>
  <si>
    <t>The data must also be consistent with the total net measurable heat imported entered under point (k).i below.</t>
  </si>
  <si>
    <t>Measurable heat imported from non-ETS:</t>
  </si>
  <si>
    <t>Consistency check with sheet "E_Energy flows":</t>
  </si>
  <si>
    <t>Consistency check with point (k)(i):</t>
  </si>
  <si>
    <t>Production details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</si>
  <si>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</si>
  <si>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</si>
  <si>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 codes shall be entered in the form "nnnnnnnn", i.e. without any dots or other delimiters in between. Only if PRODCOM are not available, at least a 4-digit level NACE code should be provided in the form of "nnnn".</t>
  </si>
  <si>
    <t>A list of PRODCOM 2010 codes can be found at:</t>
  </si>
  <si>
    <t>http://ec.europa.eu/eurostat/ramon/nomenclatures/index.cfm?TargetUrl=LST_CLS_DLD&amp;StrNom=PRD_2010&amp;StrLanguageCode=EN&amp;StrLayoutCode=HIERARCHIC</t>
  </si>
  <si>
    <t>Individual production levels of products included in this product benchmark sub-installation</t>
  </si>
  <si>
    <t>Name of product or group of products</t>
  </si>
  <si>
    <t>Sum of production levels</t>
  </si>
  <si>
    <t>Data required for the determination of the benchmark improvement rate pursuant to Article 10a(2) of the EU ETS Directive</t>
  </si>
  <si>
    <t xml:space="preserve">Please note that although some guidance is provided for each of the points below, further information should be sought in Guidance Document No. 5 ("Monitoring and Reporting  in relation to the FAR") which also includes examples. </t>
  </si>
  <si>
    <t xml:space="preserve">The Guidance can be downloaded from: </t>
  </si>
  <si>
    <t>https://ec.europa.eu/clima/policies/ets/allowances_en#tab-0-1</t>
  </si>
  <si>
    <t>Upon entries made below, the attributable emissions are calculated in section K.III.2 of the summary sheet.</t>
  </si>
  <si>
    <t>Directly attributable emissions (DirEm* (MP source streams)) to this sub-installation</t>
  </si>
  <si>
    <t>Data provided here will impact the attributable emissions in accordance with section 10.1.1 of Annex VII of the FAR.</t>
  </si>
  <si>
    <t>Please enter here the Directly attributable emissions (DirEm* (MP source streams)) to this sub-installation taking into account the following provisions: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</si>
  <si>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</si>
  <si>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</si>
  <si>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Measurable heat: where the heat is exclusively produced for one sub-installation, the emissions may be directly attributed here via the fuel’s emissions. </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</si>
  <si>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</si>
  <si>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</si>
  <si>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Measurable heat exported: where such heat is recovered from the process and exported, no corrections should be made here. The deduction for the associated emissions will be done based on entries under point (k).v. below.</t>
  </si>
  <si>
    <t>Waste gases: emissions from waste gases which are IMPORTED from other installations or sub-installations and consumed in this sub-installation, should not be included here but under point (l) below.</t>
  </si>
  <si>
    <t>Directly attributable emissions (DirEm*)</t>
  </si>
  <si>
    <t>Fuel input to this sub-installation and relevant emission factor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</si>
  <si>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</si>
  <si>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</si>
  <si>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The weighted emission factor should furthermore include emissions from corresponding flue gas cleaning, if applicable.</t>
  </si>
  <si>
    <t>Data provided here are only used for consistency checking and have no direct impact on either the attributable emissions or the allocation.</t>
  </si>
  <si>
    <t>Fuel input</t>
  </si>
  <si>
    <t>Weighted emission factor</t>
  </si>
  <si>
    <t>Further internal source streams imported to or exported from this sub-installation</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</si>
  <si>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</si>
  <si>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</si>
  <si>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</si>
  <si>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</si>
  <si>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Conversely, if this is the hot metal benchmark sub-installation in an integrated iron&amp;steel plant, coke needs to be listed here as ingoing/imported "internal" source stream with positive amounts.</t>
  </si>
  <si>
    <t>Are further imported or exported internal source streams relevant for this sub-installation?</t>
  </si>
  <si>
    <t>If there are more than two source streams imported or exported, multiple source streams should be grouped together and respective names provided.</t>
  </si>
  <si>
    <t>Name of further source streams - 1:</t>
  </si>
  <si>
    <t>Further source streams - 1</t>
  </si>
  <si>
    <t>Amount imported or exported</t>
  </si>
  <si>
    <t>Net calorific value (NCV), if applicable</t>
  </si>
  <si>
    <t>Carbon content (mass %)</t>
  </si>
  <si>
    <t>Biomass content (as fraction of carbon)</t>
  </si>
  <si>
    <t>Emissions (fossil, calculated)</t>
  </si>
  <si>
    <t>Memo-Item: Biomass emissions</t>
  </si>
  <si>
    <t>Energy content (calculated)</t>
  </si>
  <si>
    <t>Error messages (emissions)</t>
  </si>
  <si>
    <t>Name of further source streams - 2:</t>
  </si>
  <si>
    <t>Further source streams - 2</t>
  </si>
  <si>
    <t>Amount of GHG imported or exported as feedstock</t>
  </si>
  <si>
    <t>As required by Annex IV, section 3.1(k) of the FAR, please provide here the amount of transferred CO2 imported from or exported to other sub-installations, installations or other entities, in line with the rules set out in the M&amp;R Regulation.</t>
  </si>
  <si>
    <t>Exported amounts should be entered as negative values and correspond to CO2 that is exported and not released to the atmosphere by this sub-installation.</t>
  </si>
  <si>
    <t>GHG imported or exported</t>
  </si>
  <si>
    <t>Measurable heat import to and export from this sub-installation</t>
  </si>
  <si>
    <t>Data provided here will impact the attributable emissions in accordance with sections 10.1.2 and 10.1.3 of Annex VII of the FAR.</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</si>
  <si>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</si>
  <si>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</si>
  <si>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Where the heat is exclusively produced for one sub-installation and corresponding emissions therefore entered under (g) above, corresponding amounts should not be reported here as imports to avoid double counting. </t>
  </si>
  <si>
    <t>For attributing emissions from cogeneration (CHP) to production of heat, the "CHP tool" in section D.III. of this template has to be used.</t>
  </si>
  <si>
    <t>Total heat imported</t>
  </si>
  <si>
    <t>Net heat imported</t>
  </si>
  <si>
    <t>Specific EF (imported heat)</t>
  </si>
  <si>
    <t>Special heat import</t>
  </si>
  <si>
    <t>Net heat imported from pulp sub-installations</t>
  </si>
  <si>
    <t>Net heat imported from nitric acid sub-installation</t>
  </si>
  <si>
    <t>Total heat exported</t>
  </si>
  <si>
    <t>Net heat exported</t>
  </si>
  <si>
    <t>Specific EF (exported heat)</t>
  </si>
  <si>
    <t>Waste gas balance for this sub-installation</t>
  </si>
  <si>
    <t>Are waste gases relevant for this sub-installation?</t>
  </si>
  <si>
    <t>If the answer is "false" the whole section will be greyed out and you can continue with the next points below.</t>
  </si>
  <si>
    <t>Types of waste gases produced:</t>
  </si>
  <si>
    <t>You may choose to report either as tonnes or as 1000 Nm3. The units must be consistent with those for the NCV and EF below.</t>
  </si>
  <si>
    <t>Amounts produced</t>
  </si>
  <si>
    <t>Waste gas produced</t>
  </si>
  <si>
    <t>Specific EF (produced waste gas)</t>
  </si>
  <si>
    <t>Types of waste gases consumed:</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</si>
  <si>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</si>
  <si>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Amounts consumed</t>
  </si>
  <si>
    <t>Waste gas consumed</t>
  </si>
  <si>
    <t>Specific EF (consumed waste gas)</t>
  </si>
  <si>
    <t>Types of waste gases flared:</t>
  </si>
  <si>
    <t>This includes all types of waste gases that are ultimately flared other than safety flaring, either within or outside this sub-installation.</t>
  </si>
  <si>
    <t>Data provided here are only used for consistency checking and have no direct impact on the attributable emissions.</t>
  </si>
  <si>
    <t>However, as of 2026, allocation will be reduced with respect to flaring of waste gases other than safety flaring.</t>
  </si>
  <si>
    <t>Amounts flared</t>
  </si>
  <si>
    <t>Waste gas flared</t>
  </si>
  <si>
    <t>Specific EF (flared waste gas)</t>
  </si>
  <si>
    <t>Types of waste gases imported:</t>
  </si>
  <si>
    <t>Data provided here will impact the attributable emissions in accordance with section 10.1.5 of Annex VII of the FAR.</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</si>
  <si>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</si>
  <si>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Amounts imported</t>
  </si>
  <si>
    <t>Waste gas imported</t>
  </si>
  <si>
    <t>Specific EF (imported waste gas)</t>
  </si>
  <si>
    <t>Types of waste gases exported:</t>
  </si>
  <si>
    <t>This includes all types of waste gases that are produced within the system boundaries of this sub-installation and exported from this sub-installation to any other sub-installation as well as to any other installations or entities.</t>
  </si>
  <si>
    <t>Amounts exported</t>
  </si>
  <si>
    <t>Waste gas exported</t>
  </si>
  <si>
    <t>Specific EF (exported waste gas)</t>
  </si>
  <si>
    <t>Data provided here will impact the attributable emissions in accordance with chapter 10 of Annex VII of the FAR.</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</si>
  <si>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</si>
  <si>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Electricity produced</t>
  </si>
  <si>
    <t>Total amount of pulp produced</t>
  </si>
  <si>
    <t>Pursuant to Annex IV, section 2.4(k), the total amount of pulp produced for the short fibre kraft pulp, long fibre kraft pulp, thermo-mechanical pulp and mechanical pulp, sulphite pulp product benchmark sub-installations should be reported.</t>
  </si>
  <si>
    <t>This section will be greyed out if this is not one of those pulp producing sub-installation. In such case, please continue with the points below.</t>
  </si>
  <si>
    <t>Data provided here will be relevant for the update of the specific pulp benchmark.</t>
  </si>
  <si>
    <t>Import or export of intermediate products covered by product benchmarks</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</si>
  <si>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</si>
  <si>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Data provided here might impact the update of the specific benchmark.</t>
  </si>
  <si>
    <t>Is there any import or export of intermediate products covered by product benchmarks?</t>
  </si>
  <si>
    <t>Imported amounts:</t>
  </si>
  <si>
    <t>Exported amounts:</t>
  </si>
  <si>
    <t>Description of the intermediate products imported or exported</t>
  </si>
  <si>
    <t>Please provide a brief description of the production process with respect to the intermediate products imported or exported.</t>
  </si>
  <si>
    <t>Consistency check with point (n):</t>
  </si>
  <si>
    <t>For attributing emissions from cogeneration (CHP) to production of heat, the "CHP tool" in section D.III. has to be used.</t>
  </si>
  <si>
    <t>Net heat imported from pulp</t>
  </si>
  <si>
    <t>G. 
Fall-back</t>
  </si>
  <si>
    <t>Sheet "Fall-back" - SUB-INSTALLATION DATA RELATING TO FALL-BACK SUB-INSTALLATIONS</t>
  </si>
  <si>
    <t>The navigation bar above only contains links to sub-installations that are selected as "relevant" in section A.III.2.</t>
  </si>
  <si>
    <t>The name of the fall-back sub-installation is displayed automatically based on the overall list of possible fall-back installations.</t>
  </si>
  <si>
    <t>data needed to determine the amount of free allocation of fall-back benchmark sub-installations</t>
  </si>
  <si>
    <t>data needed to determine improvement rates of fall-back benchmark values</t>
  </si>
  <si>
    <t>The following data is taken automatically from sheet "E_EnergyFlows", section E.II.r. Thus, data input is mandatory there.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</si>
  <si>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</si>
  <si>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Main activity level:</t>
  </si>
  <si>
    <t>Identification of relevant products or services associated with this sub-installation</t>
  </si>
  <si>
    <t>Please list here to which production processes or services this sub-installation relates. This may include the following items:</t>
  </si>
  <si>
    <t>Production of goods not covered by product benchmarks within the installation (please provide types of product);</t>
  </si>
  <si>
    <t>production of mechanical energy, heating or cooling (all uses excluding production of electricity);</t>
  </si>
  <si>
    <t>export of heat to installations or other entities (other than district heating). In this case please indicate the use of heat in that installation or entity, if known.</t>
  </si>
  <si>
    <t>NACE codes can be used instead of PRODCOM if several similar products within the same NACE group are covered.</t>
  </si>
  <si>
    <t>If the heat is exported, the connected installation or entity as input in sheet A_InstallationData section IV can be selected.</t>
  </si>
  <si>
    <t>Use type</t>
  </si>
  <si>
    <t>Within installation or export?</t>
  </si>
  <si>
    <t>Product name, or heat export other than "district heating"</t>
  </si>
  <si>
    <t>Production levels:</t>
  </si>
  <si>
    <t>Directly attributable emissions (DirEm*) to this sub-installation</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</si>
  <si>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</si>
  <si>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</si>
  <si>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</si>
  <si>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Measurable heat: where the heat is exclusively produced for this sub-installation, the emissions may be directly attributed here via the fuel’s emissions. </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</si>
  <si>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</si>
  <si>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</si>
  <si>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As required by FAR Annex IV, section 2.4(a), please provide the total fuel input and a corresponding weighted emission factor taking into account the related energy content of each fuel.</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</si>
  <si>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</si>
  <si>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Fuel input from waste gases includes the corresponding energy input to produce the measurable heat used by this sub-installation.</t>
  </si>
  <si>
    <t>The values entered here are used for the waste gas balance in section E.III.h.</t>
  </si>
  <si>
    <t>Total fuel input</t>
  </si>
  <si>
    <t>Fuel input from waste gases</t>
  </si>
  <si>
    <t>Specific EF (waste gas)</t>
  </si>
  <si>
    <t xml:space="preserve">Please enter here the measurable heat produced pursuant to section 3.2(a) of Annex IV of the FAR. </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</si>
  <si>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</si>
  <si>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Measurable heat imported</t>
  </si>
  <si>
    <t>Please enter below the amount of measurable heat imported from each of the following sources:</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</si>
  <si>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</si>
  <si>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</si>
  <si>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Heat from pulp: this includes heat imported from sub-installations producing pulp.</t>
  </si>
  <si>
    <t>Heat from fuel BM: this includes measurable heat recovered from waste heat from fuel BM sub-installations.</t>
  </si>
  <si>
    <t>Heat from waste gases: this includes measurable heat which is produced from waste gases.</t>
  </si>
  <si>
    <t>Do not include here any heat imports from "non-eligible" sources, i.e. installations not covered by the EU ETS, or heat produced in nitric acid sub-installations.</t>
  </si>
  <si>
    <t>The specific emission factors (EF) associated with the heat should take into account the provisions in FAR Annex VII sections 8 and 10, in particular sections 10.1.2 and 10.1.3 thereof.</t>
  </si>
  <si>
    <t>Net heat imported (other sources)</t>
  </si>
  <si>
    <t>Heat from product BM</t>
  </si>
  <si>
    <t>Specific EF (from product BM)</t>
  </si>
  <si>
    <t>Heat from pulp</t>
  </si>
  <si>
    <t>Specific EF (from pulp)</t>
  </si>
  <si>
    <t>Heat from fuel BM</t>
  </si>
  <si>
    <t>Specific EF (from fuelBM)</t>
  </si>
  <si>
    <t>Heat from waste gases</t>
  </si>
  <si>
    <t>Specific EF (from waste gas)</t>
  </si>
  <si>
    <t>Total net heat imported</t>
  </si>
  <si>
    <t>Detailed instructions for data entries here can be found under point 1.c above</t>
  </si>
  <si>
    <t>Detailed instructions for data entries here can be found under point 1.d above.</t>
  </si>
  <si>
    <t>Detailed instructions for data entries here can be found under point 1.e above.</t>
  </si>
  <si>
    <t>Detailed instructions for data entries here can be found under point 1.f above.</t>
  </si>
  <si>
    <t>District heating network</t>
  </si>
  <si>
    <t>District heating</t>
  </si>
  <si>
    <t>Detailed instructions for data entries here can be found under point 1.c above.</t>
  </si>
  <si>
    <t>Waste gases consumed</t>
  </si>
  <si>
    <t>The following data is taken automatically from sheet "E_EnergyFlows", section E.I.c. Thus, data input is mandatory there.</t>
  </si>
  <si>
    <t>production of mechanical energy, heating or cooling (all uses excluding production of electricity).</t>
  </si>
  <si>
    <t>Product name or service type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</si>
  <si>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</si>
  <si>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Emissions from the combustion of waste gases should however not be included here but under point (d).iii below.</t>
  </si>
  <si>
    <t>Values for i. and ii. are automatically generated based on entries under (a) and (c) above.</t>
  </si>
  <si>
    <t>Under iii. and iv. the fuel input from waste gases and the corresponding emission factor has to be entered, respectively.</t>
  </si>
  <si>
    <t>Fuel input entered under (a)</t>
  </si>
  <si>
    <t>Weighted emission factor (=c./d.)</t>
  </si>
  <si>
    <t>This concerns any waste heat recovered and eligible for a heat BM or district heating sub-installation.</t>
  </si>
  <si>
    <t>Detailed instructions for data entries here can be found under point 4.c above.</t>
  </si>
  <si>
    <t>Detailed instructions for data entries here can be found under point 4.d above.</t>
  </si>
  <si>
    <t>Values entered here should include eligible emissions from any waste gases as determined in section D.IV.</t>
  </si>
  <si>
    <t>This type of sub-installation always relates to production of goods not covered by product benchmarks within the installation.</t>
  </si>
  <si>
    <t>Process emission type</t>
  </si>
  <si>
    <t>Disaggregation of production levels:</t>
  </si>
  <si>
    <t>H. 
Special BM</t>
  </si>
  <si>
    <t>CWT (Refinery products)</t>
  </si>
  <si>
    <t>Tool for calculating the historical activity levels for refinery sub-installations</t>
  </si>
  <si>
    <t>This tool helps you determine the HAL (historical activity levels) for the refinery benchmark (Annex III point 1 of the FAR).</t>
  </si>
  <si>
    <t>For the aromatics benchmark, which also uses CWT, please use the specific CWT tool for aromatics below (section V of this sheet).</t>
  </si>
  <si>
    <t>The result of this tool is automatically copied into sheet "F_ProductBM", input line "(a).ii" of the appropriate sub-installation.</t>
  </si>
  <si>
    <t>Relevance of this tool in your installation:</t>
  </si>
  <si>
    <t>This message is automatically generated based on your inputs in sheet "A_InstallationData", section A.III.1.</t>
  </si>
  <si>
    <t>CWT throughput data</t>
  </si>
  <si>
    <t>Please enter here the annual throughput data for each CWT function.</t>
  </si>
  <si>
    <t>For the definition and boundaries of each CWT function please see Annex II point 1 of the FAR.</t>
  </si>
  <si>
    <t>For the basis the following abbreviations are used:</t>
  </si>
  <si>
    <t>Net fresh feed</t>
  </si>
  <si>
    <t>Reactor feed (includes recycle)</t>
  </si>
  <si>
    <t>Product feed</t>
  </si>
  <si>
    <t>Synthesis gas production for POX units</t>
  </si>
  <si>
    <t>Important note:  In accordance with Annex II of the FAR, the units for reporting are kilotonnes throughput.</t>
  </si>
  <si>
    <t>CWT function</t>
  </si>
  <si>
    <t>Basis (kt/a)</t>
  </si>
  <si>
    <t>CWT factor</t>
  </si>
  <si>
    <t>Atmospheric Crude Distillation</t>
  </si>
  <si>
    <t xml:space="preserve">Vacuum Distillation </t>
  </si>
  <si>
    <t xml:space="preserve">Solvent Deasphalting </t>
  </si>
  <si>
    <t xml:space="preserve">Visbreaking </t>
  </si>
  <si>
    <t>Thermal Cracking</t>
  </si>
  <si>
    <t xml:space="preserve">Delayed Coking </t>
  </si>
  <si>
    <t xml:space="preserve">Fluid Coking </t>
  </si>
  <si>
    <t xml:space="preserve">Flexicoking </t>
  </si>
  <si>
    <t xml:space="preserve">Coke Calcining </t>
  </si>
  <si>
    <t>Fluid Catalytic Cracking</t>
  </si>
  <si>
    <t xml:space="preserve">Other Catalytic Cracking </t>
  </si>
  <si>
    <t xml:space="preserve">Distillate / Gasoil Hydrocracking </t>
  </si>
  <si>
    <t xml:space="preserve">Residual Hydrocracking </t>
  </si>
  <si>
    <t>Naphtha/Gasoline Hydrotreating</t>
  </si>
  <si>
    <t xml:space="preserve">Kerosene/ Diesel Hydrotreating </t>
  </si>
  <si>
    <t xml:space="preserve">Residual Hydrotreating </t>
  </si>
  <si>
    <t>VGO Hydrotreating</t>
  </si>
  <si>
    <t xml:space="preserve">Hydrogen Production </t>
  </si>
  <si>
    <t>Catalytic Reforming</t>
  </si>
  <si>
    <t xml:space="preserve">Alkylation </t>
  </si>
  <si>
    <t>C4 Isomerisation</t>
  </si>
  <si>
    <t>C5/C6 Isomerisation</t>
  </si>
  <si>
    <t xml:space="preserve">Oxygenate Production </t>
  </si>
  <si>
    <t xml:space="preserve">Propylene Production </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</si>
  <si>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</si>
  <si>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</si>
  <si>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</si>
  <si>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</si>
  <si>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</si>
  <si>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</si>
  <si>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</si>
  <si>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</si>
  <si>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</si>
  <si>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</si>
  <si>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Phthalic anhydride production</t>
  </si>
  <si>
    <t>Maleic anhydride production</t>
  </si>
  <si>
    <t>Ethylbenzene production</t>
  </si>
  <si>
    <t>Cumene production</t>
  </si>
  <si>
    <t>Phenol production</t>
  </si>
  <si>
    <t>Lube solvent extraction</t>
  </si>
  <si>
    <t>Lube solvent dewaxing</t>
  </si>
  <si>
    <t>Catalytic Wax Isomerisation</t>
  </si>
  <si>
    <t xml:space="preserve">Lube Hydrocracker </t>
  </si>
  <si>
    <t xml:space="preserve">Wax Deoiling </t>
  </si>
  <si>
    <t xml:space="preserve">Lube/Wax Hydrotreating </t>
  </si>
  <si>
    <t>Solvent Hydrotreating</t>
  </si>
  <si>
    <t>Solvent Fractionation</t>
  </si>
  <si>
    <t>Mol sieve for C10+ paraffins</t>
  </si>
  <si>
    <t>Partial Oxidation of Residual Feeds (POX) for Fuel</t>
  </si>
  <si>
    <t>Partial Oxidation of Residual Feeds (POX) for Hydrogen or Methanol</t>
  </si>
  <si>
    <t>Methanol from syngas</t>
  </si>
  <si>
    <t>Air Separation</t>
  </si>
  <si>
    <t>Fractionation of purchased NGL</t>
  </si>
  <si>
    <t>Flue gas treatment</t>
  </si>
  <si>
    <t>Treatment and Compression of Fuel Gas for Sales</t>
  </si>
  <si>
    <t>Seawater Desalination</t>
  </si>
  <si>
    <t>Result: Activity levels for the refinery benchmark expressed as CWT</t>
  </si>
  <si>
    <t>Here the refinery activity level is calculated using the formula given in the FAR, Annex III point 1 (before determining the average value).</t>
  </si>
  <si>
    <t>Important note: The reporting above is done in kilotonnes, but the benchmark is expressed in t CO2/CWT, where CWT is expressed in tonnes.</t>
  </si>
  <si>
    <t>Therefore the results below are multiplied with a factor of 1000, which is not explicitly mentioned in Annex III point 1 of the FAR.</t>
  </si>
  <si>
    <t>The result of this tool is used in sheet "F_ProductBM", input line (a).ii of the appropriate sub-installation, from which the average is calculated.</t>
  </si>
  <si>
    <t>Refinery activity level</t>
  </si>
  <si>
    <t>Lime</t>
  </si>
  <si>
    <t>Tool for calculating the historical activity levels for lime sub-installations</t>
  </si>
  <si>
    <t>This tool helps you determine the HAL (historical activity levels) for the lime benchmark (Annex III point 2 of the FAR)</t>
  </si>
  <si>
    <t>Uncorrected Lime production:</t>
  </si>
  <si>
    <t>Please enter here the annual production data expressed as tonnes of lime, without correction for the composition data:</t>
  </si>
  <si>
    <t>uncorrected lime production</t>
  </si>
  <si>
    <t>Composition data:</t>
  </si>
  <si>
    <t>Pursuant to Annex III point 2 of the FAR, the following data is required:</t>
  </si>
  <si>
    <t>content of free CaO in the produced lime in each year of the baseline period expressed as mass-%</t>
  </si>
  <si>
    <t>In case no data on the content of free CaO is available, a conservative estimate not lower than 85% shall be applied.</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</si>
  <si>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</si>
  <si>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</si>
  <si>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</si>
  <si>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</si>
  <si>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</si>
  <si>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Here the corrected lime activity level is calculated using the formula given in the FAR, Annex III point 2 (before determining the average value).</t>
  </si>
  <si>
    <t>production of standard pure lime</t>
  </si>
  <si>
    <t>Dolime</t>
  </si>
  <si>
    <t>Tool for calculating the historical activity levels for Dolime sub-installations</t>
  </si>
  <si>
    <t>This tool helps you determine the HAL (historical activity levels) for the Dolime benchmark (Annex III point 3 of the FAR). It is not to be used for "sintered dolime".</t>
  </si>
  <si>
    <t>Uncorrected Dolime production:</t>
  </si>
  <si>
    <t>Please enter here the annual production data expressed as tonnes of dolime, without correction for the composition data:</t>
  </si>
  <si>
    <t>uncorrected dolime production</t>
  </si>
  <si>
    <t>Pursuant to Annex III point 3 of the FAR, the following data is required:</t>
  </si>
  <si>
    <t>content of free CaO in the produced dolime in each year of the baseline period expressed as mass-%</t>
  </si>
  <si>
    <t>In case no data on the content of free CaO is available, a conservative estimate not lower than 52% shall be applied.</t>
  </si>
  <si>
    <t>content of free MgO in the produced dolime in each year of the baseline period expressed as mass-%</t>
  </si>
  <si>
    <t>In case no data on the content of free MgO is available, a conservative estimate not lower than 33% shall be applied.</t>
  </si>
  <si>
    <t>Result: Activity levels for dolime expressed as standard pure dolime</t>
  </si>
  <si>
    <t>Here the corrected dolime activity level is calculated using the formula given in the FAR, Annex III point 3 (before determining the average value).</t>
  </si>
  <si>
    <t>production of standard pure dolime</t>
  </si>
  <si>
    <t>Steam cracking</t>
  </si>
  <si>
    <t>Tool for calculating the historical activity levels for steam cracking sub-installations</t>
  </si>
  <si>
    <t>This tool helps you determine the HAL (historical activity levels) for the steam cracking benchmark (Annex III point 4 of the FAR).</t>
  </si>
  <si>
    <t>Total production of high value chemicals (HVC total)</t>
  </si>
  <si>
    <t>Please enter here the annual production data expressed as tonnes HVC (without corrections)</t>
  </si>
  <si>
    <t>HVC total</t>
  </si>
  <si>
    <t>Supplemental feed data:</t>
  </si>
  <si>
    <t>Pursuant to Annex III point 4 of the FAR, the following data is required:</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</si>
  <si>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</si>
  <si>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</si>
  <si>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</si>
  <si>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Supplemental feed</t>
  </si>
  <si>
    <t>Hydrogen</t>
  </si>
  <si>
    <t>Ethylene</t>
  </si>
  <si>
    <t>Other HVC</t>
  </si>
  <si>
    <t>Result: Activity levels for net HVC</t>
  </si>
  <si>
    <t>Here the corrected activity level (net amount HVC) is calculated using the formula given in the FAR, Annex III point 4 (before determining the average value).</t>
  </si>
  <si>
    <t>Net HVC production levels</t>
  </si>
  <si>
    <t>Steam cracking tool part 2: Preliminary allocation (Article 19 of the FAR)</t>
  </si>
  <si>
    <t>This tool helps you determine the preliminary allocation for the steam cracking sub-installation (Article 19 of the FAR).</t>
  </si>
  <si>
    <t>It determines the amount which has to be added to the preliminary annual allocation after having corrected for electricity exchangeability.</t>
  </si>
  <si>
    <t>The required data on historical production of hydrogen, ethylene and other HVC from supplemental feed expressed as tonnes, taken from IV.1.c above;</t>
  </si>
  <si>
    <t>Production from supplemental feed:</t>
  </si>
  <si>
    <t>The data is automatically taken from section IV.1.c above. The multipliers are taken from Article 19 of the FAR.</t>
  </si>
  <si>
    <t>Production from supplemental feed</t>
  </si>
  <si>
    <t>Multiplier 
(t CO2 / t)</t>
  </si>
  <si>
    <t>Result: Amount to be added to the preliminary total allocation for the steam cracking sub-installation:</t>
  </si>
  <si>
    <t>Calculation based on the formula given in the FAR, Article 19.</t>
  </si>
  <si>
    <t>Amount for allocation correction:</t>
  </si>
  <si>
    <t>CWT (Aromatics)</t>
  </si>
  <si>
    <t>Tool for calculating the historical activity levels for aromatics sub-installations</t>
  </si>
  <si>
    <t>This tool helps you determine the HAL (historical activity levels) for the aromatics benchmark (Annex III point 5 of the FAR)</t>
  </si>
  <si>
    <t>For the refinery benchmark, which also uses CWT, please use the specific CWT tool for refineries above (section I of this sheet).</t>
  </si>
  <si>
    <t>For the definition and boundaries of each CWT function please see Annex II point 2 of the FAR.</t>
  </si>
  <si>
    <t>Naphtha/Gasoline Hydrotreater</t>
  </si>
  <si>
    <t>Result: Activity levels for the aromatics benchmark expressed as CWT</t>
  </si>
  <si>
    <t>Here the aromatics activity level is calculated using the formula given in the FAR, Annex III point 5 (before determining the average value).</t>
  </si>
  <si>
    <t>Important note: The reporting is done in ktonnes, but the benchmark is expressed in t CO2/CWT, where CWT is expressed in tonnes.</t>
  </si>
  <si>
    <t>Therefore the results below are multiplied with a factor of 1000, which is not explicitly mentioned in Annex III point 5 of the FAR.</t>
  </si>
  <si>
    <t>Aromatics activity level</t>
  </si>
  <si>
    <t>Tool for calculating the historical activity levels for hydrogen sub-installations</t>
  </si>
  <si>
    <t>This tool helps you determine the HAL (historical activity levels) for the hydrogen benchmark (Annex III point 6 of the FAR).</t>
  </si>
  <si>
    <t>Please note that percentages for Hydrogen content are to be expressed as Vol-%.</t>
  </si>
  <si>
    <t>Volume of total production of hydrogen (uncorrected)</t>
  </si>
  <si>
    <t>Please enter here the annual production data of hydrogen referred to historical hydrogen content in each year of the baseline period.</t>
  </si>
  <si>
    <t>Due to the very big figures for m3, the figures are to be entered as 1000 Nm3 (norm cubic meters referring to 0°C and 101.325 kPa).</t>
  </si>
  <si>
    <t>Total hydrogen production</t>
  </si>
  <si>
    <t>Hydrogen volume fraction VF(H2)</t>
  </si>
  <si>
    <t>Please enter here the historical production volume fraction of pure hydrogen in each year of the baseline period. This is a dimensionless figure.</t>
  </si>
  <si>
    <t xml:space="preserve">You can enter the figure of 95% either as "0.95" or as "95%". </t>
  </si>
  <si>
    <t>Volume fraction of hydrogen</t>
  </si>
  <si>
    <t>Result: Activity levels for hydrogen referred to as tonnes 100% H2</t>
  </si>
  <si>
    <t>Here the corrected activity level (100% hydrogen) is calculated using the formula given in the FAR, Annex III point 6 (before determining the average value).</t>
  </si>
  <si>
    <t>If the formula results in a negative value, it is replaced by zero.</t>
  </si>
  <si>
    <t>Hydrogen (as 100% pure H2)</t>
  </si>
  <si>
    <t>Synthesis gas</t>
  </si>
  <si>
    <t>Tool for calculating the historical activity levels for synthesis gas sub-installations</t>
  </si>
  <si>
    <t>This tool helps you determine the HAL (historical activity levels) for the synthesis gas benchmark (Annex III point 7 of the FAR).</t>
  </si>
  <si>
    <t>Please note that percentages for hydrogen content are to be expressed as Vol-%.</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</si>
  <si>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</si>
  <si>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</si>
  <si>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</si>
  <si>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</si>
  <si>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</si>
  <si>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Here the corrected activity level (referring to 47% H2) is calculated using the formula given in the FAR, Annex III point 7 (before determining the average value).</t>
  </si>
  <si>
    <t>Synthesis gas (47% H2 content)</t>
  </si>
  <si>
    <t>Ethylene oxide / glycols</t>
  </si>
  <si>
    <t>Tool for calculating the historical activity levels for ethylene oxide / ethylene glycols sub-installations</t>
  </si>
  <si>
    <t>This tool helps you determine the HAL (historical activity levels) for the ethylene oxide / ethylene glycols benchmark (Annex III point 8 of the FAR).</t>
  </si>
  <si>
    <t>Production data of Ethylene oxide and glycols:</t>
  </si>
  <si>
    <t>Please enter here the annual production data of the different products covered by this benchmark in each year of the baseline period.</t>
  </si>
  <si>
    <t>The table also displays the values of CF(EOE) used for calculation. CF(EOE) is the conversion factor for each substance relative to ethylene oxide.</t>
  </si>
  <si>
    <t>Ethylene oxide</t>
  </si>
  <si>
    <t>Monoethylene glycol</t>
  </si>
  <si>
    <t>Diethylene glycol</t>
  </si>
  <si>
    <t>Triethylene glycol</t>
  </si>
  <si>
    <t>Sum of products</t>
  </si>
  <si>
    <t>Result: Activity levels for the ethylene oxide / ethylene glycols product benchmark sub-installation:</t>
  </si>
  <si>
    <t>The historical activity level expressed in tonnes of ethylene oxide equivalents is calculated using the formula given in the FAR, Annex III point 8.</t>
  </si>
  <si>
    <t>Total Ethylene oxide equivalents</t>
  </si>
  <si>
    <t>Vinyl chloride monomer (VCM)</t>
  </si>
  <si>
    <t>Vinyl chloride monomer tool: Preliminary allocation (Article 20 of the FAR)</t>
  </si>
  <si>
    <t>This tool helps you determine the preliminary allocation for the vinyl chloride monomer ("VCM") sub-installation (Article 20 of the FAR).</t>
  </si>
  <si>
    <t>The following data is required:</t>
  </si>
  <si>
    <t>The activity levels as input in sheet "ProductBM", section (a), under the appropriate sub-installation;</t>
  </si>
  <si>
    <t>The direct emissions attributed to this sub-installation;</t>
  </si>
  <si>
    <t>Net amount of measurable heat imported by this sub-installation from other ETS installations;</t>
  </si>
  <si>
    <t>Hydrogen related emissions: I.e. historical heat consumption from hydrogen combustion multiplied with the heat benchmark.</t>
  </si>
  <si>
    <t>Emission related data:</t>
  </si>
  <si>
    <t>Please enter here the data required as outlined above.</t>
  </si>
  <si>
    <t>Net measurable heat imported</t>
  </si>
  <si>
    <t>Heat consumption from H2 combustion</t>
  </si>
  <si>
    <t>Hydrogen related emissions</t>
  </si>
  <si>
    <t>I. 
MS specific</t>
  </si>
  <si>
    <t>Sheet "MSspecific" -  ADDITIONAL DATA REQUIREMENTS BY THE MEMBER STATE</t>
  </si>
  <si>
    <t>To be defined by the Member State</t>
  </si>
  <si>
    <t>J. 
Comments</t>
  </si>
  <si>
    <t>Sheet "Comments" -  COMMENTS AND FURTHER INFORMATION</t>
  </si>
  <si>
    <t>Documents supporting this report</t>
  </si>
  <si>
    <t>Please list here all relevant documents which are submitted together with this report</t>
  </si>
  <si>
    <t>Additional documents will be needed to support this report. Please provide this information in an electronic format wherever possible.</t>
  </si>
  <si>
    <t>You can provide information as Microsoft Word, Excel, or Adobe Acrobat formats.</t>
  </si>
  <si>
    <t>If needed, check with your competent authority if other file formats than the ones mentioned above are acceptable.</t>
  </si>
  <si>
    <t xml:space="preserve">Additional documentation provided should be clearly referenced, and the file name / reference number provided below. </t>
  </si>
  <si>
    <t xml:space="preserve">You are advised to avoid supplying non-relevant information as it can slow down the approval of this report. </t>
  </si>
  <si>
    <t>Monitoring methodology plan as required by Article 4(2)(b) of the FAR (mandatory):</t>
  </si>
  <si>
    <t>Please provide file name(s) (if in an electronic format) or document reference number(s) (if hard copy) below:</t>
  </si>
  <si>
    <t>File name/Reference</t>
  </si>
  <si>
    <t>Document description</t>
  </si>
  <si>
    <t>Verification report as required by Article 4(2)(c) of the FAR (mandatory):</t>
  </si>
  <si>
    <t>Justification for any data gaps</t>
  </si>
  <si>
    <t>Article 12(2) of the FAR requires to provide justification for any data gaps and description of the method used to close them.</t>
  </si>
  <si>
    <t>Affected data set (AD, EF, Heat, electricity,...)</t>
  </si>
  <si>
    <t>Description of the data gap</t>
  </si>
  <si>
    <t>Justification</t>
  </si>
  <si>
    <t>Other documents:</t>
  </si>
  <si>
    <t>Free space for all kinds of supplemental information</t>
  </si>
  <si>
    <t>In space below you can enter all information which was not suitable for input in other sheets and which you consider important for the competent authority</t>
  </si>
  <si>
    <t>K. 
Summary</t>
  </si>
  <si>
    <t>Installation data</t>
  </si>
  <si>
    <t>Baseline Period &amp; Eligibility</t>
  </si>
  <si>
    <t>Emissions &amp; Energy Flows</t>
  </si>
  <si>
    <t>Sub-installation Data</t>
  </si>
  <si>
    <t>Preliminary allocation</t>
  </si>
  <si>
    <t>Sheet "Summary" - OVERVIEW OF MOST IMPORTANT DATA</t>
  </si>
  <si>
    <t>General information (section A.I):</t>
  </si>
  <si>
    <t>Installation Identifier:</t>
  </si>
  <si>
    <t>Member State:</t>
  </si>
  <si>
    <t>Verifier (company):</t>
  </si>
  <si>
    <t>Included in ETS before:</t>
  </si>
  <si>
    <t>Small emitter (Art. 27):</t>
  </si>
  <si>
    <t>Incumbent:</t>
  </si>
  <si>
    <t>Hospital:</t>
  </si>
  <si>
    <t>Starting date:</t>
  </si>
  <si>
    <t>Small emitter (Art. 27a):</t>
  </si>
  <si>
    <t>Units &lt; 300h:</t>
  </si>
  <si>
    <t>NACE code in 2010 (NACE rev 2):</t>
  </si>
  <si>
    <t>EPRTR ID:</t>
  </si>
  <si>
    <t>Technical connections (section A.IV):</t>
  </si>
  <si>
    <t>Connection Name</t>
  </si>
  <si>
    <t>EUTL identifier, if applicable</t>
  </si>
  <si>
    <t>Entity Type</t>
  </si>
  <si>
    <t>Baseline period and eligibility</t>
  </si>
  <si>
    <t>Eligibility for free allocation (section A.II.1):</t>
  </si>
  <si>
    <t>Electricity generator:</t>
  </si>
  <si>
    <t>CCS Installation:</t>
  </si>
  <si>
    <t>Installation covered by Art. 10a(3) of the ETS Directive:</t>
  </si>
  <si>
    <t>Installation produces Heat:</t>
  </si>
  <si>
    <t>Installation is eligible for free allocation under Article 10a of the EU ETS Directive:</t>
  </si>
  <si>
    <t>Baseline years (Section A.II.2)</t>
  </si>
  <si>
    <t>Year to be taken into account:</t>
  </si>
  <si>
    <t>Emissions and Energy Flows</t>
  </si>
  <si>
    <t>Data resulting from input under "Source streams" (Sheets B+C) or from Emissions summary (section D.I)</t>
  </si>
  <si>
    <t>Attribution of emissions to sub-installations (section D.II)</t>
  </si>
  <si>
    <t>Data is taken automatically from corresponding entries in sheets F and G in the light blue boxes under each sub-installation.</t>
  </si>
  <si>
    <t>The attributable emissions are determined as follows:</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</si>
  <si>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</si>
  <si>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</si>
  <si>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</si>
  <si>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</si>
  <si>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</si>
  <si>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exported waste gases in accordance with section 10.1.5 of Annex VII of the FAR by deducting the energy content multiplied with the emission factor of natural gas and the default correction factor of 0.667</t>
  </si>
  <si>
    <t>Emissions associated with the relevant electricity consumption for sub-installations for which the exchangeability of the fuels and electricity is relevant.</t>
  </si>
  <si>
    <t>Emissions associated with electricity produced other than via measurable heat.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</si>
  <si>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</si>
  <si>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</si>
  <si>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</si>
  <si>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</si>
  <si>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</si>
  <si>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Sub-installation level data:</t>
  </si>
  <si>
    <t>Control: Other emissions</t>
  </si>
  <si>
    <t>Cogeneration tool - Section D.III</t>
  </si>
  <si>
    <t>Cogeneration tool 1</t>
  </si>
  <si>
    <t>Energy balance</t>
  </si>
  <si>
    <t>Emissions</t>
  </si>
  <si>
    <t>Efficiencies</t>
  </si>
  <si>
    <t>Heat production (reference)</t>
  </si>
  <si>
    <t>Electricity production (reference)</t>
  </si>
  <si>
    <t>Results</t>
  </si>
  <si>
    <t>Cogeneration tool 2</t>
  </si>
  <si>
    <t>Waste gas tool (waste gases not covered by product benchmarks) - Section D.IV</t>
  </si>
  <si>
    <t>Energy input from fuels - split into use categories (Section E.I)</t>
  </si>
  <si>
    <t>Fuel input to each sub-installation from sheets F and G:</t>
  </si>
  <si>
    <t>Calculation of measurable heat (Section E.II)</t>
  </si>
  <si>
    <t>Summary of heat and district heating sub-installations</t>
  </si>
  <si>
    <t>Sub-installation data relevant for allocation and benchmark update purposes</t>
  </si>
  <si>
    <t>Calculation of the indicative number of allowances</t>
  </si>
  <si>
    <t>The following abbreviations are used in the tables below:</t>
  </si>
  <si>
    <t>CL-exposed</t>
  </si>
  <si>
    <t>Carbon leakage exposure. "True" if the sub-installation serves a sector deemed to be exposed to a significant risk of carbon leakage.</t>
  </si>
  <si>
    <t>No. of BM</t>
  </si>
  <si>
    <t>Number of the Benchmark</t>
  </si>
  <si>
    <t>Started</t>
  </si>
  <si>
    <t>Start of operation of the sub-installation</t>
  </si>
  <si>
    <t>BM value</t>
  </si>
  <si>
    <t>Value of the benchmark according to Annex I of the FAR. For the draft preliminary application, values used are either the indicative minimum or the maximum values as shown included in each sub-installation's overview table below.</t>
  </si>
  <si>
    <t>15(7).3?</t>
  </si>
  <si>
    <t>Is the third sub-paragraph of Article 15(7) of the FAR relevant (i.e. has the sub-installation been operated less than one year in the baseline period)?</t>
  </si>
  <si>
    <t>15(7).3 HAL</t>
  </si>
  <si>
    <t>The historic activity level, if the third sub-paragraph of Article 15(7) applies. Note that this value will only be known after the first activity level report will be submitted.</t>
  </si>
  <si>
    <t>Is exchangeability of electricity and fuel relevant for this sub-installation?</t>
  </si>
  <si>
    <t>Calculation factor for taking into account the exchangeability of electricity and fuel in accordance with Article 22 of the FAR</t>
  </si>
  <si>
    <t>non-ETS heat</t>
  </si>
  <si>
    <t>Amount to be deducted from the preliminary annual amount of allowances in accordance with Article 21 of the FAR</t>
  </si>
  <si>
    <t>WGflare</t>
  </si>
  <si>
    <t>Amount to be deducted from the preliminary annual amount of allowances for flared waste gases from 2026 onwards in accordance with the second sub-paragraph of Article 16(5) of the FAR</t>
  </si>
  <si>
    <t>Amount to be added to the preliminary annual amount of allowances for steam cracking sub-installations in accordance with Article 19 of the FAR</t>
  </si>
  <si>
    <t>Calculation factor for taking into account hydrogen-related emissions in vinylchloride monomer sub-installations in accordance with Article 20 of the FAR</t>
  </si>
  <si>
    <t>Average</t>
  </si>
  <si>
    <t>Average of the historical activity levels in the baseline period</t>
  </si>
  <si>
    <t>Prelim Alloc Year 1 (min)</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</si>
  <si>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</si>
  <si>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</si>
  <si>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Prelim Alloc Year 1 (max)</t>
  </si>
  <si>
    <t>(Draft) preliminary annual number of emission allowances taking into account the highest possible benchmark value for this sub-installation. The same disclaimer as for the (min) value applies.</t>
  </si>
  <si>
    <t>Prelim Alloc Year 1 (actual)</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</si>
  <si>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</si>
  <si>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</si>
  <si>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BM value (min/max/actual)</t>
  </si>
  <si>
    <t>Special factors:</t>
  </si>
  <si>
    <t>HAL (Historic activity level) reported</t>
  </si>
  <si>
    <t>Values used for HAL calculation:</t>
  </si>
  <si>
    <t>Total attributed emissions</t>
  </si>
  <si>
    <t>Intermediate import:</t>
  </si>
  <si>
    <t>Intermediate export:</t>
  </si>
  <si>
    <t>Net heat imported (other)</t>
  </si>
  <si>
    <t>Net heat imported (product BM)</t>
  </si>
  <si>
    <t>Net heat imported (pulp)</t>
  </si>
  <si>
    <t>Net heat imported (fuelBM)</t>
  </si>
  <si>
    <t>Net heat imported (waste gas)</t>
  </si>
  <si>
    <t>Calculation of preliminary annual amount of allowances allocated free of charge</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</si>
  <si>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</si>
  <si>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Sheet "A_InstallationData" is filled completely, especially sections A.II (eligibility and baseline period) and A.III (list of sub-installations)</t>
  </si>
  <si>
    <t>Data has been entered for all relevant baseline years and the relevant sections in sheets F and G are filled.</t>
  </si>
  <si>
    <t>No error messages are displayed in any of the relevant sections of those sheets.</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</si>
  <si>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</si>
  <si>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</si>
  <si>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</si>
  <si>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The calculation takes into account for each sub-installation, if it is exposed to a significant risk of carbon leakage, or if this is not the case.</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</si>
  <si>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</si>
  <si>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</si>
  <si>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</si>
  <si>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However, this template offers the possibility to enter a value for the cross-sectoral correction factor. This feature can be used by the operator for his own information only. The results are by no means legally binding.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</si>
  <si>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</si>
  <si>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Total preliminary annual amount of allowances allocated free of charge:</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</si>
  <si>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</si>
  <si>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If for a sub-installation the calculated preliminary annual amount of allowances allocated free of charge results in a negative value, it is set to zero instead.</t>
  </si>
  <si>
    <t>Calculation of the minimum, maximum, or actual preliminary allocation?</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</si>
  <si>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</si>
  <si>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</si>
  <si>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If this field is left empty, the minimum preliminary allocation will be used as the default for all calculations below.</t>
  </si>
  <si>
    <t>Calculation factors:</t>
  </si>
  <si>
    <t>Carbon leakage factor for non-CL sectors</t>
  </si>
  <si>
    <t>Carbon leakage factor for district heating</t>
  </si>
  <si>
    <t>Note: for CL exposed sectors, the CL factor is 1.0000 for all years.</t>
  </si>
  <si>
    <t>Calculation in accordance with Article 16(1) to (7) of the FAR:</t>
  </si>
  <si>
    <t>Total preliminary free allocation</t>
  </si>
  <si>
    <t>Indicative expected final amount of free allowances:</t>
  </si>
  <si>
    <t>Linear factor referred to in Article 10a(4) of the EU ETS Directive:</t>
  </si>
  <si>
    <t>Linear factor</t>
  </si>
  <si>
    <t>Cross-sectoral correction factor (CSCF) in accordance with Article 14(6) of the FAR:</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</si>
  <si>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</si>
  <si>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When submitting this report to the competent authority for the purpose of establishing the national implementation measures, make sure that no data is entered here.</t>
  </si>
  <si>
    <t>CSCF</t>
  </si>
  <si>
    <t>Value used for calculation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</si>
  <si>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</si>
  <si>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</si>
  <si>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</si>
  <si>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Calculation in accordance with Article 16(8) of the FAR:</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</si>
  <si>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</si>
  <si>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The results displayed here are by no means legally binding. Please see disclaimer in the introduction of this section.</t>
  </si>
  <si>
    <t>Absolute values</t>
  </si>
  <si>
    <t>Percentages</t>
  </si>
  <si>
    <t>N.A.</t>
  </si>
  <si>
    <t>EUA</t>
  </si>
  <si>
    <t>Month</t>
  </si>
  <si>
    <t>Fuel</t>
  </si>
  <si>
    <t>Benchmark</t>
  </si>
  <si>
    <t>Sub-installation with product benchmark</t>
  </si>
  <si>
    <t>Fall-Back sub-installation</t>
  </si>
  <si>
    <t>year</t>
  </si>
  <si>
    <t>tonnes</t>
  </si>
  <si>
    <t>or</t>
  </si>
  <si>
    <t>transferred CO2</t>
  </si>
  <si>
    <t>Intermediate products</t>
  </si>
  <si>
    <t>Heat</t>
  </si>
  <si>
    <t>Import</t>
  </si>
  <si>
    <t>Export</t>
  </si>
  <si>
    <t>Within installation</t>
  </si>
  <si>
    <t>Production of goods</t>
  </si>
  <si>
    <t>mechanical energy</t>
  </si>
  <si>
    <t>heating</t>
  </si>
  <si>
    <t>cooling</t>
  </si>
  <si>
    <t>unknown</t>
  </si>
  <si>
    <t>PFCs</t>
  </si>
  <si>
    <t>CO2 (waste gas corrected)</t>
  </si>
  <si>
    <t>reduction of metals compounds</t>
  </si>
  <si>
    <t>removal of impurities</t>
  </si>
  <si>
    <t>decomposition of carbonates</t>
  </si>
  <si>
    <t>chemical synthesis</t>
  </si>
  <si>
    <t>carbon containing materials</t>
  </si>
  <si>
    <t>reduction of metalloid oxides and non-metal oxides</t>
  </si>
  <si>
    <t>relevant</t>
  </si>
  <si>
    <t>not relevant</t>
  </si>
  <si>
    <t>Carbon leakage</t>
  </si>
  <si>
    <t>not exposed to carbon leakage</t>
  </si>
  <si>
    <t>GJ/1000Nm3</t>
  </si>
  <si>
    <t>allowances</t>
  </si>
  <si>
    <t>The operator of this installation confirms that the installation is not eligible for free allocation as they meet the definition of "electricity generator" in Article 2c of the FAR or their primary regulated activity is the capture of greenhouse gases for the purpose of transport and geographical storage in a storage site, for transport of greenhouse gases by pipelines for geographical storage in a storage site or the geological storage of greenhouse gases in a storage site (2a of the FAR).</t>
  </si>
  <si>
    <t>The operator of this installation confirms that they are applying for free allocation under Article 4 of the FAR</t>
  </si>
  <si>
    <t>The operator confirms that this report may be used by the regulator and the UK ETS Authority</t>
  </si>
  <si>
    <t>O.K.</t>
  </si>
  <si>
    <t>Date is missing!</t>
  </si>
  <si>
    <t>non-ETS measurable heat</t>
  </si>
  <si>
    <t>Austria</t>
  </si>
  <si>
    <t>Belgium</t>
  </si>
  <si>
    <t>Bulgaria</t>
  </si>
  <si>
    <t>Cyprus</t>
  </si>
  <si>
    <t>Croatia</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</si>
  <si>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</si>
  <si>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</si>
  <si>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</si>
  <si>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</si>
  <si>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</si>
  <si>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</si>
  <si>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</si>
  <si>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</si>
  <si>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</si>
  <si>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</si>
  <si>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</si>
  <si>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</si>
  <si>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</si>
  <si>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</si>
  <si>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</si>
  <si>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</si>
  <si>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</si>
  <si>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</si>
  <si>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</si>
  <si>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</si>
  <si>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</si>
  <si>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Slovakia</t>
  </si>
  <si>
    <t>Slovenia</t>
  </si>
  <si>
    <t>Spain</t>
  </si>
  <si>
    <t>Sweden</t>
  </si>
  <si>
    <t>United Kingdom</t>
  </si>
  <si>
    <t>AT</t>
  </si>
  <si>
    <t>BE</t>
  </si>
  <si>
    <t>BG</t>
  </si>
  <si>
    <t>CY</t>
  </si>
  <si>
    <t>HR</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</si>
  <si>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</si>
  <si>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</si>
  <si>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</si>
  <si>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</si>
  <si>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</si>
  <si>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</si>
  <si>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</si>
  <si>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</si>
  <si>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</si>
  <si>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</si>
  <si>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</si>
  <si>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</si>
  <si>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</si>
  <si>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</si>
  <si>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</si>
  <si>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</si>
  <si>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</si>
  <si>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</si>
  <si>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</si>
  <si>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</si>
  <si>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</si>
  <si>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</si>
  <si>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</si>
  <si>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</si>
  <si>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</si>
  <si>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UK</t>
  </si>
  <si>
    <t>GR</t>
  </si>
  <si>
    <t>GB</t>
  </si>
  <si>
    <t>It is mandatory to answer questions (a), (b) and (d)!</t>
  </si>
  <si>
    <t>It is mandatory that under A.II.1 one of the questions (e) or (f) is answered!</t>
  </si>
  <si>
    <t>It is mandatory that question A.II.1.g is answered!</t>
  </si>
  <si>
    <t>At least one sub-installation name has been entered more than once. Please correct!</t>
  </si>
  <si>
    <t>You must select at least one sub-installation in sections III.1 or III.2!</t>
  </si>
  <si>
    <t>Please enter for each sub-installation if it is relevant or not!</t>
  </si>
  <si>
    <t>Please enter information under points (b) and (c) above!</t>
  </si>
  <si>
    <t>Please enter detailed source stream data starting with section II below!</t>
  </si>
  <si>
    <t>Please go on with entering emission totals in section D.I.2 in sheet 'D_Emissions'!</t>
  </si>
  <si>
    <t>Please enter also data in section E.II.4!</t>
  </si>
  <si>
    <t>Please enter also data in section D.II.3.a.!</t>
  </si>
  <si>
    <t>ERR_AttrEmBM_</t>
  </si>
  <si>
    <t xml:space="preserve">Detailed instructions for data entries in this tool can be found at the first copy of this tool. </t>
  </si>
  <si>
    <t>The attribution of emissions to sub-installations can be found in the summary sheet.</t>
  </si>
  <si>
    <t>Please proceed to sheet 'F_ProductBM'!</t>
  </si>
  <si>
    <t>Please proceed to section E.II.2</t>
  </si>
  <si>
    <t>Please continue with the next points below</t>
  </si>
  <si>
    <t>Please use electricity exchangeability tool below.</t>
  </si>
  <si>
    <t>Please continue with point (d) below.</t>
  </si>
  <si>
    <t>If not relevant at your installation, continue with the next points.</t>
  </si>
  <si>
    <t>Dates must be sorted ascending!</t>
  </si>
  <si>
    <t>Activity missing (A.I.4.a)!</t>
  </si>
  <si>
    <t>Please enter data in this section!</t>
  </si>
  <si>
    <t>Please proceed to the next sub-installation!</t>
  </si>
  <si>
    <t>Click here to return to sheet F_ProductBM</t>
  </si>
  <si>
    <t>Please continue with data entry under points (c) and (d)!</t>
  </si>
  <si>
    <t>Please continue with point (e)!</t>
  </si>
  <si>
    <t>Minimum</t>
  </si>
  <si>
    <t>Activity list</t>
  </si>
  <si>
    <t>No. of Activity</t>
  </si>
  <si>
    <t>Activity (Annex I ETS Directive)</t>
  </si>
  <si>
    <t>Combustion of fuels in installations with a total rated thermal input exceeding 20 MW (except in installations for the incineration of hazardous or municipal waste)</t>
  </si>
  <si>
    <t xml:space="preserve">Refining of mineral oil </t>
  </si>
  <si>
    <t xml:space="preserve">Production of coke </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</si>
  <si>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</si>
  <si>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</si>
  <si>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</si>
  <si>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Production of primary aluminium </t>
  </si>
  <si>
    <t>Production of secondary aluminium where combustion units with a total rated thermal input exceeding 20 MW are operated</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</si>
  <si>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</si>
  <si>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</si>
  <si>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</si>
  <si>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</si>
  <si>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</si>
  <si>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</si>
  <si>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</si>
  <si>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</si>
  <si>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</si>
  <si>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</si>
  <si>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 xml:space="preserve">Production of nitric acid </t>
  </si>
  <si>
    <t xml:space="preserve">Production of adipic acid </t>
  </si>
  <si>
    <t>Production of glyoxal and glyoxylic acid</t>
  </si>
  <si>
    <t xml:space="preserve">Production of ammonia </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</si>
  <si>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</si>
  <si>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</si>
  <si>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</si>
  <si>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</si>
  <si>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</si>
  <si>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</si>
  <si>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Benchmark List</t>
  </si>
  <si>
    <t>alternative BM No.</t>
  </si>
  <si>
    <t>Product benchmark</t>
  </si>
  <si>
    <t>Carbon leakage?</t>
  </si>
  <si>
    <t>Exchangeability electricity</t>
  </si>
  <si>
    <t>Message regarding special reporting</t>
  </si>
  <si>
    <t>Jump indicator</t>
  </si>
  <si>
    <t>Other than CWT?</t>
  </si>
  <si>
    <t>Pulp</t>
  </si>
  <si>
    <t>BM value (2013-2020)</t>
  </si>
  <si>
    <t>Benchmark value (EUA/t, max)</t>
  </si>
  <si>
    <t>Benchmark value (EUA/t, min)</t>
  </si>
  <si>
    <t>Benchmark value (EUA/t, actual)</t>
  </si>
  <si>
    <t>Refinery products</t>
  </si>
  <si>
    <t>CWT</t>
  </si>
  <si>
    <t>Please use CWT tool in sheet "SpecialBM" for calculating historical activity levels.</t>
  </si>
  <si>
    <t>Coke</t>
  </si>
  <si>
    <t>Sintered ore</t>
  </si>
  <si>
    <t>Hot metal</t>
  </si>
  <si>
    <t>EAF carbon steel</t>
  </si>
  <si>
    <t>EAF high alloy steel</t>
  </si>
  <si>
    <t>Iron casting</t>
  </si>
  <si>
    <t>Pre-bake anode</t>
  </si>
  <si>
    <t>[Primary] Aluminium</t>
  </si>
  <si>
    <t>Grey cement clinker</t>
  </si>
  <si>
    <t>White cement clinker</t>
  </si>
  <si>
    <t>Please use lime tool in sheet "SpecialBM" for calculating historical activity levels.</t>
  </si>
  <si>
    <t>Please use dolime tool in sheet "SpecialBM" for calculating historical activity levels.</t>
  </si>
  <si>
    <t>Sintered dolime</t>
  </si>
  <si>
    <t>Float glass</t>
  </si>
  <si>
    <t>Bottles and jars of colourless glass</t>
  </si>
  <si>
    <t>Bottles and jars of coloured glass</t>
  </si>
  <si>
    <t>Continuous filament glass fibre products</t>
  </si>
  <si>
    <t>Facing bricks</t>
  </si>
  <si>
    <t>Pavers</t>
  </si>
  <si>
    <t>Roof tiles</t>
  </si>
  <si>
    <t>Spray dried powder</t>
  </si>
  <si>
    <t>Mineral wool</t>
  </si>
  <si>
    <t>Plaster</t>
  </si>
  <si>
    <t>Dried secondary gypsum</t>
  </si>
  <si>
    <t>Plasterboard</t>
  </si>
  <si>
    <t>Short fibre kraft pulp</t>
  </si>
  <si>
    <t>Adt</t>
  </si>
  <si>
    <t>Note that for integrated pulp &amp; paper production special allocation rules apply (Article 16(6) of the FAR).</t>
  </si>
  <si>
    <t>Long fibre kraft pulp</t>
  </si>
  <si>
    <t>Sulphite pulp, thermo-mechanical and mechanical pulp</t>
  </si>
  <si>
    <t>Recovered paper pulp</t>
  </si>
  <si>
    <t>Newsprint</t>
  </si>
  <si>
    <t>Uncoated fine paper</t>
  </si>
  <si>
    <t>Coated fine paper</t>
  </si>
  <si>
    <t>Tissue</t>
  </si>
  <si>
    <t>Testliner and fluting</t>
  </si>
  <si>
    <t>Uncoated carton board</t>
  </si>
  <si>
    <t>Coated carton board</t>
  </si>
  <si>
    <t>Carbon black</t>
  </si>
  <si>
    <t>Nitric acid</t>
  </si>
  <si>
    <t>Measurable heat delivered to other sub-installations is to be treated like heat from non-ETS sources.</t>
  </si>
  <si>
    <t>Adipic acid</t>
  </si>
  <si>
    <t>Ammonia</t>
  </si>
  <si>
    <t>Please use steam cracking tool in sheet "SpecialBM" for calculating historical activity levels and preliminary allocation.</t>
  </si>
  <si>
    <t>Aromatics</t>
  </si>
  <si>
    <t>Styrene</t>
  </si>
  <si>
    <t>Phenol/ acetone</t>
  </si>
  <si>
    <t>Ethylene oxide/ ethylene glycols</t>
  </si>
  <si>
    <t>Please use ethylene oxide / glycols tool in sheet "SpecialBM" for calculating historical activity levels.</t>
  </si>
  <si>
    <t>Vinyl chloride monomer</t>
  </si>
  <si>
    <t>Please use VCM tool in sheet "SpecialBM" for calculating preliminary allocation.</t>
  </si>
  <si>
    <t>S-PVC</t>
  </si>
  <si>
    <t>E-PVC</t>
  </si>
  <si>
    <t>Please use hydrogen tool in sheet "SpecialBM" for calculating historical activity levels.</t>
  </si>
  <si>
    <t>Please use syngas tool in sheet "SpecialBM" for calculating historical activity levels.</t>
  </si>
  <si>
    <t>Soda ash</t>
  </si>
  <si>
    <t>Fall-back Sub-Installation List</t>
  </si>
  <si>
    <t>Sub-inst</t>
  </si>
  <si>
    <t>Error message</t>
  </si>
  <si>
    <t>Heat benchmark sub-installation, CL</t>
  </si>
  <si>
    <t>Heat benchmark sub-installation, non-CL</t>
  </si>
  <si>
    <t>Fuel benchmark sub-installation, CL</t>
  </si>
  <si>
    <t>Fuel benchmark sub-installation, non-CL</t>
  </si>
  <si>
    <t>Process emissions sub-installation, CL</t>
  </si>
  <si>
    <t>Process emissions sub-installation, non-CL</t>
  </si>
  <si>
    <t>Time period</t>
  </si>
  <si>
    <t>Regulators</t>
  </si>
  <si>
    <t>Environment Agency</t>
  </si>
  <si>
    <t>Northern Ireland Environment Agency</t>
  </si>
  <si>
    <t>Offshore Petroleum Regulator for Environment and Decommissioning</t>
  </si>
  <si>
    <t>Scottish Environment Protection Agency</t>
  </si>
  <si>
    <t>HSE Conditions</t>
  </si>
  <si>
    <t>Condition A</t>
  </si>
  <si>
    <t>Condition B</t>
  </si>
  <si>
    <t>Condition C</t>
  </si>
  <si>
    <t>Confirmation subject to legislative change</t>
  </si>
  <si>
    <t xml:space="preserve">I am eligible, under current legislation, to receive FA, and would like to make an application to receive FA under Article 4 of the FAR for 2027-2030. </t>
  </si>
  <si>
    <t>I am eligible, under current legislation, to receive FA, and would like to make an application to receive FA under Article 4 of the FAR for 2026.</t>
  </si>
  <si>
    <t>I am eligible, under current legislation, to receive FA, and would like to make an application to receive FA under Article 4 of the FAR for the 2026 scheme year and 2027-2030.</t>
  </si>
  <si>
    <t xml:space="preserve">I am eligible, under current legislation, to receive FA, but would not like to make an application to receive FA under Article 4 of the FAR. </t>
  </si>
  <si>
    <t>I am not eligible under current legislation to receive FA and therefore I do not want to make an application to receive FA under Article 4 of the FAR.</t>
  </si>
  <si>
    <t>Confirmation of application to receive FA (Sheet I)</t>
  </si>
  <si>
    <t>I confirm that I wish to make an application to receive FA from 2026.</t>
  </si>
  <si>
    <t>I do not wish to make an application to receive FA from 2026.</t>
  </si>
  <si>
    <t>Info for automatic Version detection</t>
  </si>
  <si>
    <t>Template type:</t>
  </si>
  <si>
    <t>NIMs baseline data report  Phase 4</t>
  </si>
  <si>
    <t>Version:</t>
  </si>
  <si>
    <t>Issued by:</t>
  </si>
  <si>
    <t>Language:</t>
  </si>
  <si>
    <t>English</t>
  </si>
  <si>
    <t>Type list:</t>
  </si>
  <si>
    <t>Draft NIMs baseline data Phase 4</t>
  </si>
  <si>
    <t>NIMs P4 draft</t>
  </si>
  <si>
    <t>Draft II NIMs baseline data Phase 4</t>
  </si>
  <si>
    <t>NIMs P4 2nd draft</t>
  </si>
  <si>
    <t>Draft III NIMs baseline data Phase 4</t>
  </si>
  <si>
    <t>NIMs P4 3rd draft</t>
  </si>
  <si>
    <t>NIMs P4 baseline</t>
  </si>
  <si>
    <t>Version list</t>
  </si>
  <si>
    <t>Reference File Name</t>
  </si>
  <si>
    <t>Version comments</t>
  </si>
  <si>
    <t>NIMs P4 draft_COM_en_031018.xls</t>
  </si>
  <si>
    <t>First Draft to CCEG</t>
  </si>
  <si>
    <t>NIMs P4 2nd draft_COM_en_091118.xls</t>
  </si>
  <si>
    <t>Second Draft to CCEG</t>
  </si>
  <si>
    <t>NIMs P4 baseline_UK_en_111218.xls</t>
  </si>
  <si>
    <t>Third draft for presentation</t>
  </si>
  <si>
    <t>NIMs P4 baseline_UK_en_141218.xls</t>
  </si>
  <si>
    <t>Third draft to CCEG</t>
  </si>
  <si>
    <t>NIMs P4 baseline_UK_en_250119.xls</t>
  </si>
  <si>
    <t>Final draft</t>
  </si>
  <si>
    <t>NIMs P4 baseline_UK_en_040319.xls</t>
  </si>
  <si>
    <t>Published version</t>
  </si>
  <si>
    <t>NIMs P4 baseline_UK_en_190619.xls</t>
  </si>
  <si>
    <t>Further bugfixes (VCM,..)</t>
  </si>
  <si>
    <t>NIMs P4 baseline_UK_en_020919.xls</t>
  </si>
  <si>
    <t>Further bugfix (FuelEF)</t>
  </si>
  <si>
    <t>NIMs P4 baseline_UK_en_110221.xls</t>
  </si>
  <si>
    <t>BM values updated</t>
  </si>
  <si>
    <t>BDC_P4_baseline_UK_en_250127.xls</t>
  </si>
  <si>
    <t>2025 data collection</t>
  </si>
  <si>
    <t>Published version for 2025 data collection</t>
  </si>
  <si>
    <t>European Commission</t>
  </si>
  <si>
    <t>COM</t>
  </si>
  <si>
    <t>Umweltbundesamt</t>
  </si>
  <si>
    <t>UBA</t>
  </si>
  <si>
    <t>IC</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</si>
  <si>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</si>
  <si>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</si>
  <si>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</si>
  <si>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</si>
  <si>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</si>
  <si>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</si>
  <si>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</si>
  <si>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</si>
  <si>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</si>
  <si>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</si>
  <si>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</si>
  <si>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</si>
  <si>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</si>
  <si>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</si>
  <si>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</si>
  <si>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</si>
  <si>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</si>
  <si>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</si>
  <si>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</si>
  <si>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</si>
  <si>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</si>
  <si>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</si>
  <si>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</si>
  <si>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</si>
  <si>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</si>
  <si>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</si>
  <si>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</si>
  <si>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</si>
  <si>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</si>
  <si>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</si>
  <si>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</si>
  <si>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</si>
  <si>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</si>
  <si>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</si>
  <si>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</si>
  <si>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</si>
  <si>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</si>
  <si>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</si>
  <si>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</si>
  <si>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</si>
  <si>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</si>
  <si>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</si>
  <si>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</si>
  <si>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</si>
  <si>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</si>
  <si>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</si>
  <si>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</si>
  <si>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</si>
  <si>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</si>
  <si>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</si>
  <si>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Sheet Y #</t>
  </si>
  <si>
    <t>Year:</t>
  </si>
  <si>
    <t>"Annual Emissions Data" for the year. To be eligible for FA in the next allocation period, you should complete Y1-Y5 tabs or the aggregated data in tab 'D_Emissions'.</t>
  </si>
  <si>
    <t>The UK ETS Authority requires detailed source stream data to be reported:</t>
  </si>
  <si>
    <t>PLEASE REFER TO THE MONITORING PLAN</t>
  </si>
  <si>
    <t>Each table contains example data at the top (white fields).</t>
  </si>
  <si>
    <t>Please note that no calculations are made in this sheet. Therefore, totals in columns AU to AY need to be entered correctly as the data is used elsewhere in this template!</t>
  </si>
  <si>
    <t>#</t>
  </si>
  <si>
    <t>GJ/t</t>
  </si>
  <si>
    <t>tCO2/TJ</t>
  </si>
  <si>
    <t/>
  </si>
  <si>
    <t>tCO2/t</t>
  </si>
  <si>
    <t>tC/t</t>
  </si>
  <si>
    <t>g/Nm3</t>
  </si>
  <si>
    <t>B+C</t>
  </si>
  <si>
    <t>If the answer to (1) above is True, and (2) is True, and if the regulator and UK ETS Authority are satisfied with your evidence, you are not deemed to be an electricity generator and are therefore eligible for FA in accordance with the FAR. Please answer questions 6-8 and 12 ('Evidence that the installation does not meet the definition of electricity generator’).</t>
  </si>
  <si>
    <t>If the answer to (1) above is True, and (2) is False, you are an electricity generator, but you may be eligible for FA if you meet the condition under Article 2b(2) of the FAR or qualify for FA for your production of measurable heat. Please answer questions 3-5 and 12 (‘Application for FA due to Article 2b of the FAR’) or 9-12 ('Application for FA for electricity generator in relation to measurable heat').</t>
  </si>
  <si>
    <t>BDC_P4_baseline_UK_en_250207.xls</t>
  </si>
  <si>
    <t>If the answer to (a) is true, will the installation stop producing any electricity (other than relevant CHP electricity) for sale for consumption outside the installation in the period beginning with the date of the application for FA and ending with 31 December 2030 (see Article 2b of the FAR)?</t>
  </si>
  <si>
    <t>If the answer to (a) is true, does the installation produce heat not used for electricity production as covered by Article 2a(1)(b)(i) and (ii)?</t>
  </si>
  <si>
    <t>If the answer to (a) is true and the answer to both (c) and (d) is false, then the installation may not be eligible for FA. 
If the answer to both (a) and (c) is true, then the installation may satisfy the condition under Article 2b(2) of the FAR and therefore may be eligible for FA without the restriction in Article 2a(1)(b) of the FAR. You will need to go to Sheet I to complete your application.
If the answer to (a) is true and the answer to (d) is true as well, the installation may be eligible for FA for measurable heat under Article 2a(1)(b).  You will need to complete Tab I to determine whether, as an electricity generator, you are eligible for allocation for heat (i.e. if you produce measurable heat by means of high-efficiency cogeneration or if you export measurable heat for the purpose of district heating). 
if the answer to (a) is false, and you produce electricity, please go to sheet I to assess whether you may be eligible to receive FA. If you do not produce electricity, you do not need to complete Sheet I.
It is essential that you provide all of the BDR information required by Article 4 of the FAR and submit this alongside a verification report and a validated MMP (unless it has already been approved by your regulator) to apply to receive any FA in 2027-2030, or in certain cases, in 2026.</t>
  </si>
  <si>
    <t>Confirm the eligibility of the installation for FA in cases where the answer to (a) is false, or if the answer to (a) is true and to (c) and/or (d) is true. 
Important note:  Electricity generators applying for FA for measurable heat must check in Sheet I whether they are entitled to FA depending on whether the heat they produce meets the relevant criteria (set out in Article 2a(1)(b)(i) and (ii) of the FAR).</t>
  </si>
  <si>
    <t>The operator of this installation confirms that they are eligible to apply for free allocation under Article 4 of the FAR</t>
  </si>
  <si>
    <r>
      <t xml:space="preserve">Confirmation of intent to decline or make an application for FA in the 2027-2030 allocation period (subject to legislative change) and, in some cases, in the 2026 scheme year:
</t>
    </r>
    <r>
      <rPr>
        <b/>
        <sz val="10"/>
        <color rgb="FF333399"/>
        <rFont val="Arial"/>
        <family val="2"/>
      </rPr>
      <t>Is the installation making an application for free allocation under Article 4 of the FAR?</t>
    </r>
  </si>
  <si>
    <t>Error condition a = True and c or d are blank</t>
  </si>
  <si>
    <t>Error condition a or b are blank</t>
  </si>
  <si>
    <t>Error condition a = false and c or d are not blank</t>
  </si>
  <si>
    <t>Error condition e and f are both blank</t>
  </si>
  <si>
    <t>Error condition only e should be answered</t>
  </si>
  <si>
    <t>Error condition e and f are both not blank</t>
  </si>
  <si>
    <t>Confirm that the data contained in the BDR may be used by the regulator to determine FA. The consent is necessary to make the submission of data complete. If the operator confirms point (f) or (g), it is automatically assumed that they consent to the regulator using data contained in this file, and therefore answer to (h) is automatic.</t>
  </si>
  <si>
    <t>BDC_P4_baseline_UK_en_250326.xls</t>
  </si>
  <si>
    <t>Fixes to warnings</t>
  </si>
  <si>
    <t>Natural Resources Wales</t>
  </si>
  <si>
    <t>BDC_P4_baseline_UK_en_250401.xls</t>
  </si>
  <si>
    <t>Fixes</t>
  </si>
  <si>
    <t>Please use your current permit number. Ultra-Small Emitters should use the permit number they had when they left the EU ETS.</t>
  </si>
  <si>
    <t>This baseline data report (BDR) template has been devised by the UK ETS authority to assist operators in providing their data for the purpose of:
- meeting data submission requirements for those not applying for Free Allocation (FA)
- applying for free allocation for the 2027-2030 allocation period (and, in certain cases, for the 2026 allocation period) as set out in the Authority response to ‘Moving the Second UK ETS Free Allocation Period’ 
- applying to be a hospital or small emitter (HSE) for the period 2026-2030
- applying to be an ultra-small emitter (USE) for the period 2026-2030 (unless you are an existing USE)
The BDR template is suitable for use by all UK ETS operators except existing USEs applying for USE status. Existing USEs should submit the separate Ultra-Small Emitter Data Collection template if they wish to apply to be USEs in the period 2026-2030. They should also submit the relevant sections of the BDR if applying for HSE status or free allocation. 
HSEs and installations in the main scheme should complete this template and submit it to their regulator between 1 April and 30 June 2025. If an operator is applying for free allocation (FA) in the next allocation period, all sheets except B+C should be completed and submitted with the verification report.
Please refer to the UKETS 12 guidance document to ensure that you complete this BDR correctly. If you do not submit all the required information for your circumstances within the application window, your application will not be progressed.</t>
  </si>
  <si>
    <t>Fix</t>
  </si>
  <si>
    <t>Please refer to Tab A Row 61 of your Activity Level Report for your Registry ID (last 7 digits of the Unique ID, e.g. 1000001). HSEs and USEs do not need to provide this.</t>
  </si>
  <si>
    <t>It is mandatory to answer either (e) or (f).
Please answer (e) and (g) or (f) and (g) to state whether or not you are eligible under current rules to receive free allocation.</t>
  </si>
  <si>
    <t>The operator of this installation confirms that the installation is not eligible for free allocation.</t>
  </si>
  <si>
    <t>BDC_P4_baseline_UK_en_250409.xls</t>
  </si>
  <si>
    <t>For sites in England: Environment Agency: etsdatacollection@environment-agency.gov.uk,
For sites in Scotland: Scottish Environment Protection Agency: emission.trading @sepa.org.uk, 
For sites in Wales: Natural Resources Wales: GHGHelp@naturalresourceswales.gov.uk, 
For offshore sites: OPRED@energysecurity.gov.uk,
For sites in Northern Ireland: NIEA: emissions.trading@daera-ni.gov.uk.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</si>
</sst>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0000"/>
    <numFmt numFmtId="167" formatCode="0.000"/>
    <numFmt numFmtId="168" formatCode="0.0"/>
    <numFmt numFmtId="169" formatCode="#,##0.000_ ;[Red]\-#,##0.000\ "/>
    <numFmt numFmtId="170" formatCode="#,##0.0000_ ;[Red]\-#,##0.0000\ "/>
    <numFmt numFmtId="171" formatCode="#,##0.000"/>
    <numFmt numFmtId="172" formatCode="#,##0.0"/>
    <numFmt numFmtId="173" formatCode="#,##0_ ;\-#,##0\ "/>
    <numFmt numFmtId="174" formatCode="#,##0.00000000"/>
    <numFmt numFmtId="175" formatCode="0.000%"/>
  </numFmts>
  <fonts count="77"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b/>
      <u/>
      <sz val="20"/>
      <color indexed="62"/>
      <name val="Arial"/>
      <family val="2"/>
    </font>
    <font>
      <b/>
      <u/>
      <sz val="10"/>
      <color indexed="62"/>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10"/>
      <color indexed="13"/>
      <name val="Arial"/>
      <family val="2"/>
    </font>
    <font>
      <sz val="9"/>
      <name val="Tahoma"/>
      <family val="2"/>
    </font>
    <font>
      <sz val="9"/>
      <color indexed="12"/>
      <name val="Tahoma"/>
      <family val="2"/>
    </font>
    <font>
      <b/>
      <sz val="10"/>
      <color indexed="10"/>
      <name val="Arial"/>
      <family val="2"/>
    </font>
    <font>
      <b/>
      <i/>
      <sz val="10"/>
      <name val="Arial"/>
      <family val="2"/>
    </font>
    <font>
      <sz val="9"/>
      <color indexed="81"/>
      <name val="Tahoma"/>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b/>
      <sz val="10"/>
      <color indexed="12"/>
      <name val="Arial"/>
      <family val="2"/>
    </font>
    <font>
      <b/>
      <sz val="20"/>
      <name val="Arial"/>
      <family val="2"/>
    </font>
    <font>
      <b/>
      <sz val="10"/>
      <color indexed="9"/>
      <name val="Arial"/>
      <family val="2"/>
    </font>
    <font>
      <u/>
      <sz val="8"/>
      <color indexed="12"/>
      <name val="Arial"/>
      <family val="2"/>
    </font>
    <font>
      <sz val="10"/>
      <color rgb="FFFF0000"/>
      <name val="Arial"/>
      <family val="2"/>
    </font>
    <font>
      <b/>
      <sz val="10"/>
      <color rgb="FFFF0000"/>
      <name val="Arial"/>
      <family val="2"/>
    </font>
    <font>
      <sz val="14"/>
      <color rgb="FFFF0000"/>
      <name val="Arial"/>
      <family val="2"/>
    </font>
    <font>
      <b/>
      <i/>
      <sz val="10"/>
      <color theme="0"/>
      <name val="Arial"/>
      <family val="2"/>
    </font>
    <font>
      <sz val="8"/>
      <color indexed="62"/>
      <name val="Arial"/>
      <family val="2"/>
    </font>
    <font>
      <sz val="8"/>
      <color indexed="14"/>
      <name val="Arial"/>
      <family val="2"/>
    </font>
    <font>
      <b/>
      <sz val="8"/>
      <color indexed="62"/>
      <name val="Arial"/>
      <family val="2"/>
    </font>
    <font>
      <b/>
      <sz val="10"/>
      <color indexed="62"/>
      <name val="Arial"/>
      <family val="2"/>
    </font>
    <font>
      <b/>
      <sz val="10"/>
      <color theme="0"/>
      <name val="Arial"/>
      <family val="2"/>
    </font>
    <font>
      <sz val="10"/>
      <color theme="0"/>
      <name val="Arial"/>
      <family val="2"/>
    </font>
    <font>
      <sz val="8"/>
      <color rgb="FFFF0000"/>
      <name val="Arial"/>
      <family val="2"/>
    </font>
    <font>
      <b/>
      <sz val="10"/>
      <color rgb="FF000000"/>
      <name val="Arial"/>
      <family val="2"/>
    </font>
    <font>
      <sz val="10"/>
      <color rgb="FF000000"/>
      <name val="Arial"/>
      <family val="2"/>
    </font>
    <font>
      <b/>
      <sz val="8"/>
      <color rgb="FF333399"/>
      <name val="Arial"/>
      <family val="2"/>
    </font>
    <font>
      <b/>
      <sz val="10"/>
      <color rgb="FF333399"/>
      <name val="Arial"/>
      <family val="2"/>
    </font>
    <font>
      <u/>
      <sz val="9"/>
      <color indexed="12"/>
      <name val="Arial"/>
      <family val="2"/>
    </font>
    <font>
      <b/>
      <sz val="16"/>
      <name val="Arial"/>
      <family val="2"/>
    </font>
    <font>
      <sz val="8"/>
      <color theme="0"/>
      <name val="Arial"/>
      <family val="2"/>
    </font>
    <font>
      <b/>
      <sz val="12"/>
      <color theme="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bgColor indexed="64"/>
      </patternFill>
    </fill>
    <fill>
      <patternFill patternType="solid">
        <fgColor rgb="FFFDE9D9"/>
        <bgColor indexed="64"/>
      </patternFill>
    </fill>
    <fill>
      <patternFill patternType="solid">
        <fgColor theme="9" tint="0.79998168889431442"/>
        <bgColor indexed="64"/>
      </patternFill>
    </fill>
    <fill>
      <patternFill patternType="solid">
        <fgColor theme="9"/>
        <bgColor indexed="64"/>
      </patternFill>
    </fill>
    <fill>
      <patternFill patternType="solid">
        <fgColor rgb="FFFFFFFF"/>
        <bgColor indexed="64"/>
      </patternFill>
    </fill>
    <fill>
      <patternFill patternType="solid">
        <fgColor rgb="FFD9D9D9"/>
        <bgColor indexed="64"/>
      </patternFill>
    </fill>
  </fills>
  <borders count="14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2" fillId="20" borderId="1" applyNumberFormat="0" applyAlignment="0" applyProtection="0"/>
    <xf numFmtId="0" fontId="11" fillId="3" borderId="0" applyNumberFormat="0" applyBorder="0" applyAlignment="0" applyProtection="0"/>
    <xf numFmtId="0" fontId="12" fillId="20" borderId="2" applyNumberFormat="0" applyAlignment="0" applyProtection="0"/>
    <xf numFmtId="0" fontId="12" fillId="20" borderId="2" applyNumberFormat="0" applyAlignment="0" applyProtection="0"/>
    <xf numFmtId="0" fontId="13" fillId="21" borderId="3" applyNumberFormat="0" applyAlignment="0" applyProtection="0"/>
    <xf numFmtId="0" fontId="19" fillId="7" borderId="2" applyNumberFormat="0" applyAlignment="0" applyProtection="0"/>
    <xf numFmtId="0" fontId="24" fillId="0" borderId="4"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7" borderId="2" applyNumberFormat="0" applyAlignment="0" applyProtection="0"/>
    <xf numFmtId="0" fontId="6" fillId="0" borderId="0" applyNumberFormat="0" applyFill="0" applyBorder="0" applyAlignment="0" applyProtection="0">
      <alignment vertical="top"/>
      <protection locked="0"/>
    </xf>
    <xf numFmtId="0" fontId="20" fillId="0" borderId="8" applyNumberFormat="0" applyFill="0" applyAlignment="0" applyProtection="0"/>
    <xf numFmtId="0" fontId="21"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2" fillId="20" borderId="1" applyNumberFormat="0" applyAlignment="0" applyProtection="0"/>
    <xf numFmtId="9"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1" fillId="0" borderId="0"/>
    <xf numFmtId="0" fontId="23" fillId="0" borderId="0" applyNumberFormat="0" applyFill="0" applyBorder="0" applyAlignment="0" applyProtection="0"/>
    <xf numFmtId="0" fontId="24" fillId="0" borderId="4" applyNumberFormat="0" applyFill="0" applyAlignment="0" applyProtection="0"/>
    <xf numFmtId="0" fontId="23"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20"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21" borderId="3" applyNumberFormat="0" applyAlignment="0" applyProtection="0"/>
    <xf numFmtId="4" fontId="50" fillId="0" borderId="0"/>
  </cellStyleXfs>
  <cellXfs count="1800">
    <xf numFmtId="0" fontId="0" fillId="0" borderId="0" xfId="0"/>
    <xf numFmtId="0" fontId="0" fillId="0" borderId="0" xfId="0" applyAlignment="1">
      <alignment vertical="top"/>
    </xf>
    <xf numFmtId="0" fontId="4" fillId="0" borderId="0" xfId="0" applyFont="1" applyAlignment="1">
      <alignment vertical="top"/>
    </xf>
    <xf numFmtId="0" fontId="4" fillId="25" borderId="0" xfId="60" applyFont="1" applyFill="1" applyBorder="1" applyAlignment="1" applyProtection="1">
      <alignment vertical="top"/>
    </xf>
    <xf numFmtId="0" fontId="34" fillId="0" borderId="0" xfId="0" applyFont="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8"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9" fillId="25" borderId="0" xfId="0" applyFont="1" applyFill="1" applyAlignment="1">
      <alignment horizontal="left" vertical="top"/>
    </xf>
    <xf numFmtId="0" fontId="32" fillId="25" borderId="0" xfId="0" applyFont="1" applyFill="1" applyAlignment="1">
      <alignment horizontal="center"/>
    </xf>
    <xf numFmtId="0" fontId="32" fillId="25" borderId="0" xfId="0" applyFont="1" applyFill="1"/>
    <xf numFmtId="0" fontId="34" fillId="25" borderId="0" xfId="0" applyFont="1" applyFill="1" applyAlignment="1">
      <alignment vertical="top"/>
    </xf>
    <xf numFmtId="0" fontId="4" fillId="25" borderId="12" xfId="0" applyFont="1" applyFill="1" applyBorder="1" applyAlignment="1">
      <alignment horizontal="left"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4" fillId="25" borderId="19" xfId="0" applyFont="1" applyFill="1" applyBorder="1" applyAlignment="1">
      <alignment vertical="top"/>
    </xf>
    <xf numFmtId="0" fontId="4" fillId="25" borderId="25"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25" borderId="12" xfId="0" applyFont="1" applyFill="1" applyBorder="1" applyAlignment="1">
      <alignment vertical="top"/>
    </xf>
    <xf numFmtId="0" fontId="4" fillId="25" borderId="27" xfId="0" applyFont="1" applyFill="1" applyBorder="1" applyAlignment="1">
      <alignment horizontal="center" vertical="top"/>
    </xf>
    <xf numFmtId="0" fontId="42" fillId="25"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5" borderId="37" xfId="0" applyFont="1" applyFill="1" applyBorder="1" applyAlignment="1">
      <alignment vertical="top"/>
    </xf>
    <xf numFmtId="0" fontId="4" fillId="25" borderId="57" xfId="0" applyFont="1" applyFill="1" applyBorder="1" applyAlignment="1">
      <alignment vertical="top"/>
    </xf>
    <xf numFmtId="0" fontId="4" fillId="25" borderId="29" xfId="0" applyFont="1" applyFill="1" applyBorder="1" applyAlignment="1">
      <alignment vertical="top"/>
    </xf>
    <xf numFmtId="0" fontId="4" fillId="25" borderId="58" xfId="0" applyFont="1" applyFill="1" applyBorder="1" applyAlignment="1">
      <alignment vertical="top"/>
    </xf>
    <xf numFmtId="0" fontId="34" fillId="25" borderId="0" xfId="0" applyFont="1" applyFill="1" applyAlignment="1">
      <alignment vertical="top" wrapText="1"/>
    </xf>
    <xf numFmtId="0" fontId="2" fillId="25" borderId="25" xfId="0" applyFont="1" applyFill="1" applyBorder="1" applyAlignment="1">
      <alignment horizontal="center" vertical="top"/>
    </xf>
    <xf numFmtId="0" fontId="4" fillId="25" borderId="12" xfId="0" applyFont="1" applyFill="1" applyBorder="1" applyAlignment="1">
      <alignment horizontal="right" vertical="top" indent="1"/>
    </xf>
    <xf numFmtId="0" fontId="2" fillId="25" borderId="26" xfId="0" applyFont="1" applyFill="1" applyBorder="1" applyAlignment="1">
      <alignment horizontal="center" vertical="top"/>
    </xf>
    <xf numFmtId="0" fontId="42" fillId="24" borderId="0" xfId="0" applyFont="1" applyFill="1" applyAlignment="1">
      <alignment vertical="top"/>
    </xf>
    <xf numFmtId="0" fontId="2" fillId="0" borderId="0" xfId="0" applyFont="1"/>
    <xf numFmtId="0" fontId="32" fillId="25" borderId="12" xfId="0" applyFont="1" applyFill="1" applyBorder="1" applyAlignment="1">
      <alignment horizontal="center"/>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4" borderId="13" xfId="0" applyFont="1" applyFill="1" applyBorder="1" applyAlignment="1">
      <alignment vertical="top"/>
    </xf>
    <xf numFmtId="0" fontId="4" fillId="24" borderId="71" xfId="0" applyFont="1" applyFill="1" applyBorder="1" applyAlignment="1">
      <alignment vertical="top"/>
    </xf>
    <xf numFmtId="0" fontId="2" fillId="24" borderId="70" xfId="0" applyFont="1" applyFill="1" applyBorder="1"/>
    <xf numFmtId="0" fontId="4" fillId="24"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37" fillId="24" borderId="0" xfId="0" applyFont="1" applyFill="1" applyAlignment="1">
      <alignment vertical="top"/>
    </xf>
    <xf numFmtId="0" fontId="2" fillId="24" borderId="13" xfId="0" applyFont="1" applyFill="1" applyBorder="1" applyAlignment="1">
      <alignment vertical="top"/>
    </xf>
    <xf numFmtId="0" fontId="37" fillId="27" borderId="13" xfId="0" applyFont="1" applyFill="1" applyBorder="1"/>
    <xf numFmtId="0" fontId="4" fillId="24" borderId="69" xfId="0" applyFont="1" applyFill="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4" fillId="0" borderId="0" xfId="0" applyFont="1"/>
    <xf numFmtId="0" fontId="46" fillId="25" borderId="0" xfId="0" applyFont="1" applyFill="1" applyAlignment="1">
      <alignment horizontal="left" vertical="top"/>
    </xf>
    <xf numFmtId="0" fontId="0" fillId="28" borderId="0" xfId="0" applyFill="1"/>
    <xf numFmtId="0" fontId="0" fillId="25" borderId="0" xfId="0" applyFill="1" applyAlignment="1">
      <alignment vertical="top"/>
    </xf>
    <xf numFmtId="0" fontId="0" fillId="0" borderId="0" xfId="0" applyAlignment="1">
      <alignment wrapText="1"/>
    </xf>
    <xf numFmtId="0" fontId="36" fillId="25" borderId="0" xfId="0" applyFont="1" applyFill="1"/>
    <xf numFmtId="0" fontId="2" fillId="25" borderId="0" xfId="0" applyFont="1" applyFill="1" applyAlignment="1">
      <alignment horizontal="left" vertical="top"/>
    </xf>
    <xf numFmtId="0" fontId="2" fillId="25" borderId="12" xfId="0" applyFont="1" applyFill="1" applyBorder="1" applyAlignment="1">
      <alignment vertical="top"/>
    </xf>
    <xf numFmtId="0" fontId="2" fillId="25" borderId="12" xfId="0" applyFont="1" applyFill="1" applyBorder="1" applyAlignment="1">
      <alignment horizontal="left" vertical="top"/>
    </xf>
    <xf numFmtId="0" fontId="2" fillId="25"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4" fillId="25" borderId="63" xfId="0" applyFont="1" applyFill="1" applyBorder="1" applyAlignment="1">
      <alignment horizontal="left" vertical="top"/>
    </xf>
    <xf numFmtId="0" fontId="4" fillId="25"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39" fillId="26" borderId="0" xfId="0" applyFont="1" applyFill="1"/>
    <xf numFmtId="0" fontId="40" fillId="24" borderId="0" xfId="0" applyFont="1" applyFill="1" applyAlignment="1">
      <alignment horizontal="left"/>
    </xf>
    <xf numFmtId="0" fontId="41" fillId="0" borderId="0" xfId="0" applyFont="1" applyAlignment="1">
      <alignment horizontal="left"/>
    </xf>
    <xf numFmtId="0" fontId="41" fillId="0" borderId="0" xfId="0" applyFont="1" applyAlignment="1">
      <alignment horizontal="left" indent="1"/>
    </xf>
    <xf numFmtId="0" fontId="24" fillId="0" borderId="12" xfId="70" applyFont="1" applyBorder="1"/>
    <xf numFmtId="0" fontId="1" fillId="0" borderId="0" xfId="70"/>
    <xf numFmtId="0" fontId="0" fillId="32" borderId="0" xfId="0" applyFill="1"/>
    <xf numFmtId="0" fontId="0" fillId="0" borderId="80" xfId="0"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4" fillId="27" borderId="69" xfId="0" applyFont="1" applyFill="1" applyBorder="1" applyAlignment="1">
      <alignment vertical="top"/>
    </xf>
    <xf numFmtId="0" fontId="4" fillId="24" borderId="91"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164" fontId="4" fillId="27" borderId="69" xfId="0" applyNumberFormat="1" applyFont="1" applyFill="1" applyBorder="1" applyAlignment="1">
      <alignment vertical="top"/>
    </xf>
    <xf numFmtId="165" fontId="4" fillId="27" borderId="13" xfId="0" applyNumberFormat="1" applyFont="1" applyFill="1" applyBorder="1" applyAlignment="1">
      <alignment vertical="top"/>
    </xf>
    <xf numFmtId="165" fontId="4" fillId="27" borderId="54" xfId="0" applyNumberFormat="1" applyFont="1" applyFill="1" applyBorder="1" applyAlignment="1">
      <alignment vertical="top"/>
    </xf>
    <xf numFmtId="165" fontId="4" fillId="27" borderId="56" xfId="0" applyNumberFormat="1" applyFont="1" applyFill="1" applyBorder="1" applyAlignment="1">
      <alignment vertical="top"/>
    </xf>
    <xf numFmtId="0" fontId="2" fillId="25" borderId="0" xfId="0" applyFont="1" applyFill="1" applyAlignment="1">
      <alignment horizontal="right" vertical="top"/>
    </xf>
    <xf numFmtId="0" fontId="2" fillId="25" borderId="0" xfId="0" applyFont="1" applyFill="1" applyAlignment="1">
      <alignment horizontal="right" vertical="top" indent="1"/>
    </xf>
    <xf numFmtId="0" fontId="4" fillId="24" borderId="13" xfId="0" applyFont="1" applyFill="1" applyBorder="1" applyAlignment="1">
      <alignment horizontal="center" vertical="top"/>
    </xf>
    <xf numFmtId="0" fontId="2" fillId="24" borderId="13" xfId="0" applyFont="1" applyFill="1" applyBorder="1"/>
    <xf numFmtId="0" fontId="34" fillId="30" borderId="0" xfId="0" applyFont="1" applyFill="1" applyAlignment="1">
      <alignment vertical="top"/>
    </xf>
    <xf numFmtId="0" fontId="0" fillId="25" borderId="0" xfId="0" applyFill="1" applyAlignment="1">
      <alignment horizontal="center" vertical="top" wrapText="1"/>
    </xf>
    <xf numFmtId="0" fontId="28" fillId="25" borderId="0" xfId="0" applyFont="1" applyFill="1"/>
    <xf numFmtId="0" fontId="27" fillId="25" borderId="0" xfId="0" applyFont="1" applyFill="1"/>
    <xf numFmtId="49" fontId="2" fillId="29" borderId="13" xfId="0" applyNumberFormat="1" applyFont="1" applyFill="1" applyBorder="1" applyAlignment="1" applyProtection="1">
      <alignment horizontal="center" vertical="top"/>
      <protection locked="0"/>
    </xf>
    <xf numFmtId="0" fontId="42" fillId="0" borderId="0" xfId="0" applyFont="1" applyAlignment="1">
      <alignment vertical="top"/>
    </xf>
    <xf numFmtId="0" fontId="0" fillId="25" borderId="0" xfId="0" applyFill="1" applyAlignment="1">
      <alignment horizontal="center" vertical="top"/>
    </xf>
    <xf numFmtId="0" fontId="2" fillId="24" borderId="0" xfId="0" applyFont="1" applyFill="1" applyAlignment="1">
      <alignment horizontal="right"/>
    </xf>
    <xf numFmtId="0" fontId="2" fillId="24" borderId="0" xfId="0" applyFont="1" applyFill="1" applyAlignment="1">
      <alignment horizontal="center"/>
    </xf>
    <xf numFmtId="166" fontId="4" fillId="27" borderId="69" xfId="0" applyNumberFormat="1" applyFont="1" applyFill="1" applyBorder="1" applyAlignment="1">
      <alignment vertical="top"/>
    </xf>
    <xf numFmtId="0" fontId="0" fillId="35" borderId="0" xfId="0" applyFill="1"/>
    <xf numFmtId="0" fontId="4" fillId="25" borderId="93" xfId="0" applyFont="1" applyFill="1" applyBorder="1" applyAlignment="1">
      <alignment horizontal="right" vertical="top"/>
    </xf>
    <xf numFmtId="0" fontId="4" fillId="25" borderId="19" xfId="0" applyFont="1" applyFill="1" applyBorder="1" applyAlignment="1">
      <alignment horizontal="center" vertical="top" wrapText="1"/>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26" fillId="25" borderId="0" xfId="0" applyFont="1" applyFill="1" applyAlignment="1">
      <alignment horizontal="center" vertical="top"/>
    </xf>
    <xf numFmtId="0" fontId="6" fillId="25" borderId="0" xfId="60" applyFill="1" applyBorder="1" applyAlignment="1" applyProtection="1">
      <alignment horizontal="center" vertical="top"/>
    </xf>
    <xf numFmtId="0" fontId="0" fillId="25" borderId="103" xfId="0" applyFill="1" applyBorder="1" applyAlignment="1">
      <alignment vertical="top"/>
    </xf>
    <xf numFmtId="0" fontId="0" fillId="25" borderId="52" xfId="0" applyFill="1" applyBorder="1" applyAlignment="1">
      <alignment vertical="top"/>
    </xf>
    <xf numFmtId="0" fontId="0" fillId="25"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5" borderId="67" xfId="0" applyFill="1" applyBorder="1" applyAlignment="1">
      <alignment vertical="top"/>
    </xf>
    <xf numFmtId="0" fontId="0" fillId="25" borderId="40" xfId="0" applyFill="1" applyBorder="1" applyAlignment="1">
      <alignment vertical="top"/>
    </xf>
    <xf numFmtId="0" fontId="0" fillId="25"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4" fillId="25" borderId="1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2" fillId="24" borderId="105" xfId="0" applyFont="1" applyFill="1" applyBorder="1" applyAlignment="1">
      <alignment vertical="top"/>
    </xf>
    <xf numFmtId="164" fontId="2" fillId="27" borderId="13" xfId="0" applyNumberFormat="1" applyFont="1" applyFill="1" applyBorder="1" applyAlignment="1">
      <alignment vertical="top"/>
    </xf>
    <xf numFmtId="0" fontId="4" fillId="25" borderId="11" xfId="0" applyFont="1" applyFill="1" applyBorder="1" applyAlignment="1">
      <alignment horizontal="right" vertical="top"/>
    </xf>
    <xf numFmtId="0" fontId="2" fillId="39" borderId="0" xfId="0" applyFont="1" applyFill="1" applyAlignment="1">
      <alignment vertical="top"/>
    </xf>
    <xf numFmtId="0" fontId="2" fillId="25" borderId="26" xfId="0" quotePrefix="1" applyFont="1" applyFill="1" applyBorder="1" applyAlignment="1">
      <alignment horizontal="center" vertical="top"/>
    </xf>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2" fillId="43" borderId="29" xfId="0" applyFont="1" applyFill="1" applyBorder="1"/>
    <xf numFmtId="0" fontId="2" fillId="43" borderId="31" xfId="0" applyFont="1" applyFill="1" applyBorder="1"/>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0" fontId="0" fillId="44" borderId="13" xfId="0" applyFill="1" applyBorder="1" applyAlignment="1">
      <alignment wrapText="1"/>
    </xf>
    <xf numFmtId="0" fontId="0" fillId="39" borderId="13" xfId="0" applyFill="1" applyBorder="1" applyAlignment="1">
      <alignment wrapText="1"/>
    </xf>
    <xf numFmtId="0" fontId="40"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37" fillId="39" borderId="13" xfId="0" applyFont="1" applyFill="1" applyBorder="1"/>
    <xf numFmtId="166" fontId="0" fillId="44" borderId="13" xfId="0" applyNumberFormat="1" applyFill="1" applyBorder="1"/>
    <xf numFmtId="0" fontId="58" fillId="43" borderId="39" xfId="0" applyFont="1" applyFill="1" applyBorder="1" applyAlignment="1">
      <alignment vertical="top" wrapText="1"/>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0" fontId="0" fillId="27" borderId="19"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55" fillId="25" borderId="0" xfId="0" applyFont="1" applyFill="1" applyAlignment="1">
      <alignment horizontal="left"/>
    </xf>
    <xf numFmtId="0" fontId="56" fillId="26" borderId="77" xfId="0" quotePrefix="1" applyFont="1" applyFill="1" applyBorder="1" applyAlignment="1">
      <alignment horizontal="center"/>
    </xf>
    <xf numFmtId="0" fontId="56" fillId="26" borderId="78" xfId="0" applyFont="1" applyFill="1" applyBorder="1"/>
    <xf numFmtId="0" fontId="56" fillId="26" borderId="78" xfId="0" applyFont="1" applyFill="1" applyBorder="1" applyAlignment="1">
      <alignment horizontal="center" wrapText="1"/>
    </xf>
    <xf numFmtId="0" fontId="56" fillId="26" borderId="78" xfId="0" applyFont="1" applyFill="1" applyBorder="1" applyAlignment="1">
      <alignment wrapText="1"/>
    </xf>
    <xf numFmtId="0" fontId="56" fillId="26" borderId="79" xfId="0" applyFont="1" applyFill="1" applyBorder="1" applyAlignment="1">
      <alignment wrapText="1"/>
    </xf>
    <xf numFmtId="0" fontId="2" fillId="25" borderId="0" xfId="0" applyFont="1" applyFill="1" applyAlignment="1">
      <alignment horizontal="center"/>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0" fontId="2" fillId="39" borderId="13" xfId="0" applyFont="1" applyFill="1" applyBorder="1" applyAlignment="1">
      <alignment horizontal="left" vertical="top"/>
    </xf>
    <xf numFmtId="0" fontId="4" fillId="25" borderId="103" xfId="0" applyFont="1" applyFill="1" applyBorder="1" applyAlignment="1">
      <alignment vertical="top"/>
    </xf>
    <xf numFmtId="0" fontId="4" fillId="25"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5" borderId="109" xfId="0" applyFont="1" applyFill="1" applyBorder="1" applyAlignment="1">
      <alignment vertical="top"/>
    </xf>
    <xf numFmtId="0" fontId="4" fillId="25"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2" fillId="24" borderId="69" xfId="0" applyFont="1" applyFill="1" applyBorder="1" applyAlignment="1">
      <alignment vertical="top"/>
    </xf>
    <xf numFmtId="0" fontId="2" fillId="25" borderId="19" xfId="0" applyFont="1" applyFill="1" applyBorder="1"/>
    <xf numFmtId="0" fontId="2" fillId="25" borderId="27"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0" fontId="0" fillId="38" borderId="0" xfId="0" applyFill="1"/>
    <xf numFmtId="0" fontId="2" fillId="25" borderId="20" xfId="0" applyFont="1" applyFill="1" applyBorder="1" applyAlignment="1">
      <alignment horizontal="center" vertical="top"/>
    </xf>
    <xf numFmtId="3" fontId="2" fillId="40" borderId="64" xfId="0" applyNumberFormat="1" applyFont="1" applyFill="1" applyBorder="1" applyAlignment="1">
      <alignment vertical="top"/>
    </xf>
    <xf numFmtId="3" fontId="2" fillId="40" borderId="20" xfId="0" applyNumberFormat="1" applyFont="1" applyFill="1" applyBorder="1" applyAlignment="1">
      <alignment vertical="top"/>
    </xf>
    <xf numFmtId="0" fontId="2" fillId="25"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5" borderId="24" xfId="0" applyFont="1" applyFill="1" applyBorder="1" applyAlignment="1">
      <alignment horizontal="center" vertical="top"/>
    </xf>
    <xf numFmtId="3" fontId="2" fillId="27" borderId="66" xfId="0" applyNumberFormat="1" applyFont="1" applyFill="1" applyBorder="1" applyAlignment="1">
      <alignment vertical="top"/>
    </xf>
    <xf numFmtId="3" fontId="2" fillId="27" borderId="24" xfId="0" applyNumberFormat="1" applyFont="1" applyFill="1" applyBorder="1" applyAlignment="1">
      <alignment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2" fillId="46" borderId="0" xfId="0" applyFont="1" applyFill="1" applyAlignment="1">
      <alignment vertical="top"/>
    </xf>
    <xf numFmtId="0" fontId="2" fillId="42" borderId="11" xfId="0" applyFont="1" applyFill="1" applyBorder="1" applyAlignment="1" applyProtection="1">
      <alignment horizontal="center"/>
      <protection locked="0"/>
    </xf>
    <xf numFmtId="0" fontId="4" fillId="39" borderId="69" xfId="0" applyFont="1" applyFill="1" applyBorder="1" applyAlignment="1">
      <alignment horizontal="center"/>
    </xf>
    <xf numFmtId="0" fontId="2" fillId="24" borderId="110" xfId="0" applyFont="1" applyFill="1" applyBorder="1"/>
    <xf numFmtId="0" fontId="4" fillId="25" borderId="26" xfId="0" applyFont="1" applyFill="1" applyBorder="1" applyAlignment="1">
      <alignment horizontal="center" vertical="top"/>
    </xf>
    <xf numFmtId="0" fontId="0" fillId="25" borderId="109" xfId="0" applyFill="1" applyBorder="1" applyAlignment="1">
      <alignment vertical="top"/>
    </xf>
    <xf numFmtId="0" fontId="0" fillId="25" borderId="15" xfId="0" applyFill="1" applyBorder="1" applyAlignment="1">
      <alignment vertical="top"/>
    </xf>
    <xf numFmtId="0" fontId="0" fillId="25"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5" borderId="37" xfId="0" applyFill="1" applyBorder="1" applyAlignment="1">
      <alignment vertical="top"/>
    </xf>
    <xf numFmtId="0" fontId="0" fillId="25"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5" borderId="57" xfId="0" applyFont="1" applyFill="1" applyBorder="1"/>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2" fillId="39" borderId="69" xfId="0" applyFont="1" applyFill="1" applyBorder="1" applyAlignment="1">
      <alignment vertical="top"/>
    </xf>
    <xf numFmtId="0" fontId="4" fillId="39" borderId="69" xfId="0" quotePrefix="1" applyFont="1" applyFill="1" applyBorder="1" applyAlignment="1">
      <alignment horizontal="center"/>
    </xf>
    <xf numFmtId="0" fontId="2" fillId="24" borderId="10"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5" xfId="0" applyFont="1" applyFill="1" applyBorder="1" applyAlignment="1">
      <alignment vertical="top"/>
    </xf>
    <xf numFmtId="0" fontId="2" fillId="25" borderId="70" xfId="0" applyFont="1" applyFill="1" applyBorder="1" applyAlignment="1">
      <alignment vertical="top"/>
    </xf>
    <xf numFmtId="0" fontId="2" fillId="25" borderId="26" xfId="0" applyFont="1" applyFill="1" applyBorder="1" applyAlignment="1">
      <alignment vertical="top"/>
    </xf>
    <xf numFmtId="0" fontId="2" fillId="25" borderId="27" xfId="0" applyFont="1" applyFill="1" applyBorder="1" applyAlignment="1">
      <alignment vertical="top"/>
    </xf>
    <xf numFmtId="0" fontId="2" fillId="25"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2" fillId="43" borderId="39" xfId="0" applyFont="1" applyFill="1" applyBorder="1" applyAlignment="1">
      <alignment vertical="top"/>
    </xf>
    <xf numFmtId="0" fontId="58" fillId="27" borderId="13" xfId="0" applyFont="1" applyFill="1" applyBorder="1" applyAlignment="1">
      <alignment horizontal="left" vertical="top"/>
    </xf>
    <xf numFmtId="0" fontId="42" fillId="25" borderId="0" xfId="0" applyFont="1" applyFill="1"/>
    <xf numFmtId="0" fontId="2" fillId="25" borderId="18" xfId="0" applyFont="1" applyFill="1" applyBorder="1" applyAlignment="1">
      <alignment horizontal="center" vertical="top"/>
    </xf>
    <xf numFmtId="0" fontId="4" fillId="25"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0" fontId="2" fillId="25" borderId="11" xfId="0" applyFont="1" applyFill="1" applyBorder="1" applyAlignment="1">
      <alignment horizontal="center"/>
    </xf>
    <xf numFmtId="0" fontId="2" fillId="41" borderId="0" xfId="0" applyFont="1" applyFill="1" applyAlignment="1">
      <alignment vertical="top"/>
    </xf>
    <xf numFmtId="0" fontId="2" fillId="43" borderId="39" xfId="0" applyFont="1" applyFill="1" applyBorder="1" applyAlignment="1">
      <alignment horizontal="left" vertical="top"/>
    </xf>
    <xf numFmtId="0" fontId="4" fillId="41" borderId="0" xfId="0" applyFont="1" applyFill="1" applyAlignment="1">
      <alignment vertical="top"/>
    </xf>
    <xf numFmtId="0" fontId="2" fillId="25" borderId="18" xfId="0" applyFont="1" applyFill="1" applyBorder="1" applyAlignment="1">
      <alignment horizontal="right" vertical="top"/>
    </xf>
    <xf numFmtId="0" fontId="4" fillId="24" borderId="77" xfId="0" applyFont="1" applyFill="1" applyBorder="1" applyAlignment="1">
      <alignment vertical="top"/>
    </xf>
    <xf numFmtId="0" fontId="4" fillId="24" borderId="78" xfId="0" applyFont="1" applyFill="1" applyBorder="1" applyAlignment="1">
      <alignment vertical="top"/>
    </xf>
    <xf numFmtId="0" fontId="4" fillId="24" borderId="79" xfId="0" applyFont="1" applyFill="1" applyBorder="1" applyAlignment="1">
      <alignment vertical="top"/>
    </xf>
    <xf numFmtId="0" fontId="4" fillId="24" borderId="84" xfId="0" applyFont="1" applyFill="1" applyBorder="1" applyAlignment="1">
      <alignment vertical="top"/>
    </xf>
    <xf numFmtId="0" fontId="2" fillId="48" borderId="73" xfId="0" applyFont="1" applyFill="1" applyBorder="1" applyAlignment="1">
      <alignment vertical="top"/>
    </xf>
    <xf numFmtId="0" fontId="2" fillId="24" borderId="91" xfId="0" applyFont="1" applyFill="1" applyBorder="1" applyAlignment="1">
      <alignment vertical="top"/>
    </xf>
    <xf numFmtId="0" fontId="2" fillId="24" borderId="71" xfId="0" applyFont="1" applyFill="1" applyBorder="1" applyAlignment="1">
      <alignment vertical="top"/>
    </xf>
    <xf numFmtId="0" fontId="4" fillId="25" borderId="0" xfId="0" quotePrefix="1" applyFont="1" applyFill="1" applyAlignment="1">
      <alignment horizontal="center" vertical="top"/>
    </xf>
    <xf numFmtId="0" fontId="2" fillId="24" borderId="0" xfId="0" applyFont="1" applyFill="1" applyAlignment="1">
      <alignment horizontal="right"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5" borderId="0" xfId="0" quotePrefix="1" applyFont="1" applyFill="1" applyAlignment="1">
      <alignment horizontal="right" vertical="top"/>
    </xf>
    <xf numFmtId="165" fontId="2" fillId="42" borderId="13" xfId="0" applyNumberFormat="1" applyFont="1" applyFill="1" applyBorder="1" applyAlignment="1" applyProtection="1">
      <alignment vertical="top"/>
      <protection locked="0"/>
    </xf>
    <xf numFmtId="0" fontId="4" fillId="24" borderId="116" xfId="0" applyFont="1" applyFill="1" applyBorder="1" applyAlignment="1">
      <alignment vertical="top"/>
    </xf>
    <xf numFmtId="0" fontId="4" fillId="24" borderId="86" xfId="0" applyFont="1" applyFill="1" applyBorder="1" applyAlignment="1">
      <alignment vertical="top"/>
    </xf>
    <xf numFmtId="0" fontId="2" fillId="49" borderId="11" xfId="0" applyFont="1" applyFill="1" applyBorder="1" applyAlignment="1">
      <alignment horizontal="center"/>
    </xf>
    <xf numFmtId="0" fontId="2" fillId="49" borderId="75" xfId="0" applyFont="1" applyFill="1" applyBorder="1" applyAlignment="1">
      <alignment horizontal="center"/>
    </xf>
    <xf numFmtId="0" fontId="2" fillId="44" borderId="73" xfId="0" applyFont="1" applyFill="1" applyBorder="1" applyAlignment="1">
      <alignment vertical="top"/>
    </xf>
    <xf numFmtId="0" fontId="2" fillId="44" borderId="71" xfId="0" applyFont="1" applyFill="1" applyBorder="1" applyAlignment="1">
      <alignment vertical="top"/>
    </xf>
    <xf numFmtId="0" fontId="4" fillId="50" borderId="84" xfId="0" applyFont="1" applyFill="1" applyBorder="1"/>
    <xf numFmtId="0" fontId="0" fillId="50" borderId="69" xfId="0" applyFill="1" applyBorder="1"/>
    <xf numFmtId="0" fontId="4" fillId="50" borderId="69" xfId="0" applyFont="1" applyFill="1" applyBorder="1"/>
    <xf numFmtId="0" fontId="30" fillId="50" borderId="69" xfId="60" applyFont="1" applyFill="1" applyBorder="1" applyAlignment="1" applyProtection="1">
      <alignment vertical="top" wrapText="1"/>
    </xf>
    <xf numFmtId="0" fontId="2" fillId="42" borderId="64" xfId="0" applyFont="1" applyFill="1" applyBorder="1" applyAlignment="1" applyProtection="1">
      <alignment horizontal="center" vertical="top"/>
      <protection locked="0"/>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0" fontId="2" fillId="24" borderId="58" xfId="0" applyFont="1" applyFill="1" applyBorder="1"/>
    <xf numFmtId="0" fontId="4" fillId="24" borderId="29" xfId="0" applyFont="1" applyFill="1" applyBorder="1" applyAlignment="1">
      <alignment vertical="top"/>
    </xf>
    <xf numFmtId="0" fontId="4" fillId="24" borderId="31" xfId="0" applyFont="1" applyFill="1" applyBorder="1" applyAlignment="1">
      <alignment vertical="top"/>
    </xf>
    <xf numFmtId="0" fontId="4" fillId="24" borderId="60" xfId="0" applyFont="1" applyFill="1" applyBorder="1" applyAlignment="1">
      <alignment horizontal="left"/>
    </xf>
    <xf numFmtId="0" fontId="2" fillId="25" borderId="70" xfId="0" applyFont="1" applyFill="1" applyBorder="1" applyAlignment="1">
      <alignment horizontal="right" vertical="top"/>
    </xf>
    <xf numFmtId="0" fontId="2" fillId="39" borderId="13" xfId="0" applyFont="1" applyFill="1" applyBorder="1" applyAlignment="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lignment vertical="top"/>
    </xf>
    <xf numFmtId="166" fontId="2" fillId="27" borderId="13" xfId="0" applyNumberFormat="1" applyFont="1" applyFill="1" applyBorder="1" applyAlignment="1">
      <alignment vertical="top"/>
    </xf>
    <xf numFmtId="167" fontId="2" fillId="24" borderId="13" xfId="0" applyNumberFormat="1" applyFont="1" applyFill="1" applyBorder="1" applyAlignment="1">
      <alignment horizontal="center" vertical="top"/>
    </xf>
    <xf numFmtId="0" fontId="2" fillId="25" borderId="121" xfId="0" applyFont="1" applyFill="1" applyBorder="1" applyAlignment="1">
      <alignment vertical="top"/>
    </xf>
    <xf numFmtId="0" fontId="2" fillId="25" borderId="72" xfId="0" applyFont="1" applyFill="1" applyBorder="1" applyAlignment="1">
      <alignment vertical="top"/>
    </xf>
    <xf numFmtId="0" fontId="32" fillId="25" borderId="0" xfId="0" applyFont="1" applyFill="1" applyAlignment="1">
      <alignment vertical="top"/>
    </xf>
    <xf numFmtId="0" fontId="2" fillId="27" borderId="13" xfId="0" applyFont="1" applyFill="1" applyBorder="1" applyAlignment="1">
      <alignment vertical="top"/>
    </xf>
    <xf numFmtId="0" fontId="2" fillId="40" borderId="13" xfId="0" applyFont="1" applyFill="1" applyBorder="1" applyAlignment="1">
      <alignment horizontal="center" vertical="top"/>
    </xf>
    <xf numFmtId="0" fontId="2" fillId="24"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2" fillId="25" borderId="14" xfId="0" quotePrefix="1" applyFont="1" applyFill="1" applyBorder="1" applyAlignment="1">
      <alignment horizontal="center" vertical="top"/>
    </xf>
    <xf numFmtId="0" fontId="2" fillId="25" borderId="16" xfId="0" quotePrefix="1" applyFont="1" applyFill="1" applyBorder="1" applyAlignment="1">
      <alignment horizontal="center" vertical="top"/>
    </xf>
    <xf numFmtId="0" fontId="2" fillId="24" borderId="0" xfId="0" applyFont="1" applyFill="1" applyAlignment="1">
      <alignment vertical="center"/>
    </xf>
    <xf numFmtId="0" fontId="2" fillId="41" borderId="0" xfId="0" applyFont="1" applyFill="1" applyAlignment="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0" fontId="2" fillId="44" borderId="13" xfId="0" applyFont="1" applyFill="1" applyBorder="1"/>
    <xf numFmtId="164" fontId="2" fillId="40" borderId="70" xfId="0" applyNumberFormat="1" applyFont="1" applyFill="1" applyBorder="1" applyAlignment="1">
      <alignment horizontal="right" vertical="top"/>
    </xf>
    <xf numFmtId="14" fontId="2" fillId="24"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165" fontId="2" fillId="27" borderId="93" xfId="0" applyNumberFormat="1" applyFont="1" applyFill="1" applyBorder="1" applyAlignment="1">
      <alignment vertical="top"/>
    </xf>
    <xf numFmtId="0" fontId="4" fillId="25" borderId="112" xfId="0" applyFont="1" applyFill="1" applyBorder="1" applyAlignment="1">
      <alignment vertical="top"/>
    </xf>
    <xf numFmtId="0" fontId="4" fillId="25" borderId="26" xfId="0" applyFont="1" applyFill="1" applyBorder="1" applyAlignment="1">
      <alignment vertical="top"/>
    </xf>
    <xf numFmtId="0" fontId="4" fillId="0" borderId="27" xfId="0" applyFont="1" applyBorder="1" applyAlignment="1">
      <alignment horizontal="center" vertical="top"/>
    </xf>
    <xf numFmtId="0" fontId="4" fillId="25" borderId="111" xfId="0" applyFont="1" applyFill="1" applyBorder="1" applyAlignment="1">
      <alignment vertical="top"/>
    </xf>
    <xf numFmtId="0" fontId="4" fillId="25" borderId="42" xfId="0" applyFont="1" applyFill="1" applyBorder="1" applyAlignment="1">
      <alignment vertical="top"/>
    </xf>
    <xf numFmtId="0" fontId="4" fillId="0" borderId="47" xfId="0" applyFont="1" applyBorder="1" applyAlignment="1">
      <alignment horizontal="center" vertical="top"/>
    </xf>
    <xf numFmtId="0" fontId="4" fillId="25" borderId="113" xfId="0" applyFont="1" applyFill="1" applyBorder="1" applyAlignment="1">
      <alignment vertical="top"/>
    </xf>
    <xf numFmtId="0" fontId="4" fillId="25" borderId="122" xfId="0" applyFont="1" applyFill="1" applyBorder="1" applyAlignment="1">
      <alignment vertical="top"/>
    </xf>
    <xf numFmtId="0" fontId="4" fillId="0" borderId="72" xfId="0" applyFont="1" applyBorder="1" applyAlignment="1">
      <alignment horizontal="center" vertical="top"/>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167" fontId="2" fillId="24" borderId="0" xfId="0" applyNumberFormat="1" applyFont="1" applyFill="1" applyAlignment="1">
      <alignment horizontal="center" vertical="top"/>
    </xf>
    <xf numFmtId="170" fontId="2" fillId="27" borderId="13" xfId="0" applyNumberFormat="1" applyFont="1" applyFill="1" applyBorder="1" applyAlignment="1">
      <alignment horizontal="right" vertical="top"/>
    </xf>
    <xf numFmtId="0" fontId="2" fillId="25" borderId="13" xfId="0" applyFont="1" applyFill="1" applyBorder="1" applyAlignment="1">
      <alignment vertical="top"/>
    </xf>
    <xf numFmtId="0" fontId="2" fillId="41" borderId="27" xfId="0" applyFont="1" applyFill="1" applyBorder="1" applyAlignment="1">
      <alignment vertical="top"/>
    </xf>
    <xf numFmtId="0" fontId="2" fillId="24" borderId="13" xfId="0" applyFont="1" applyFill="1" applyBorder="1" applyAlignment="1">
      <alignment horizontal="center" vertical="top"/>
    </xf>
    <xf numFmtId="0" fontId="2" fillId="48" borderId="13" xfId="0" applyFont="1" applyFill="1" applyBorder="1"/>
    <xf numFmtId="0" fontId="4" fillId="24" borderId="13" xfId="0" applyFont="1" applyFill="1" applyBorder="1" applyAlignment="1">
      <alignment horizontal="left"/>
    </xf>
    <xf numFmtId="164" fontId="2" fillId="29" borderId="70" xfId="0" applyNumberFormat="1" applyFont="1" applyFill="1" applyBorder="1" applyAlignment="1" applyProtection="1">
      <alignment vertical="top"/>
      <protection locked="0"/>
    </xf>
    <xf numFmtId="0" fontId="4" fillId="40" borderId="45" xfId="0" applyFont="1" applyFill="1" applyBorder="1" applyAlignment="1">
      <alignment horizontal="righ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lignment vertical="top"/>
    </xf>
    <xf numFmtId="3" fontId="2" fillId="40" borderId="101" xfId="0" applyNumberFormat="1" applyFont="1" applyFill="1" applyBorder="1" applyAlignment="1">
      <alignment vertical="top"/>
    </xf>
    <xf numFmtId="3" fontId="2" fillId="27" borderId="99" xfId="0" applyNumberFormat="1" applyFont="1" applyFill="1" applyBorder="1" applyAlignment="1">
      <alignment vertical="top"/>
    </xf>
    <xf numFmtId="3" fontId="2" fillId="40" borderId="32" xfId="0" applyNumberFormat="1" applyFont="1" applyFill="1" applyBorder="1" applyAlignment="1">
      <alignment vertical="top"/>
    </xf>
    <xf numFmtId="3" fontId="2" fillId="27" borderId="123" xfId="0" applyNumberFormat="1" applyFont="1" applyFill="1" applyBorder="1" applyAlignment="1">
      <alignment vertical="top"/>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Font="1" applyFill="1" applyBorder="1" applyAlignment="1">
      <alignment vertical="top"/>
    </xf>
    <xf numFmtId="0" fontId="2" fillId="24" borderId="47" xfId="0" applyFont="1" applyFill="1" applyBorder="1" applyAlignment="1">
      <alignment vertical="top"/>
    </xf>
    <xf numFmtId="0" fontId="2" fillId="24" borderId="43"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4" borderId="62" xfId="0" applyFont="1" applyFill="1" applyBorder="1" applyAlignment="1">
      <alignment vertical="top"/>
    </xf>
    <xf numFmtId="0" fontId="2" fillId="24" borderId="73" xfId="0" applyFont="1" applyFill="1" applyBorder="1" applyAlignment="1">
      <alignment vertical="top"/>
    </xf>
    <xf numFmtId="0" fontId="2" fillId="24" borderId="70" xfId="0" applyFont="1" applyFill="1" applyBorder="1" applyAlignment="1">
      <alignment vertical="top"/>
    </xf>
    <xf numFmtId="170" fontId="4" fillId="27" borderId="69" xfId="0" applyNumberFormat="1" applyFont="1" applyFill="1" applyBorder="1" applyAlignment="1">
      <alignment vertical="top"/>
    </xf>
    <xf numFmtId="0" fontId="4" fillId="25" borderId="63" xfId="0" applyFont="1" applyFill="1" applyBorder="1" applyAlignment="1">
      <alignment horizontal="right" vertical="top"/>
    </xf>
    <xf numFmtId="0" fontId="4" fillId="40" borderId="50" xfId="0" applyFont="1" applyFill="1" applyBorder="1" applyAlignment="1">
      <alignment horizontal="right" vertical="top"/>
    </xf>
    <xf numFmtId="0" fontId="2" fillId="48" borderId="69" xfId="0" applyFont="1" applyFill="1" applyBorder="1" applyAlignment="1">
      <alignment vertical="top"/>
    </xf>
    <xf numFmtId="165" fontId="2" fillId="29" borderId="50" xfId="0" applyNumberFormat="1" applyFont="1" applyFill="1" applyBorder="1" applyAlignment="1" applyProtection="1">
      <alignment vertical="top"/>
      <protection locked="0"/>
    </xf>
    <xf numFmtId="0" fontId="2" fillId="48" borderId="73" xfId="0" applyFont="1" applyFill="1" applyBorder="1" applyAlignment="1">
      <alignment horizontal="center" vertical="top"/>
    </xf>
    <xf numFmtId="0" fontId="2" fillId="24" borderId="71" xfId="0" applyFont="1" applyFill="1" applyBorder="1" applyAlignment="1">
      <alignment horizontal="center"/>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44" borderId="73" xfId="0" applyFont="1" applyFill="1" applyBorder="1" applyAlignment="1">
      <alignment horizontal="center" vertical="top"/>
    </xf>
    <xf numFmtId="0" fontId="2" fillId="44" borderId="91" xfId="0" applyFont="1" applyFill="1" applyBorder="1" applyAlignment="1">
      <alignment vertical="top"/>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70" fontId="2" fillId="25" borderId="13" xfId="0" applyNumberFormat="1" applyFont="1" applyFill="1" applyBorder="1" applyAlignment="1">
      <alignment vertical="top"/>
    </xf>
    <xf numFmtId="0" fontId="2" fillId="25"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0" fontId="2" fillId="27" borderId="13" xfId="0" applyNumberFormat="1" applyFont="1" applyFill="1" applyBorder="1" applyAlignment="1">
      <alignment vertical="top"/>
    </xf>
    <xf numFmtId="3" fontId="2" fillId="40" borderId="69" xfId="0" applyNumberFormat="1" applyFont="1" applyFill="1" applyBorder="1"/>
    <xf numFmtId="0" fontId="35" fillId="40" borderId="69" xfId="0" applyFont="1" applyFill="1" applyBorder="1" applyAlignment="1">
      <alignment vertical="top"/>
    </xf>
    <xf numFmtId="3" fontId="2" fillId="24" borderId="27" xfId="0" applyNumberFormat="1" applyFont="1" applyFill="1" applyBorder="1"/>
    <xf numFmtId="0" fontId="2" fillId="40" borderId="69" xfId="0" applyFont="1" applyFill="1" applyBorder="1" applyAlignment="1">
      <alignment vertical="top"/>
    </xf>
    <xf numFmtId="0" fontId="32" fillId="40" borderId="69" xfId="0" applyFont="1" applyFill="1" applyBorder="1" applyAlignment="1">
      <alignment horizontal="center"/>
    </xf>
    <xf numFmtId="0" fontId="2" fillId="25"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4" borderId="105" xfId="0" applyFont="1" applyFill="1" applyBorder="1" applyAlignment="1">
      <alignment vertical="top"/>
    </xf>
    <xf numFmtId="0" fontId="4" fillId="24" borderId="105" xfId="0"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2" fillId="24" borderId="0" xfId="0" applyFont="1" applyFill="1" applyAlignment="1">
      <alignment horizontal="center" vertical="top"/>
    </xf>
    <xf numFmtId="0" fontId="2" fillId="24" borderId="69" xfId="0" applyFont="1" applyFill="1" applyBorder="1" applyAlignment="1">
      <alignment horizontal="center" vertical="top"/>
    </xf>
    <xf numFmtId="0" fontId="4" fillId="24" borderId="0" xfId="0" applyFont="1" applyFill="1" applyAlignment="1">
      <alignment horizontal="left"/>
    </xf>
    <xf numFmtId="0" fontId="2" fillId="41" borderId="0" xfId="0" applyFont="1" applyFill="1" applyAlignment="1">
      <alignment horizontal="right" vertical="top"/>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4" fillId="50" borderId="84" xfId="0" applyFont="1" applyFill="1" applyBorder="1" applyAlignment="1">
      <alignment vertical="top"/>
    </xf>
    <xf numFmtId="0" fontId="5" fillId="25" borderId="0" xfId="0" applyFont="1" applyFill="1" applyAlignment="1">
      <alignment vertical="top"/>
    </xf>
    <xf numFmtId="0" fontId="2" fillId="24" borderId="93" xfId="0" applyFont="1" applyFill="1" applyBorder="1" applyAlignment="1">
      <alignment horizontal="center" vertical="top"/>
    </xf>
    <xf numFmtId="0" fontId="3" fillId="26" borderId="0" xfId="0" applyFont="1" applyFill="1" applyAlignment="1">
      <alignment horizontal="left" vertical="top"/>
    </xf>
    <xf numFmtId="0" fontId="32" fillId="25" borderId="0" xfId="0" applyFont="1" applyFill="1" applyAlignment="1">
      <alignment horizontal="center" vertical="top"/>
    </xf>
    <xf numFmtId="14" fontId="2" fillId="24"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4" borderId="58" xfId="0" applyFont="1" applyFill="1" applyBorder="1" applyAlignment="1">
      <alignment vertical="top"/>
    </xf>
    <xf numFmtId="0" fontId="4" fillId="24" borderId="60" xfId="0" applyFont="1" applyFill="1" applyBorder="1" applyAlignment="1">
      <alignment horizontal="left" vertical="top"/>
    </xf>
    <xf numFmtId="0" fontId="4" fillId="25" borderId="11" xfId="0" applyFont="1" applyFill="1" applyBorder="1" applyAlignment="1">
      <alignment horizontal="center"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2" fillId="44" borderId="50" xfId="0" applyFont="1"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2" fillId="27" borderId="70" xfId="0" applyFont="1" applyFill="1" applyBorder="1" applyAlignment="1">
      <alignment horizontal="right" vertical="top"/>
    </xf>
    <xf numFmtId="0" fontId="2" fillId="25" borderId="111" xfId="0" applyFont="1" applyFill="1" applyBorder="1" applyAlignment="1">
      <alignment horizontal="left" vertical="top"/>
    </xf>
    <xf numFmtId="0" fontId="2" fillId="25"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5"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5" borderId="128"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66" fontId="2" fillId="48" borderId="0" xfId="0" applyNumberFormat="1" applyFont="1" applyFill="1" applyAlignment="1">
      <alignment vertical="top"/>
    </xf>
    <xf numFmtId="164" fontId="2" fillId="24" borderId="73" xfId="0" applyNumberFormat="1" applyFont="1" applyFill="1" applyBorder="1" applyAlignment="1">
      <alignment vertical="top"/>
    </xf>
    <xf numFmtId="164" fontId="2" fillId="24" borderId="91" xfId="0" applyNumberFormat="1" applyFont="1" applyFill="1" applyBorder="1" applyAlignment="1">
      <alignment vertical="top"/>
    </xf>
    <xf numFmtId="164" fontId="2" fillId="24" borderId="71" xfId="0" applyNumberFormat="1" applyFont="1" applyFill="1" applyBorder="1" applyAlignment="1">
      <alignment vertical="top"/>
    </xf>
    <xf numFmtId="167" fontId="0" fillId="39" borderId="27" xfId="0" applyNumberFormat="1" applyFill="1" applyBorder="1"/>
    <xf numFmtId="0" fontId="2" fillId="44" borderId="10" xfId="0" applyFont="1" applyFill="1" applyBorder="1" applyAlignment="1">
      <alignment wrapText="1"/>
    </xf>
    <xf numFmtId="0" fontId="36" fillId="50" borderId="69" xfId="60" applyFont="1" applyFill="1" applyBorder="1" applyAlignment="1" applyProtection="1">
      <alignment vertical="top" wrapText="1"/>
    </xf>
    <xf numFmtId="0" fontId="0" fillId="44" borderId="10" xfId="0" applyFill="1" applyBorder="1" applyAlignment="1">
      <alignment wrapText="1"/>
    </xf>
    <xf numFmtId="0" fontId="4" fillId="24" borderId="72" xfId="0" applyFont="1" applyFill="1" applyBorder="1" applyAlignment="1">
      <alignment horizontal="left" vertical="top"/>
    </xf>
    <xf numFmtId="0" fontId="0" fillId="40" borderId="13" xfId="0" applyFill="1" applyBorder="1" applyAlignment="1">
      <alignment horizontal="center"/>
    </xf>
    <xf numFmtId="0" fontId="4" fillId="25" borderId="25" xfId="0" applyFont="1" applyFill="1" applyBorder="1" applyAlignment="1">
      <alignment wrapText="1"/>
    </xf>
    <xf numFmtId="0" fontId="59" fillId="26" borderId="0" xfId="0" applyFont="1" applyFill="1"/>
    <xf numFmtId="0" fontId="46" fillId="25" borderId="0" xfId="0" applyFont="1" applyFill="1" applyAlignment="1">
      <alignment horizontal="left" vertical="top" wrapText="1"/>
    </xf>
    <xf numFmtId="0" fontId="37" fillId="25" borderId="0" xfId="0" applyFont="1" applyFill="1" applyAlignment="1">
      <alignment horizontal="left" vertical="top" wrapText="1"/>
    </xf>
    <xf numFmtId="0" fontId="0" fillId="25" borderId="0" xfId="0" applyFill="1" applyAlignment="1">
      <alignment horizontal="left" vertical="top" wrapText="1"/>
    </xf>
    <xf numFmtId="0" fontId="29" fillId="25" borderId="0" xfId="0" applyFont="1" applyFill="1" applyAlignment="1">
      <alignment horizontal="left" vertical="top" wrapText="1"/>
    </xf>
    <xf numFmtId="0" fontId="46" fillId="25" borderId="70" xfId="0" applyFont="1" applyFill="1" applyBorder="1" applyAlignment="1">
      <alignment horizontal="left" vertical="top" wrapText="1"/>
    </xf>
    <xf numFmtId="0" fontId="2" fillId="25" borderId="0" xfId="0" applyFont="1" applyFill="1" applyAlignment="1">
      <alignment horizontal="left" vertical="top" wrapText="1"/>
    </xf>
    <xf numFmtId="0" fontId="45" fillId="25" borderId="0" xfId="0" applyFont="1" applyFill="1" applyAlignment="1">
      <alignment horizontal="left" vertical="top" wrapText="1"/>
    </xf>
    <xf numFmtId="0" fontId="38" fillId="25" borderId="0" xfId="0" applyFont="1" applyFill="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8"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63"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2" xfId="0" applyFont="1" applyFill="1" applyBorder="1" applyAlignment="1">
      <alignment horizontal="left" vertical="top" wrapText="1"/>
    </xf>
    <xf numFmtId="0" fontId="32"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32" fillId="25" borderId="0" xfId="0" applyFont="1" applyFill="1" applyAlignment="1">
      <alignment horizontal="left" vertical="top" wrapText="1"/>
    </xf>
    <xf numFmtId="0" fontId="2" fillId="25" borderId="11" xfId="0" applyFont="1" applyFill="1" applyBorder="1" applyAlignment="1">
      <alignment horizontal="left" vertical="top"/>
    </xf>
    <xf numFmtId="0" fontId="1" fillId="0" borderId="0" xfId="70" quotePrefix="1"/>
    <xf numFmtId="0" fontId="8" fillId="25" borderId="0" xfId="0" applyFont="1" applyFill="1" applyAlignment="1">
      <alignment horizontal="left" vertical="top"/>
    </xf>
    <xf numFmtId="0" fontId="0" fillId="25" borderId="103" xfId="0" applyFill="1" applyBorder="1" applyAlignment="1">
      <alignment horizontal="left" vertical="top"/>
    </xf>
    <xf numFmtId="0" fontId="0" fillId="25" borderId="67" xfId="0" applyFill="1" applyBorder="1" applyAlignment="1">
      <alignment horizontal="left" vertical="top"/>
    </xf>
    <xf numFmtId="0" fontId="0" fillId="25" borderId="109" xfId="0" applyFill="1" applyBorder="1" applyAlignment="1">
      <alignment horizontal="left" vertical="top"/>
    </xf>
    <xf numFmtId="0" fontId="0" fillId="25" borderId="22" xfId="0" applyFill="1" applyBorder="1" applyAlignment="1">
      <alignment horizontal="left" vertical="top" wrapText="1"/>
    </xf>
    <xf numFmtId="0" fontId="53" fillId="25" borderId="0" xfId="0" applyFont="1" applyFill="1" applyAlignment="1">
      <alignment horizontal="left" vertical="top" wrapText="1"/>
    </xf>
    <xf numFmtId="0" fontId="52" fillId="25" borderId="0" xfId="0" applyFont="1" applyFill="1" applyAlignment="1">
      <alignment horizontal="left" vertical="top" wrapText="1"/>
    </xf>
    <xf numFmtId="0" fontId="9" fillId="25" borderId="12" xfId="0" applyFont="1" applyFill="1" applyBorder="1" applyAlignment="1">
      <alignment horizontal="left" vertical="top" wrapText="1"/>
    </xf>
    <xf numFmtId="0" fontId="52" fillId="25" borderId="19" xfId="0" applyFont="1" applyFill="1" applyBorder="1" applyAlignment="1">
      <alignment horizontal="left" vertical="top" wrapText="1"/>
    </xf>
    <xf numFmtId="0" fontId="0" fillId="51" borderId="107" xfId="0" applyFill="1" applyBorder="1" applyAlignment="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48" fillId="25" borderId="0" xfId="0" applyFont="1" applyFill="1" applyAlignment="1">
      <alignment horizontal="left" vertical="top" wrapText="1"/>
    </xf>
    <xf numFmtId="0" fontId="49" fillId="25" borderId="15" xfId="0" applyFont="1" applyFill="1" applyBorder="1" applyAlignment="1">
      <alignment horizontal="left" vertical="top" wrapText="1"/>
    </xf>
    <xf numFmtId="0" fontId="2" fillId="25" borderId="22" xfId="0" applyFont="1" applyFill="1" applyBorder="1" applyAlignment="1">
      <alignment horizontal="left" vertical="top" wrapText="1"/>
    </xf>
    <xf numFmtId="0" fontId="4" fillId="25" borderId="84" xfId="0" applyFont="1" applyFill="1" applyBorder="1" applyAlignment="1">
      <alignment horizontal="left" vertical="top" wrapText="1"/>
    </xf>
    <xf numFmtId="0" fontId="2" fillId="25" borderId="18" xfId="0" applyFont="1" applyFill="1" applyBorder="1" applyAlignment="1">
      <alignment horizontal="left" vertical="top"/>
    </xf>
    <xf numFmtId="0" fontId="2" fillId="25" borderId="17" xfId="0" applyFont="1" applyFill="1" applyBorder="1" applyAlignment="1">
      <alignment horizontal="left" vertical="top" wrapText="1"/>
    </xf>
    <xf numFmtId="0" fontId="4" fillId="50" borderId="58" xfId="0" applyFont="1" applyFill="1" applyBorder="1" applyAlignment="1">
      <alignment horizontal="left" vertical="top" wrapText="1"/>
    </xf>
    <xf numFmtId="0" fontId="32" fillId="43" borderId="0" xfId="0" applyFont="1" applyFill="1" applyAlignment="1">
      <alignment horizontal="left" vertical="top" wrapText="1"/>
    </xf>
    <xf numFmtId="0" fontId="38"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49" fillId="43" borderId="15" xfId="0" applyFont="1" applyFill="1" applyBorder="1" applyAlignment="1">
      <alignment horizontal="left" vertical="top" wrapText="1"/>
    </xf>
    <xf numFmtId="0" fontId="9" fillId="41" borderId="0" xfId="0" applyFont="1" applyFill="1" applyAlignment="1">
      <alignment horizontal="left" vertical="top" wrapText="1"/>
    </xf>
    <xf numFmtId="0" fontId="2" fillId="25" borderId="63" xfId="0" applyFont="1" applyFill="1" applyBorder="1" applyAlignment="1">
      <alignment horizontal="left" vertical="top" wrapText="1"/>
    </xf>
    <xf numFmtId="0" fontId="32" fillId="25" borderId="0" xfId="0" applyFont="1" applyFill="1" applyAlignment="1">
      <alignment horizontal="left" vertical="top"/>
    </xf>
    <xf numFmtId="0" fontId="2" fillId="25" borderId="26" xfId="0" applyFont="1" applyFill="1" applyBorder="1" applyAlignment="1">
      <alignment horizontal="left" vertical="top"/>
    </xf>
    <xf numFmtId="0" fontId="4" fillId="25" borderId="18" xfId="0" applyFont="1" applyFill="1" applyBorder="1" applyAlignment="1">
      <alignment horizontal="left" vertical="top"/>
    </xf>
    <xf numFmtId="0" fontId="9" fillId="25" borderId="17" xfId="0" applyFont="1" applyFill="1" applyBorder="1" applyAlignment="1">
      <alignment horizontal="left" vertical="top" wrapText="1"/>
    </xf>
    <xf numFmtId="0" fontId="9" fillId="25" borderId="15" xfId="0" applyFont="1" applyFill="1" applyBorder="1" applyAlignment="1">
      <alignment horizontal="left" vertical="top"/>
    </xf>
    <xf numFmtId="0" fontId="9" fillId="25" borderId="15" xfId="0" applyFont="1" applyFill="1" applyBorder="1" applyAlignment="1">
      <alignment horizontal="left" vertical="top" wrapText="1"/>
    </xf>
    <xf numFmtId="0" fontId="9" fillId="52" borderId="15" xfId="0" applyFont="1" applyFill="1" applyBorder="1" applyAlignment="1">
      <alignment horizontal="left" vertical="top" wrapText="1"/>
    </xf>
    <xf numFmtId="0" fontId="2" fillId="25" borderId="70" xfId="0" applyFont="1" applyFill="1" applyBorder="1" applyAlignment="1">
      <alignment horizontal="left" vertical="top"/>
    </xf>
    <xf numFmtId="0" fontId="4" fillId="43" borderId="26" xfId="0" applyFont="1" applyFill="1" applyBorder="1" applyAlignment="1">
      <alignment horizontal="left" vertical="top" wrapText="1"/>
    </xf>
    <xf numFmtId="0" fontId="2" fillId="24" borderId="0" xfId="0" applyFont="1" applyFill="1" applyAlignment="1">
      <alignment horizontal="left" vertical="top"/>
    </xf>
    <xf numFmtId="0" fontId="4" fillId="25" borderId="63" xfId="0" applyFont="1" applyFill="1" applyBorder="1" applyAlignment="1">
      <alignment wrapText="1"/>
    </xf>
    <xf numFmtId="0" fontId="0" fillId="42" borderId="70" xfId="0" applyFill="1" applyBorder="1" applyProtection="1">
      <protection locked="0"/>
    </xf>
    <xf numFmtId="0" fontId="24" fillId="0" borderId="12" xfId="70" applyFont="1" applyBorder="1" applyAlignment="1">
      <alignment vertical="top"/>
    </xf>
    <xf numFmtId="0" fontId="1" fillId="0" borderId="0" xfId="70" applyAlignment="1">
      <alignment vertical="top"/>
    </xf>
    <xf numFmtId="0" fontId="4" fillId="50" borderId="69" xfId="0" applyFont="1" applyFill="1" applyBorder="1" applyAlignment="1">
      <alignment horizontal="left" vertical="top"/>
    </xf>
    <xf numFmtId="0" fontId="27" fillId="25" borderId="0" xfId="0" applyFont="1" applyFill="1" applyAlignment="1">
      <alignment horizontal="left" vertical="top"/>
    </xf>
    <xf numFmtId="0" fontId="2" fillId="25" borderId="57" xfId="0" applyFont="1" applyFill="1" applyBorder="1" applyAlignment="1">
      <alignment horizontal="left" vertical="top"/>
    </xf>
    <xf numFmtId="0" fontId="4" fillId="34" borderId="84" xfId="0" applyFont="1" applyFill="1" applyBorder="1" applyAlignment="1">
      <alignment horizontal="left" vertical="top" wrapText="1"/>
    </xf>
    <xf numFmtId="0" fontId="4" fillId="25" borderId="18"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63" xfId="0" applyFont="1" applyBorder="1" applyAlignment="1">
      <alignment horizontal="left" vertical="top" wrapText="1"/>
    </xf>
    <xf numFmtId="0" fontId="55" fillId="25" borderId="0" xfId="0" applyFont="1" applyFill="1" applyAlignment="1">
      <alignment horizontal="left" vertical="top"/>
    </xf>
    <xf numFmtId="0" fontId="56" fillId="26" borderId="78" xfId="0" applyFont="1" applyFill="1" applyBorder="1" applyAlignment="1">
      <alignment horizontal="left" vertical="top"/>
    </xf>
    <xf numFmtId="0" fontId="56" fillId="26" borderId="78" xfId="0" applyFont="1" applyFill="1" applyBorder="1" applyAlignment="1">
      <alignment horizontal="left" vertical="top" wrapText="1"/>
    </xf>
    <xf numFmtId="0" fontId="56" fillId="26" borderId="79" xfId="0" applyFont="1" applyFill="1" applyBorder="1" applyAlignment="1">
      <alignment horizontal="left" vertical="top" wrapText="1"/>
    </xf>
    <xf numFmtId="0" fontId="0" fillId="41" borderId="11" xfId="0" applyFill="1" applyBorder="1" applyAlignment="1">
      <alignment horizontal="left" vertical="top"/>
    </xf>
    <xf numFmtId="0" fontId="2" fillId="25" borderId="27" xfId="0" applyFont="1" applyFill="1" applyBorder="1" applyAlignment="1">
      <alignment horizontal="left" vertical="top" wrapText="1"/>
    </xf>
    <xf numFmtId="0" fontId="4" fillId="25" borderId="26" xfId="0" applyFont="1" applyFill="1" applyBorder="1" applyAlignment="1">
      <alignment horizontal="left" vertical="top" wrapText="1"/>
    </xf>
    <xf numFmtId="0" fontId="4" fillId="25"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3" fillId="34" borderId="84" xfId="0" applyFont="1" applyFill="1" applyBorder="1" applyAlignment="1">
      <alignment horizontal="left" vertical="top" wrapText="1"/>
    </xf>
    <xf numFmtId="0" fontId="4" fillId="0" borderId="12" xfId="0" applyFont="1" applyBorder="1" applyAlignment="1">
      <alignment horizontal="left" vertical="top"/>
    </xf>
    <xf numFmtId="0" fontId="0" fillId="24" borderId="0" xfId="0" applyFill="1" applyAlignment="1">
      <alignment horizontal="left" vertical="top"/>
    </xf>
    <xf numFmtId="0" fontId="2" fillId="39" borderId="0" xfId="0" applyFont="1" applyFill="1" applyAlignment="1">
      <alignment horizontal="left" vertical="top"/>
    </xf>
    <xf numFmtId="0" fontId="39" fillId="26" borderId="0" xfId="0" applyFont="1" applyFill="1" applyAlignment="1">
      <alignment horizontal="left" vertical="top"/>
    </xf>
    <xf numFmtId="0" fontId="40" fillId="24" borderId="0" xfId="0" applyFont="1" applyFill="1" applyAlignment="1">
      <alignment horizontal="left" vertical="top"/>
    </xf>
    <xf numFmtId="0" fontId="0" fillId="39" borderId="13" xfId="0"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37" fillId="39" borderId="13" xfId="0" applyFont="1" applyFill="1" applyBorder="1" applyAlignment="1">
      <alignment horizontal="left" vertical="top"/>
    </xf>
    <xf numFmtId="0" fontId="4" fillId="46" borderId="11" xfId="0" applyFont="1" applyFill="1" applyBorder="1" applyAlignment="1">
      <alignment horizontal="left" vertical="top" wrapText="1"/>
    </xf>
    <xf numFmtId="0" fontId="2" fillId="24" borderId="129" xfId="0" applyFont="1" applyFill="1" applyBorder="1" applyAlignment="1">
      <alignment horizontal="left" vertical="top"/>
    </xf>
    <xf numFmtId="0" fontId="2" fillId="24" borderId="91" xfId="0" applyFont="1" applyFill="1" applyBorder="1" applyAlignment="1">
      <alignment horizontal="left" vertical="top"/>
    </xf>
    <xf numFmtId="173" fontId="2" fillId="27" borderId="11" xfId="0" applyNumberFormat="1" applyFont="1" applyFill="1" applyBorder="1" applyAlignment="1">
      <alignment horizontal="right" vertical="top"/>
    </xf>
    <xf numFmtId="173" fontId="4" fillId="27" borderId="78" xfId="0" applyNumberFormat="1" applyFont="1" applyFill="1" applyBorder="1" applyAlignment="1">
      <alignment horizontal="right" vertical="top"/>
    </xf>
    <xf numFmtId="173" fontId="4" fillId="27" borderId="79" xfId="0" applyNumberFormat="1" applyFont="1" applyFill="1" applyBorder="1" applyAlignment="1">
      <alignment horizontal="right" vertical="top"/>
    </xf>
    <xf numFmtId="173" fontId="2" fillId="29" borderId="64" xfId="0" applyNumberFormat="1" applyFont="1" applyFill="1" applyBorder="1" applyAlignment="1" applyProtection="1">
      <alignment horizontal="right" vertical="top"/>
      <protection locked="0"/>
    </xf>
    <xf numFmtId="173" fontId="2" fillId="29" borderId="65" xfId="0" applyNumberFormat="1" applyFont="1" applyFill="1" applyBorder="1" applyAlignment="1" applyProtection="1">
      <alignment horizontal="right" vertical="top"/>
      <protection locked="0"/>
    </xf>
    <xf numFmtId="173" fontId="2" fillId="29" borderId="97" xfId="0" applyNumberFormat="1" applyFont="1" applyFill="1" applyBorder="1" applyAlignment="1" applyProtection="1">
      <alignment horizontal="right" vertical="top"/>
      <protection locked="0"/>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2" fillId="29" borderId="93" xfId="0" applyNumberFormat="1" applyFont="1" applyFill="1" applyBorder="1" applyAlignment="1" applyProtection="1">
      <alignment horizontal="right" vertical="top"/>
      <protection locked="0"/>
    </xf>
    <xf numFmtId="173" fontId="4" fillId="29" borderId="78" xfId="0" applyNumberFormat="1" applyFont="1" applyFill="1" applyBorder="1" applyAlignment="1" applyProtection="1">
      <alignment horizontal="right" vertical="top"/>
      <protection locked="0"/>
    </xf>
    <xf numFmtId="173" fontId="4" fillId="29" borderId="79" xfId="0" applyNumberFormat="1" applyFont="1" applyFill="1" applyBorder="1" applyAlignment="1" applyProtection="1">
      <alignment horizontal="right" vertical="top"/>
      <protection locked="0"/>
    </xf>
    <xf numFmtId="10" fontId="58" fillId="44" borderId="73" xfId="66" applyNumberFormat="1" applyFont="1" applyFill="1" applyBorder="1" applyProtection="1"/>
    <xf numFmtId="167" fontId="59" fillId="44" borderId="13" xfId="0" applyNumberFormat="1" applyFont="1" applyFill="1" applyBorder="1"/>
    <xf numFmtId="10" fontId="58" fillId="44" borderId="91" xfId="66" applyNumberFormat="1" applyFont="1" applyFill="1" applyBorder="1" applyProtection="1"/>
    <xf numFmtId="10" fontId="58" fillId="44" borderId="71" xfId="66" applyNumberFormat="1" applyFont="1" applyFill="1" applyBorder="1" applyProtection="1"/>
    <xf numFmtId="168" fontId="59" fillId="44" borderId="13" xfId="0" applyNumberFormat="1" applyFont="1" applyFill="1" applyBorder="1"/>
    <xf numFmtId="0" fontId="36" fillId="50" borderId="0" xfId="60" applyFont="1" applyFill="1" applyBorder="1" applyAlignment="1" applyProtection="1">
      <alignment horizontal="center" vertical="top" wrapText="1"/>
    </xf>
    <xf numFmtId="0" fontId="0" fillId="51" borderId="0" xfId="0" applyFill="1" applyAlignment="1">
      <alignment horizontal="left" vertical="top" wrapText="1"/>
    </xf>
    <xf numFmtId="0" fontId="60" fillId="24" borderId="0" xfId="0" applyFont="1" applyFill="1" applyAlignment="1">
      <alignment horizontal="left" vertical="top" wrapText="1"/>
    </xf>
    <xf numFmtId="49" fontId="2" fillId="42" borderId="101" xfId="0" applyNumberFormat="1" applyFont="1" applyFill="1" applyBorder="1" applyAlignment="1" applyProtection="1">
      <alignment horizontal="left" vertical="top"/>
      <protection locked="0"/>
    </xf>
    <xf numFmtId="0" fontId="38" fillId="41" borderId="0" xfId="0" applyFont="1" applyFill="1" applyAlignment="1">
      <alignment horizontal="left" vertical="top" wrapText="1"/>
    </xf>
    <xf numFmtId="0" fontId="2" fillId="41" borderId="26" xfId="0" applyFont="1" applyFill="1" applyBorder="1" applyAlignment="1">
      <alignment horizontal="left" vertical="top" wrapText="1"/>
    </xf>
    <xf numFmtId="0" fontId="2" fillId="43" borderId="0" xfId="0" applyFont="1" applyFill="1" applyAlignment="1">
      <alignment horizontal="left" vertical="top"/>
    </xf>
    <xf numFmtId="0" fontId="4" fillId="43" borderId="0" xfId="0" applyFont="1" applyFill="1" applyAlignment="1">
      <alignment horizontal="left" vertical="top" wrapText="1"/>
    </xf>
    <xf numFmtId="0" fontId="4" fillId="43" borderId="0" xfId="0" applyFont="1" applyFill="1" applyAlignment="1">
      <alignment horizontal="left" vertical="top"/>
    </xf>
    <xf numFmtId="0" fontId="9" fillId="43" borderId="0" xfId="0" quotePrefix="1" applyFont="1" applyFill="1" applyAlignment="1">
      <alignment horizontal="left" vertical="top" wrapText="1"/>
    </xf>
    <xf numFmtId="0" fontId="61" fillId="53" borderId="0" xfId="0" quotePrefix="1" applyFont="1" applyFill="1" applyAlignment="1">
      <alignment horizontal="left" vertical="top" wrapText="1"/>
    </xf>
    <xf numFmtId="0" fontId="9" fillId="43" borderId="0" xfId="0" applyFont="1" applyFill="1" applyAlignment="1">
      <alignment horizontal="left" vertical="top" wrapText="1"/>
    </xf>
    <xf numFmtId="0" fontId="2" fillId="41" borderId="14" xfId="0" applyFont="1" applyFill="1" applyBorder="1" applyAlignment="1">
      <alignment horizontal="left" vertical="top"/>
    </xf>
    <xf numFmtId="0" fontId="2" fillId="40" borderId="13" xfId="0" applyFont="1" applyFill="1" applyBorder="1" applyAlignment="1">
      <alignment horizontal="left" vertical="top"/>
    </xf>
    <xf numFmtId="0" fontId="2" fillId="41" borderId="0" xfId="0" applyFont="1" applyFill="1" applyAlignment="1">
      <alignment horizontal="left" vertical="top" wrapText="1"/>
    </xf>
    <xf numFmtId="0" fontId="2" fillId="41" borderId="0" xfId="0" applyFont="1" applyFill="1" applyAlignment="1">
      <alignment vertical="top" wrapText="1"/>
    </xf>
    <xf numFmtId="0" fontId="2" fillId="41" borderId="12" xfId="0" applyFont="1" applyFill="1" applyBorder="1" applyAlignment="1">
      <alignment horizontal="left" vertical="top" wrapText="1"/>
    </xf>
    <xf numFmtId="0" fontId="6" fillId="25" borderId="0" xfId="60" applyFill="1" applyAlignment="1" applyProtection="1"/>
    <xf numFmtId="0" fontId="2" fillId="29" borderId="10" xfId="0" applyFont="1" applyFill="1" applyBorder="1" applyAlignment="1" applyProtection="1">
      <alignment vertical="top"/>
      <protection locked="0"/>
    </xf>
    <xf numFmtId="0" fontId="2" fillId="29" borderId="64" xfId="0" applyFont="1" applyFill="1" applyBorder="1" applyAlignment="1" applyProtection="1">
      <alignment horizontal="center" vertical="top"/>
      <protection locked="0"/>
    </xf>
    <xf numFmtId="0" fontId="2" fillId="29" borderId="65" xfId="0" applyFont="1" applyFill="1" applyBorder="1" applyAlignment="1" applyProtection="1">
      <alignment horizontal="center" vertical="top"/>
      <protection locked="0"/>
    </xf>
    <xf numFmtId="0" fontId="2" fillId="29" borderId="97" xfId="0" applyFont="1" applyFill="1" applyBorder="1" applyAlignment="1" applyProtection="1">
      <alignment horizontal="center" vertical="top"/>
      <protection locked="0"/>
    </xf>
    <xf numFmtId="0" fontId="2" fillId="29" borderId="66" xfId="0" applyFont="1" applyFill="1" applyBorder="1" applyAlignment="1" applyProtection="1">
      <alignment horizontal="center" vertical="top"/>
      <protection locked="0"/>
    </xf>
    <xf numFmtId="0" fontId="2" fillId="27" borderId="93" xfId="0" applyFont="1" applyFill="1" applyBorder="1"/>
    <xf numFmtId="0" fontId="2" fillId="31" borderId="81" xfId="0" applyFont="1" applyFill="1" applyBorder="1"/>
    <xf numFmtId="0" fontId="4" fillId="25" borderId="11" xfId="0" applyFont="1" applyFill="1" applyBorder="1" applyAlignment="1">
      <alignment horizontal="center" wrapText="1"/>
    </xf>
    <xf numFmtId="0" fontId="2" fillId="0" borderId="0" xfId="0" applyFont="1" applyAlignment="1">
      <alignment vertical="top" wrapText="1"/>
    </xf>
    <xf numFmtId="0" fontId="2" fillId="39" borderId="13" xfId="0" applyFont="1" applyFill="1" applyBorder="1" applyAlignment="1">
      <alignment vertical="top"/>
    </xf>
    <xf numFmtId="0" fontId="63" fillId="25" borderId="0" xfId="0" applyFont="1" applyFill="1" applyAlignment="1">
      <alignment vertical="top"/>
    </xf>
    <xf numFmtId="0" fontId="2" fillId="25" borderId="0" xfId="0" applyFont="1" applyFill="1" applyAlignment="1">
      <alignment vertical="top" wrapText="1"/>
    </xf>
    <xf numFmtId="0" fontId="2" fillId="25" borderId="0" xfId="0" applyFont="1" applyFill="1" applyAlignment="1">
      <alignment horizontal="right" indent="1"/>
    </xf>
    <xf numFmtId="0" fontId="62" fillId="25" borderId="0" xfId="0" quotePrefix="1" applyFont="1" applyFill="1" applyAlignment="1">
      <alignment horizontal="right" vertical="top"/>
    </xf>
    <xf numFmtId="0" fontId="47" fillId="25" borderId="0" xfId="0" applyFont="1" applyFill="1" applyAlignment="1">
      <alignment vertical="top"/>
    </xf>
    <xf numFmtId="0" fontId="4" fillId="25" borderId="25" xfId="0" applyFont="1" applyFill="1" applyBorder="1" applyAlignment="1">
      <alignment vertical="top"/>
    </xf>
    <xf numFmtId="0" fontId="2" fillId="25" borderId="12" xfId="0" applyFont="1" applyFill="1" applyBorder="1"/>
    <xf numFmtId="0" fontId="4" fillId="25" borderId="20" xfId="0" applyFont="1" applyFill="1" applyBorder="1" applyAlignment="1">
      <alignment horizontal="right" vertical="top" indent="1"/>
    </xf>
    <xf numFmtId="0" fontId="4" fillId="25" borderId="21" xfId="0" applyFont="1" applyFill="1" applyBorder="1" applyAlignment="1">
      <alignment horizontal="right" vertical="top" indent="1"/>
    </xf>
    <xf numFmtId="0" fontId="2" fillId="39" borderId="91" xfId="0" applyFont="1" applyFill="1" applyBorder="1" applyAlignment="1">
      <alignment vertical="top"/>
    </xf>
    <xf numFmtId="0" fontId="4" fillId="25" borderId="24" xfId="0" applyFont="1" applyFill="1" applyBorder="1" applyAlignment="1">
      <alignment horizontal="right" vertical="top" indent="1"/>
    </xf>
    <xf numFmtId="0" fontId="2" fillId="39" borderId="0" xfId="0" applyFont="1" applyFill="1" applyAlignment="1">
      <alignment horizontal="right" vertical="top"/>
    </xf>
    <xf numFmtId="15" fontId="2" fillId="24" borderId="0" xfId="0" applyNumberFormat="1" applyFont="1" applyFill="1" applyAlignment="1">
      <alignment vertical="top"/>
    </xf>
    <xf numFmtId="15" fontId="2" fillId="25" borderId="0" xfId="0" applyNumberFormat="1" applyFont="1" applyFill="1" applyAlignment="1">
      <alignment vertical="top"/>
    </xf>
    <xf numFmtId="15" fontId="2" fillId="39" borderId="0" xfId="0" applyNumberFormat="1" applyFont="1" applyFill="1" applyAlignment="1">
      <alignment vertical="top"/>
    </xf>
    <xf numFmtId="15" fontId="2" fillId="41" borderId="0" xfId="0" applyNumberFormat="1" applyFont="1" applyFill="1" applyAlignment="1">
      <alignment vertical="top"/>
    </xf>
    <xf numFmtId="0" fontId="4" fillId="25" borderId="25" xfId="0" applyFont="1" applyFill="1" applyBorder="1" applyAlignment="1">
      <alignment horizontal="right" vertical="top"/>
    </xf>
    <xf numFmtId="0" fontId="2" fillId="41" borderId="27" xfId="0" applyFont="1" applyFill="1" applyBorder="1" applyAlignment="1">
      <alignment horizontal="center" vertical="top"/>
    </xf>
    <xf numFmtId="164" fontId="4" fillId="27" borderId="13" xfId="0" applyNumberFormat="1" applyFont="1" applyFill="1" applyBorder="1" applyAlignment="1">
      <alignment horizontal="right" vertical="top"/>
    </xf>
    <xf numFmtId="0" fontId="2" fillId="25" borderId="68" xfId="0" applyFont="1" applyFill="1" applyBorder="1" applyAlignment="1">
      <alignment vertical="top"/>
    </xf>
    <xf numFmtId="0" fontId="58" fillId="41" borderId="0" xfId="0" applyFont="1" applyFill="1" applyAlignment="1">
      <alignment vertical="top"/>
    </xf>
    <xf numFmtId="0" fontId="37" fillId="27" borderId="27" xfId="0" applyFont="1" applyFill="1" applyBorder="1" applyAlignment="1">
      <alignment vertical="top"/>
    </xf>
    <xf numFmtId="0" fontId="4" fillId="39" borderId="69" xfId="0" applyFont="1" applyFill="1" applyBorder="1" applyAlignment="1">
      <alignment horizontal="center" vertical="top"/>
    </xf>
    <xf numFmtId="0" fontId="4" fillId="25" borderId="93" xfId="0" applyFont="1" applyFill="1" applyBorder="1" applyAlignment="1">
      <alignment horizontal="center" vertical="top"/>
    </xf>
    <xf numFmtId="0" fontId="2" fillId="25" borderId="16" xfId="0" applyFont="1" applyFill="1" applyBorder="1" applyAlignment="1">
      <alignment vertical="top"/>
    </xf>
    <xf numFmtId="0" fontId="37" fillId="27" borderId="66" xfId="0" applyFont="1" applyFill="1" applyBorder="1" applyAlignment="1">
      <alignment vertical="top"/>
    </xf>
    <xf numFmtId="0" fontId="4" fillId="25" borderId="18" xfId="0" applyFont="1" applyFill="1" applyBorder="1" applyAlignment="1">
      <alignment horizontal="right" wrapText="1"/>
    </xf>
    <xf numFmtId="0" fontId="4" fillId="0" borderId="11" xfId="0" applyFont="1" applyBorder="1" applyAlignment="1">
      <alignment wrapText="1"/>
    </xf>
    <xf numFmtId="0" fontId="4" fillId="25" borderId="63" xfId="0" applyFont="1" applyFill="1" applyBorder="1" applyAlignment="1">
      <alignment horizontal="center" wrapText="1"/>
    </xf>
    <xf numFmtId="0" fontId="2" fillId="25" borderId="19" xfId="0" applyFont="1" applyFill="1" applyBorder="1" applyAlignment="1">
      <alignment vertical="top"/>
    </xf>
    <xf numFmtId="0" fontId="2" fillId="39" borderId="10" xfId="0" applyFont="1" applyFill="1" applyBorder="1" applyAlignment="1">
      <alignment horizontal="center" vertical="top" wrapText="1"/>
    </xf>
    <xf numFmtId="0" fontId="2" fillId="39" borderId="10" xfId="0" applyFont="1" applyFill="1" applyBorder="1" applyAlignment="1">
      <alignment vertical="top"/>
    </xf>
    <xf numFmtId="164" fontId="2" fillId="25" borderId="20" xfId="0" applyNumberFormat="1" applyFont="1" applyFill="1" applyBorder="1" applyAlignment="1">
      <alignment horizontal="right" vertical="top"/>
    </xf>
    <xf numFmtId="0" fontId="2" fillId="27" borderId="101" xfId="0" applyFont="1" applyFill="1" applyBorder="1" applyAlignment="1">
      <alignment horizontal="center" vertical="top"/>
    </xf>
    <xf numFmtId="0" fontId="2" fillId="39" borderId="73" xfId="0" applyFont="1" applyFill="1" applyBorder="1" applyAlignment="1">
      <alignment horizontal="center" vertical="top"/>
    </xf>
    <xf numFmtId="0" fontId="2" fillId="39" borderId="111" xfId="0" applyFont="1" applyFill="1" applyBorder="1" applyAlignment="1">
      <alignment horizontal="center" vertical="top"/>
    </xf>
    <xf numFmtId="14" fontId="2" fillId="39" borderId="13" xfId="0" applyNumberFormat="1" applyFont="1" applyFill="1" applyBorder="1" applyAlignment="1">
      <alignment vertical="top"/>
    </xf>
    <xf numFmtId="164" fontId="2" fillId="25" borderId="21" xfId="0" applyNumberFormat="1" applyFont="1" applyFill="1" applyBorder="1" applyAlignment="1">
      <alignment horizontal="right" vertical="top"/>
    </xf>
    <xf numFmtId="0" fontId="2" fillId="27" borderId="100" xfId="0" applyFont="1" applyFill="1" applyBorder="1" applyAlignment="1">
      <alignment horizontal="center" vertical="top"/>
    </xf>
    <xf numFmtId="0" fontId="2" fillId="39" borderId="91" xfId="0" applyFont="1" applyFill="1" applyBorder="1" applyAlignment="1">
      <alignment horizontal="center" vertical="top"/>
    </xf>
    <xf numFmtId="0" fontId="2" fillId="39" borderId="112" xfId="0" applyFont="1" applyFill="1" applyBorder="1" applyAlignment="1">
      <alignment horizontal="center" vertical="top"/>
    </xf>
    <xf numFmtId="164" fontId="2" fillId="25" borderId="24" xfId="0" applyNumberFormat="1" applyFont="1" applyFill="1" applyBorder="1" applyAlignment="1">
      <alignment horizontal="right" vertical="top"/>
    </xf>
    <xf numFmtId="0" fontId="2" fillId="27" borderId="99" xfId="0" applyFont="1" applyFill="1" applyBorder="1" applyAlignment="1">
      <alignment horizontal="center" vertical="top"/>
    </xf>
    <xf numFmtId="0" fontId="2" fillId="39" borderId="71" xfId="0" applyFont="1" applyFill="1" applyBorder="1" applyAlignment="1">
      <alignment horizontal="center" vertical="top"/>
    </xf>
    <xf numFmtId="0" fontId="2" fillId="39" borderId="113" xfId="0" applyFont="1" applyFill="1" applyBorder="1" applyAlignment="1">
      <alignment horizontal="center" vertical="top"/>
    </xf>
    <xf numFmtId="0" fontId="2" fillId="0" borderId="27" xfId="0" applyFont="1" applyBorder="1" applyAlignment="1">
      <alignment vertical="top"/>
    </xf>
    <xf numFmtId="0" fontId="37" fillId="27" borderId="26" xfId="0" applyFont="1" applyFill="1" applyBorder="1" applyAlignment="1">
      <alignment vertical="top"/>
    </xf>
    <xf numFmtId="0" fontId="2" fillId="39" borderId="114" xfId="0" applyFont="1" applyFill="1" applyBorder="1" applyAlignment="1">
      <alignment vertical="top"/>
    </xf>
    <xf numFmtId="0" fontId="2" fillId="39" borderId="115" xfId="0" applyFont="1" applyFill="1" applyBorder="1" applyAlignment="1">
      <alignment vertical="top"/>
    </xf>
    <xf numFmtId="0" fontId="4" fillId="25" borderId="25" xfId="0" applyFont="1" applyFill="1" applyBorder="1" applyAlignment="1">
      <alignment horizontal="right" wrapText="1"/>
    </xf>
    <xf numFmtId="0" fontId="2" fillId="39" borderId="61" xfId="0" applyFont="1" applyFill="1" applyBorder="1" applyAlignment="1">
      <alignment horizontal="center" vertical="top"/>
    </xf>
    <xf numFmtId="0" fontId="2" fillId="25" borderId="101" xfId="0" applyFont="1" applyFill="1" applyBorder="1" applyAlignment="1">
      <alignment horizontal="center" vertical="top"/>
    </xf>
    <xf numFmtId="164" fontId="2" fillId="39" borderId="73" xfId="0" applyNumberFormat="1" applyFont="1" applyFill="1" applyBorder="1" applyAlignment="1">
      <alignment horizontal="center" vertical="top"/>
    </xf>
    <xf numFmtId="0" fontId="2" fillId="25" borderId="100" xfId="0" applyFont="1" applyFill="1" applyBorder="1" applyAlignment="1">
      <alignment horizontal="center" vertical="top"/>
    </xf>
    <xf numFmtId="0" fontId="2" fillId="25" borderId="99" xfId="0" applyFont="1" applyFill="1" applyBorder="1" applyAlignment="1">
      <alignment horizontal="center" vertical="top"/>
    </xf>
    <xf numFmtId="0" fontId="4" fillId="25" borderId="18" xfId="0" applyFont="1" applyFill="1" applyBorder="1" applyAlignment="1">
      <alignment horizontal="right" indent="1"/>
    </xf>
    <xf numFmtId="0" fontId="2" fillId="39" borderId="0" xfId="0" applyFont="1" applyFill="1" applyAlignment="1">
      <alignment horizontal="center" vertical="top"/>
    </xf>
    <xf numFmtId="164" fontId="2" fillId="25" borderId="20" xfId="0" applyNumberFormat="1" applyFont="1" applyFill="1" applyBorder="1" applyAlignment="1">
      <alignment horizontal="right" vertical="top" indent="1"/>
    </xf>
    <xf numFmtId="164" fontId="2" fillId="25" borderId="21" xfId="0" applyNumberFormat="1" applyFont="1" applyFill="1" applyBorder="1" applyAlignment="1">
      <alignment horizontal="right" vertical="top" indent="1"/>
    </xf>
    <xf numFmtId="164" fontId="2" fillId="25" borderId="24" xfId="0" applyNumberFormat="1" applyFont="1" applyFill="1" applyBorder="1" applyAlignment="1">
      <alignment horizontal="right" vertical="top" indent="1"/>
    </xf>
    <xf numFmtId="0" fontId="2" fillId="25" borderId="22" xfId="0" applyFont="1" applyFill="1" applyBorder="1" applyAlignment="1">
      <alignment vertical="top"/>
    </xf>
    <xf numFmtId="0" fontId="4" fillId="25" borderId="25" xfId="0" applyFont="1" applyFill="1" applyBorder="1" applyAlignment="1">
      <alignment horizontal="right"/>
    </xf>
    <xf numFmtId="164" fontId="2" fillId="25" borderId="23" xfId="0" applyNumberFormat="1" applyFont="1" applyFill="1" applyBorder="1" applyAlignment="1">
      <alignment horizontal="right" vertical="top" indent="1"/>
    </xf>
    <xf numFmtId="0" fontId="2" fillId="0" borderId="29" xfId="0" applyFont="1" applyBorder="1" applyAlignment="1">
      <alignment vertical="top"/>
    </xf>
    <xf numFmtId="0" fontId="2" fillId="0" borderId="31" xfId="0" applyFont="1" applyBorder="1" applyAlignment="1">
      <alignment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0" fontId="2" fillId="27" borderId="69" xfId="0" applyFont="1" applyFill="1" applyBorder="1" applyAlignment="1">
      <alignment vertical="top"/>
    </xf>
    <xf numFmtId="0" fontId="2" fillId="0" borderId="28" xfId="0" applyFont="1" applyBorder="1" applyAlignment="1">
      <alignment vertical="top"/>
    </xf>
    <xf numFmtId="0" fontId="2" fillId="0" borderId="30" xfId="0" applyFont="1" applyBorder="1" applyAlignment="1">
      <alignment vertical="top"/>
    </xf>
    <xf numFmtId="0" fontId="2" fillId="0" borderId="102" xfId="0" applyFont="1" applyBorder="1" applyAlignment="1">
      <alignment vertical="top"/>
    </xf>
    <xf numFmtId="164" fontId="2" fillId="0" borderId="32" xfId="0" applyNumberFormat="1" applyFont="1" applyBorder="1" applyAlignment="1">
      <alignment vertical="top"/>
    </xf>
    <xf numFmtId="0" fontId="2" fillId="40" borderId="101" xfId="0" applyFont="1" applyFill="1" applyBorder="1" applyAlignment="1">
      <alignment vertical="top"/>
    </xf>
    <xf numFmtId="0" fontId="2" fillId="0" borderId="14" xfId="0" applyFont="1" applyBorder="1" applyAlignment="1">
      <alignment vertical="top"/>
    </xf>
    <xf numFmtId="0" fontId="2" fillId="27" borderId="20" xfId="0" applyFont="1" applyFill="1" applyBorder="1" applyAlignment="1">
      <alignment vertical="top"/>
    </xf>
    <xf numFmtId="0" fontId="2" fillId="0" borderId="14" xfId="0" applyFont="1" applyBorder="1" applyAlignment="1">
      <alignment horizontal="center" vertical="top"/>
    </xf>
    <xf numFmtId="14" fontId="2" fillId="40" borderId="64" xfId="0" applyNumberFormat="1" applyFont="1" applyFill="1" applyBorder="1" applyAlignment="1">
      <alignment horizontal="center" vertical="top"/>
    </xf>
    <xf numFmtId="0" fontId="2" fillId="40" borderId="20" xfId="0" applyFont="1" applyFill="1" applyBorder="1" applyAlignment="1">
      <alignment horizontal="center" vertical="top"/>
    </xf>
    <xf numFmtId="0" fontId="2" fillId="0" borderId="33" xfId="0" applyFont="1" applyBorder="1" applyAlignment="1">
      <alignment vertical="top"/>
    </xf>
    <xf numFmtId="0" fontId="2" fillId="27" borderId="33" xfId="0" applyFont="1" applyFill="1" applyBorder="1" applyAlignment="1">
      <alignment vertical="top"/>
    </xf>
    <xf numFmtId="164" fontId="2" fillId="0" borderId="34" xfId="0" applyNumberFormat="1" applyFont="1" applyBorder="1" applyAlignment="1">
      <alignment vertical="top"/>
    </xf>
    <xf numFmtId="0" fontId="2" fillId="40" borderId="100" xfId="0" applyFont="1" applyFill="1" applyBorder="1" applyAlignment="1">
      <alignment vertical="top"/>
    </xf>
    <xf numFmtId="0" fontId="2" fillId="0" borderId="15" xfId="0" applyFont="1" applyBorder="1" applyAlignment="1">
      <alignment vertical="top"/>
    </xf>
    <xf numFmtId="0" fontId="2" fillId="27" borderId="21" xfId="0" applyFont="1" applyFill="1" applyBorder="1" applyAlignment="1">
      <alignment vertical="top"/>
    </xf>
    <xf numFmtId="0" fontId="2" fillId="0" borderId="15" xfId="0" applyFont="1" applyBorder="1" applyAlignment="1">
      <alignment horizontal="center" vertical="top"/>
    </xf>
    <xf numFmtId="14" fontId="2" fillId="40" borderId="65" xfId="0" applyNumberFormat="1" applyFont="1" applyFill="1" applyBorder="1" applyAlignment="1">
      <alignment horizontal="center" vertical="top"/>
    </xf>
    <xf numFmtId="0" fontId="2" fillId="40" borderId="21" xfId="0" applyFont="1" applyFill="1" applyBorder="1" applyAlignment="1">
      <alignment horizontal="center" vertical="top"/>
    </xf>
    <xf numFmtId="0" fontId="2" fillId="0" borderId="35" xfId="0" applyFont="1" applyBorder="1" applyAlignment="1">
      <alignment vertical="top"/>
    </xf>
    <xf numFmtId="0" fontId="2" fillId="27" borderId="35" xfId="0" applyFont="1" applyFill="1" applyBorder="1" applyAlignment="1">
      <alignment vertical="top"/>
    </xf>
    <xf numFmtId="164" fontId="2" fillId="0" borderId="36" xfId="0" applyNumberFormat="1" applyFont="1" applyBorder="1" applyAlignment="1">
      <alignment vertical="top"/>
    </xf>
    <xf numFmtId="0" fontId="2" fillId="40" borderId="127" xfId="0" applyFont="1" applyFill="1" applyBorder="1" applyAlignment="1">
      <alignment vertical="top"/>
    </xf>
    <xf numFmtId="0" fontId="2" fillId="0" borderId="37" xfId="0" applyFont="1" applyBorder="1" applyAlignment="1">
      <alignment vertical="top"/>
    </xf>
    <xf numFmtId="0" fontId="2" fillId="27" borderId="49" xfId="0" applyFont="1" applyFill="1" applyBorder="1" applyAlignment="1">
      <alignment vertical="top"/>
    </xf>
    <xf numFmtId="0" fontId="2" fillId="0" borderId="37" xfId="0" applyFont="1" applyBorder="1" applyAlignment="1">
      <alignment horizontal="center" vertical="top"/>
    </xf>
    <xf numFmtId="14" fontId="2" fillId="40" borderId="54" xfId="0" applyNumberFormat="1" applyFont="1" applyFill="1" applyBorder="1" applyAlignment="1">
      <alignment horizontal="center" vertical="top"/>
    </xf>
    <xf numFmtId="0" fontId="2" fillId="40" borderId="49" xfId="0" applyFont="1" applyFill="1" applyBorder="1" applyAlignment="1">
      <alignment horizontal="center" vertical="top"/>
    </xf>
    <xf numFmtId="0" fontId="2" fillId="0" borderId="38" xfId="0" applyFont="1" applyBorder="1" applyAlignment="1">
      <alignment vertical="top"/>
    </xf>
    <xf numFmtId="0" fontId="2" fillId="27" borderId="38" xfId="0" applyFont="1" applyFill="1" applyBorder="1" applyAlignment="1">
      <alignment vertical="top"/>
    </xf>
    <xf numFmtId="0" fontId="2" fillId="0" borderId="44" xfId="0" applyFont="1" applyBorder="1" applyAlignment="1">
      <alignment vertical="top"/>
    </xf>
    <xf numFmtId="0" fontId="2" fillId="0" borderId="42" xfId="0" applyFont="1" applyBorder="1" applyAlignment="1">
      <alignment vertical="top"/>
    </xf>
    <xf numFmtId="0" fontId="2" fillId="0" borderId="47" xfId="0" applyFont="1" applyBorder="1" applyAlignment="1">
      <alignment horizontal="center" vertical="top"/>
    </xf>
    <xf numFmtId="0" fontId="2" fillId="0" borderId="75" xfId="0" applyFont="1" applyBorder="1" applyAlignment="1">
      <alignment vertical="top"/>
    </xf>
    <xf numFmtId="0" fontId="2" fillId="0" borderId="47" xfId="0" applyFont="1" applyBorder="1" applyAlignment="1">
      <alignment vertical="top"/>
    </xf>
    <xf numFmtId="0" fontId="2" fillId="0" borderId="43" xfId="0" applyFont="1" applyBorder="1" applyAlignment="1">
      <alignment vertical="top"/>
    </xf>
    <xf numFmtId="0" fontId="2" fillId="0" borderId="26" xfId="0" applyFont="1" applyBorder="1" applyAlignment="1">
      <alignment vertical="top"/>
    </xf>
    <xf numFmtId="0" fontId="2" fillId="0" borderId="27" xfId="0" applyFont="1" applyBorder="1" applyAlignment="1">
      <alignment horizontal="center" vertical="top"/>
    </xf>
    <xf numFmtId="0" fontId="4" fillId="40" borderId="26" xfId="0" applyFont="1" applyFill="1" applyBorder="1" applyAlignment="1">
      <alignment vertical="top"/>
    </xf>
    <xf numFmtId="0" fontId="2" fillId="0" borderId="51" xfId="0" applyFont="1" applyBorder="1" applyAlignment="1">
      <alignment vertical="top"/>
    </xf>
    <xf numFmtId="164" fontId="2" fillId="0" borderId="45" xfId="0" applyNumberFormat="1" applyFont="1" applyBorder="1" applyAlignment="1">
      <alignment vertical="top"/>
    </xf>
    <xf numFmtId="0" fontId="2" fillId="0" borderId="0" xfId="0" applyFont="1" applyAlignment="1">
      <alignment horizontal="center" vertical="top"/>
    </xf>
    <xf numFmtId="0" fontId="2" fillId="0" borderId="18" xfId="0" applyFont="1" applyBorder="1" applyAlignment="1">
      <alignment horizontal="center" vertical="top"/>
    </xf>
    <xf numFmtId="0" fontId="2" fillId="40" borderId="0" xfId="0" applyFont="1" applyFill="1" applyAlignment="1">
      <alignment vertical="top"/>
    </xf>
    <xf numFmtId="0" fontId="2" fillId="40" borderId="93" xfId="0" applyFont="1" applyFill="1" applyBorder="1" applyAlignment="1">
      <alignment vertical="top"/>
    </xf>
    <xf numFmtId="0" fontId="2" fillId="0" borderId="18" xfId="0" applyFont="1" applyBorder="1" applyAlignment="1">
      <alignment vertical="top"/>
    </xf>
    <xf numFmtId="0" fontId="2" fillId="0" borderId="39" xfId="0" applyFont="1" applyBorder="1" applyAlignment="1">
      <alignment vertical="top"/>
    </xf>
    <xf numFmtId="164" fontId="2" fillId="0" borderId="46" xfId="0" applyNumberFormat="1" applyFont="1" applyBorder="1" applyAlignment="1">
      <alignment vertical="top"/>
    </xf>
    <xf numFmtId="0" fontId="2" fillId="0" borderId="40" xfId="0" applyFont="1" applyBorder="1" applyAlignment="1">
      <alignment horizontal="center" vertical="top"/>
    </xf>
    <xf numFmtId="0" fontId="2" fillId="0" borderId="48" xfId="0" applyFont="1" applyBorder="1" applyAlignment="1">
      <alignment horizontal="center" vertical="top"/>
    </xf>
    <xf numFmtId="0" fontId="2" fillId="40" borderId="40" xfId="0" applyFont="1" applyFill="1" applyBorder="1" applyAlignment="1">
      <alignment vertical="top"/>
    </xf>
    <xf numFmtId="0" fontId="2" fillId="0" borderId="40" xfId="0" applyFont="1" applyBorder="1" applyAlignment="1">
      <alignment vertical="top"/>
    </xf>
    <xf numFmtId="0" fontId="2" fillId="40" borderId="120" xfId="0" applyFont="1" applyFill="1" applyBorder="1" applyAlignment="1">
      <alignment vertical="top"/>
    </xf>
    <xf numFmtId="0" fontId="2" fillId="0" borderId="48" xfId="0" applyFont="1" applyBorder="1" applyAlignment="1">
      <alignment vertical="top"/>
    </xf>
    <xf numFmtId="0" fontId="2" fillId="0" borderId="41" xfId="0" applyFont="1" applyBorder="1" applyAlignment="1">
      <alignment vertical="top"/>
    </xf>
    <xf numFmtId="0" fontId="2" fillId="50" borderId="69" xfId="0" applyFont="1" applyFill="1" applyBorder="1"/>
    <xf numFmtId="0" fontId="2" fillId="41" borderId="0" xfId="0" applyFont="1" applyFill="1"/>
    <xf numFmtId="0" fontId="51" fillId="25" borderId="0" xfId="0" applyFont="1" applyFill="1" applyAlignment="1">
      <alignment horizontal="center" vertical="top"/>
    </xf>
    <xf numFmtId="0" fontId="58" fillId="25" borderId="26" xfId="0" applyFont="1" applyFill="1" applyBorder="1" applyAlignment="1">
      <alignment horizontal="left" vertical="top"/>
    </xf>
    <xf numFmtId="0" fontId="2" fillId="51" borderId="0" xfId="0" applyFont="1" applyFill="1" applyAlignment="1">
      <alignment vertical="top" wrapText="1"/>
    </xf>
    <xf numFmtId="0" fontId="2" fillId="50" borderId="0" xfId="0" applyFont="1" applyFill="1" applyAlignment="1">
      <alignment horizontal="center" vertical="top" wrapText="1"/>
    </xf>
    <xf numFmtId="0" fontId="62" fillId="25" borderId="0" xfId="0" applyFont="1" applyFill="1" applyAlignment="1">
      <alignment vertical="top" wrapText="1"/>
    </xf>
    <xf numFmtId="0" fontId="2" fillId="50" borderId="0" xfId="0" applyFont="1" applyFill="1" applyAlignment="1">
      <alignment horizontal="center" vertical="center" wrapText="1"/>
    </xf>
    <xf numFmtId="49" fontId="2" fillId="42" borderId="100" xfId="0" applyNumberFormat="1"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0" fontId="2" fillId="43" borderId="0" xfId="0" applyFont="1" applyFill="1" applyAlignment="1">
      <alignment vertical="top" wrapText="1"/>
    </xf>
    <xf numFmtId="0" fontId="2" fillId="43" borderId="39" xfId="0" applyFont="1" applyFill="1" applyBorder="1" applyAlignment="1">
      <alignment vertical="top" wrapText="1"/>
    </xf>
    <xf numFmtId="0" fontId="2" fillId="56" borderId="11" xfId="0" applyFont="1" applyFill="1" applyBorder="1" applyAlignment="1" applyProtection="1">
      <alignment horizontal="center"/>
      <protection locked="0"/>
    </xf>
    <xf numFmtId="0" fontId="2" fillId="36" borderId="0" xfId="0" applyFont="1" applyFill="1"/>
    <xf numFmtId="0" fontId="2" fillId="36" borderId="0" xfId="0" applyFont="1" applyFill="1" applyAlignment="1">
      <alignment horizontal="center"/>
    </xf>
    <xf numFmtId="0" fontId="2" fillId="39" borderId="84" xfId="0" applyFont="1" applyFill="1" applyBorder="1"/>
    <xf numFmtId="0" fontId="2" fillId="39" borderId="69" xfId="0" applyFont="1" applyFill="1" applyBorder="1" applyAlignment="1">
      <alignment horizontal="center"/>
    </xf>
    <xf numFmtId="0" fontId="2" fillId="39" borderId="0" xfId="0" applyFont="1" applyFill="1" applyAlignment="1">
      <alignment horizontal="center"/>
    </xf>
    <xf numFmtId="0" fontId="52" fillId="25" borderId="0" xfId="0" applyFont="1" applyFill="1" applyAlignment="1">
      <alignment horizontal="left" vertical="top"/>
    </xf>
    <xf numFmtId="0" fontId="2" fillId="41" borderId="11" xfId="0" applyFont="1" applyFill="1" applyBorder="1" applyAlignment="1">
      <alignment horizontal="center"/>
    </xf>
    <xf numFmtId="0" fontId="2" fillId="25" borderId="11" xfId="0" applyFont="1" applyFill="1" applyBorder="1"/>
    <xf numFmtId="4" fontId="2" fillId="25" borderId="11" xfId="0" applyNumberFormat="1" applyFont="1" applyFill="1" applyBorder="1" applyAlignment="1">
      <alignment horizontal="center"/>
    </xf>
    <xf numFmtId="172" fontId="2" fillId="25" borderId="11" xfId="0" applyNumberFormat="1" applyFont="1" applyFill="1" applyBorder="1" applyAlignment="1">
      <alignment horizontal="center"/>
    </xf>
    <xf numFmtId="0" fontId="2" fillId="56" borderId="11" xfId="0" applyFont="1" applyFill="1" applyBorder="1" applyProtection="1">
      <protection locked="0"/>
    </xf>
    <xf numFmtId="4" fontId="2" fillId="56" borderId="11" xfId="0" applyNumberFormat="1" applyFont="1" applyFill="1" applyBorder="1" applyAlignment="1" applyProtection="1">
      <alignment horizontal="center"/>
      <protection locked="0"/>
    </xf>
    <xf numFmtId="172" fontId="2" fillId="42" borderId="11" xfId="0" applyNumberFormat="1" applyFont="1" applyFill="1" applyBorder="1" applyAlignment="1" applyProtection="1">
      <alignment horizontal="center"/>
      <protection locked="0"/>
    </xf>
    <xf numFmtId="4" fontId="2" fillId="42" borderId="11" xfId="0" applyNumberFormat="1" applyFont="1" applyFill="1" applyBorder="1" applyAlignment="1" applyProtection="1">
      <alignment horizontal="center"/>
      <protection locked="0"/>
    </xf>
    <xf numFmtId="0" fontId="2" fillId="41" borderId="13" xfId="0" applyFont="1" applyFill="1" applyBorder="1" applyAlignment="1">
      <alignment horizontal="center"/>
    </xf>
    <xf numFmtId="4" fontId="2" fillId="49" borderId="11" xfId="0" applyNumberFormat="1" applyFont="1" applyFill="1" applyBorder="1" applyAlignment="1">
      <alignment horizontal="center"/>
    </xf>
    <xf numFmtId="3" fontId="2" fillId="25" borderId="11" xfId="0" applyNumberFormat="1" applyFont="1" applyFill="1" applyBorder="1" applyAlignment="1">
      <alignment horizontal="center"/>
    </xf>
    <xf numFmtId="0" fontId="2" fillId="47" borderId="11" xfId="0" applyFont="1" applyFill="1" applyBorder="1" applyProtection="1">
      <protection locked="0"/>
    </xf>
    <xf numFmtId="0" fontId="2" fillId="42" borderId="11" xfId="0" applyFont="1" applyFill="1" applyBorder="1" applyProtection="1">
      <protection locked="0"/>
    </xf>
    <xf numFmtId="3" fontId="2" fillId="42" borderId="11" xfId="0" applyNumberFormat="1" applyFont="1" applyFill="1" applyBorder="1" applyAlignment="1" applyProtection="1">
      <alignment horizontal="center"/>
      <protection locked="0"/>
    </xf>
    <xf numFmtId="0" fontId="2" fillId="25" borderId="13" xfId="0" applyFont="1" applyFill="1" applyBorder="1" applyAlignment="1">
      <alignment horizontal="center"/>
    </xf>
    <xf numFmtId="4" fontId="2" fillId="25" borderId="0" xfId="0" applyNumberFormat="1" applyFont="1" applyFill="1" applyAlignment="1">
      <alignment horizontal="center"/>
    </xf>
    <xf numFmtId="3" fontId="2" fillId="25" borderId="0" xfId="0" applyNumberFormat="1" applyFont="1" applyFill="1" applyAlignment="1">
      <alignment horizontal="center"/>
    </xf>
    <xf numFmtId="3" fontId="2" fillId="25" borderId="0" xfId="0" applyNumberFormat="1" applyFont="1" applyFill="1"/>
    <xf numFmtId="3" fontId="2" fillId="49" borderId="11" xfId="0" applyNumberFormat="1" applyFont="1" applyFill="1" applyBorder="1" applyAlignment="1">
      <alignment horizontal="center"/>
    </xf>
    <xf numFmtId="0" fontId="2" fillId="41" borderId="75" xfId="0" applyFont="1" applyFill="1" applyBorder="1" applyAlignment="1">
      <alignment horizontal="center"/>
    </xf>
    <xf numFmtId="0" fontId="2" fillId="25" borderId="75" xfId="0" applyFont="1" applyFill="1" applyBorder="1"/>
    <xf numFmtId="0" fontId="2" fillId="49" borderId="75" xfId="0" applyFont="1" applyFill="1" applyBorder="1"/>
    <xf numFmtId="4" fontId="2" fillId="49" borderId="75" xfId="0" applyNumberFormat="1" applyFont="1" applyFill="1" applyBorder="1" applyAlignment="1">
      <alignment horizontal="center"/>
    </xf>
    <xf numFmtId="172" fontId="2" fillId="25" borderId="75" xfId="0" applyNumberFormat="1" applyFont="1" applyFill="1" applyBorder="1" applyAlignment="1">
      <alignment horizontal="center"/>
    </xf>
    <xf numFmtId="3" fontId="2" fillId="25" borderId="75" xfId="0" applyNumberFormat="1" applyFont="1" applyFill="1" applyBorder="1" applyAlignment="1">
      <alignment horizontal="center"/>
    </xf>
    <xf numFmtId="0" fontId="2" fillId="49" borderId="11" xfId="0" applyFont="1" applyFill="1" applyBorder="1"/>
    <xf numFmtId="173" fontId="2" fillId="27" borderId="64" xfId="0" applyNumberFormat="1" applyFont="1" applyFill="1" applyBorder="1" applyAlignment="1">
      <alignment horizontal="right" vertical="top"/>
    </xf>
    <xf numFmtId="0" fontId="2" fillId="24" borderId="118" xfId="0" applyFont="1" applyFill="1" applyBorder="1" applyAlignment="1">
      <alignment vertical="top"/>
    </xf>
    <xf numFmtId="0" fontId="2" fillId="24" borderId="11" xfId="0" applyFont="1" applyFill="1" applyBorder="1" applyAlignment="1">
      <alignment vertical="top"/>
    </xf>
    <xf numFmtId="0" fontId="2" fillId="24" borderId="119" xfId="0" applyFont="1" applyFill="1" applyBorder="1" applyAlignment="1">
      <alignment vertical="top"/>
    </xf>
    <xf numFmtId="173" fontId="2" fillId="27" borderId="65" xfId="0" applyNumberFormat="1" applyFont="1" applyFill="1" applyBorder="1" applyAlignment="1">
      <alignment horizontal="right" vertical="top"/>
    </xf>
    <xf numFmtId="0" fontId="2" fillId="24" borderId="50" xfId="0" applyFont="1" applyFill="1" applyBorder="1" applyAlignment="1">
      <alignment vertical="top"/>
    </xf>
    <xf numFmtId="0" fontId="2" fillId="24" borderId="59" xfId="0" applyFont="1" applyFill="1" applyBorder="1" applyAlignment="1">
      <alignment vertical="top"/>
    </xf>
    <xf numFmtId="173" fontId="2" fillId="27" borderId="66" xfId="0" applyNumberFormat="1" applyFont="1" applyFill="1" applyBorder="1" applyAlignment="1">
      <alignment horizontal="right" vertical="top"/>
    </xf>
    <xf numFmtId="0" fontId="2" fillId="24" borderId="68" xfId="0" applyFont="1" applyFill="1" applyBorder="1" applyAlignment="1">
      <alignment vertical="top"/>
    </xf>
    <xf numFmtId="0" fontId="2" fillId="24" borderId="39" xfId="0" applyFont="1" applyFill="1" applyBorder="1" applyAlignment="1">
      <alignment vertical="top"/>
    </xf>
    <xf numFmtId="173" fontId="2" fillId="27" borderId="93" xfId="0" applyNumberFormat="1" applyFont="1" applyFill="1" applyBorder="1" applyAlignment="1">
      <alignment horizontal="right" vertical="top"/>
    </xf>
    <xf numFmtId="0" fontId="2" fillId="24" borderId="77" xfId="0" applyFont="1" applyFill="1" applyBorder="1" applyAlignment="1">
      <alignment vertical="top"/>
    </xf>
    <xf numFmtId="0" fontId="2" fillId="24" borderId="78" xfId="0" applyFont="1" applyFill="1" applyBorder="1" applyAlignment="1">
      <alignment vertical="top"/>
    </xf>
    <xf numFmtId="0" fontId="2" fillId="24" borderId="79" xfId="0" applyFont="1" applyFill="1" applyBorder="1" applyAlignment="1">
      <alignment vertical="top"/>
    </xf>
    <xf numFmtId="173" fontId="2" fillId="27" borderId="97" xfId="0" applyNumberFormat="1" applyFont="1" applyFill="1" applyBorder="1" applyAlignment="1">
      <alignment horizontal="right" vertical="top"/>
    </xf>
    <xf numFmtId="173" fontId="2" fillId="27" borderId="27" xfId="0" applyNumberFormat="1" applyFont="1" applyFill="1" applyBorder="1" applyAlignment="1">
      <alignment horizontal="right" vertical="top"/>
    </xf>
    <xf numFmtId="173" fontId="2" fillId="27" borderId="72" xfId="0" applyNumberFormat="1" applyFont="1" applyFill="1" applyBorder="1" applyAlignment="1">
      <alignment horizontal="right" vertical="top"/>
    </xf>
    <xf numFmtId="173" fontId="2" fillId="27" borderId="61" xfId="0" applyNumberFormat="1" applyFont="1" applyFill="1" applyBorder="1" applyAlignment="1">
      <alignment horizontal="right" vertical="top"/>
    </xf>
    <xf numFmtId="0" fontId="2" fillId="24" borderId="110" xfId="0" applyFont="1" applyFill="1" applyBorder="1" applyAlignment="1">
      <alignment vertical="top"/>
    </xf>
    <xf numFmtId="10" fontId="2" fillId="41" borderId="13" xfId="0" applyNumberFormat="1" applyFont="1" applyFill="1" applyBorder="1" applyAlignment="1">
      <alignment vertical="top"/>
    </xf>
    <xf numFmtId="10" fontId="2" fillId="42" borderId="13" xfId="0" applyNumberFormat="1" applyFont="1" applyFill="1" applyBorder="1" applyAlignment="1" applyProtection="1">
      <alignment vertical="top"/>
      <protection locked="0"/>
    </xf>
    <xf numFmtId="165" fontId="2" fillId="27" borderId="13" xfId="0" applyNumberFormat="1" applyFont="1" applyFill="1" applyBorder="1" applyAlignment="1">
      <alignment vertical="top"/>
    </xf>
    <xf numFmtId="0" fontId="2" fillId="29" borderId="26" xfId="0" applyFont="1" applyFill="1" applyBorder="1" applyAlignment="1" applyProtection="1">
      <alignment horizontal="center" vertical="top"/>
      <protection locked="0"/>
    </xf>
    <xf numFmtId="0" fontId="2" fillId="27" borderId="26" xfId="0" applyFont="1" applyFill="1" applyBorder="1" applyAlignment="1">
      <alignment horizontal="center" vertical="top"/>
    </xf>
    <xf numFmtId="0" fontId="2" fillId="25" borderId="17" xfId="0" applyFont="1" applyFill="1" applyBorder="1" applyAlignment="1">
      <alignment horizontal="right" vertical="top"/>
    </xf>
    <xf numFmtId="0" fontId="2" fillId="25" borderId="17" xfId="0" applyFont="1" applyFill="1" applyBorder="1" applyAlignment="1">
      <alignment vertical="top"/>
    </xf>
    <xf numFmtId="0" fontId="2" fillId="25" borderId="0" xfId="0" applyFont="1" applyFill="1" applyProtection="1">
      <protection locked="0"/>
    </xf>
    <xf numFmtId="0" fontId="64" fillId="25" borderId="0" xfId="0" applyFont="1" applyFill="1" applyAlignment="1">
      <alignment vertical="center"/>
    </xf>
    <xf numFmtId="165" fontId="2" fillId="29" borderId="64" xfId="0" applyNumberFormat="1" applyFont="1" applyFill="1" applyBorder="1" applyAlignment="1" applyProtection="1">
      <alignment vertical="top"/>
      <protection locked="0"/>
    </xf>
    <xf numFmtId="165" fontId="2" fillId="29" borderId="66" xfId="0" applyNumberFormat="1" applyFont="1" applyFill="1" applyBorder="1" applyAlignment="1" applyProtection="1">
      <alignment vertical="top"/>
      <protection locked="0"/>
    </xf>
    <xf numFmtId="165" fontId="2" fillId="29" borderId="20" xfId="0" applyNumberFormat="1" applyFont="1" applyFill="1" applyBorder="1" applyAlignment="1" applyProtection="1">
      <alignment vertical="top"/>
      <protection locked="0"/>
    </xf>
    <xf numFmtId="165" fontId="2" fillId="29" borderId="21" xfId="0" applyNumberFormat="1" applyFont="1" applyFill="1" applyBorder="1" applyAlignment="1" applyProtection="1">
      <alignment vertical="top"/>
      <protection locked="0"/>
    </xf>
    <xf numFmtId="165" fontId="2" fillId="29" borderId="24" xfId="0" applyNumberFormat="1" applyFont="1" applyFill="1" applyBorder="1" applyAlignment="1" applyProtection="1">
      <alignment vertical="top"/>
      <protection locked="0"/>
    </xf>
    <xf numFmtId="165" fontId="2" fillId="27" borderId="27" xfId="0" applyNumberFormat="1" applyFont="1" applyFill="1" applyBorder="1" applyAlignment="1">
      <alignment vertical="top"/>
    </xf>
    <xf numFmtId="165" fontId="2" fillId="27" borderId="13" xfId="66" applyNumberFormat="1" applyFont="1" applyFill="1" applyBorder="1" applyAlignment="1" applyProtection="1">
      <alignment vertical="top"/>
    </xf>
    <xf numFmtId="0" fontId="2" fillId="25" borderId="27" xfId="0" quotePrefix="1" applyFont="1" applyFill="1" applyBorder="1" applyAlignment="1">
      <alignment horizontal="center" vertical="top"/>
    </xf>
    <xf numFmtId="0" fontId="2" fillId="41" borderId="21" xfId="0" applyFont="1" applyFill="1" applyBorder="1" applyAlignment="1">
      <alignment horizontal="center" vertical="top"/>
    </xf>
    <xf numFmtId="0" fontId="2" fillId="39" borderId="93" xfId="0" applyFont="1" applyFill="1" applyBorder="1" applyAlignment="1">
      <alignment horizontal="center" vertical="top"/>
    </xf>
    <xf numFmtId="0" fontId="2" fillId="41" borderId="24" xfId="0" applyFont="1" applyFill="1" applyBorder="1" applyAlignment="1">
      <alignment horizontal="center" vertical="top"/>
    </xf>
    <xf numFmtId="0" fontId="2" fillId="39" borderId="11" xfId="0" applyFont="1" applyFill="1" applyBorder="1" applyAlignment="1">
      <alignment horizontal="center" vertical="top"/>
    </xf>
    <xf numFmtId="0" fontId="2" fillId="25" borderId="0" xfId="0" applyFont="1" applyFill="1" applyAlignment="1">
      <alignment horizontal="right"/>
    </xf>
    <xf numFmtId="0" fontId="2" fillId="25" borderId="23" xfId="0" applyFont="1" applyFill="1" applyBorder="1" applyAlignment="1">
      <alignment horizontal="center" vertical="top"/>
    </xf>
    <xf numFmtId="165" fontId="2" fillId="29" borderId="94" xfId="0" applyNumberFormat="1" applyFont="1" applyFill="1" applyBorder="1" applyAlignment="1" applyProtection="1">
      <alignment vertical="top"/>
      <protection locked="0"/>
    </xf>
    <xf numFmtId="165" fontId="2" fillId="27" borderId="64" xfId="0" applyNumberFormat="1" applyFont="1" applyFill="1" applyBorder="1" applyAlignment="1">
      <alignment vertical="top"/>
    </xf>
    <xf numFmtId="165" fontId="2" fillId="27" borderId="66" xfId="0" applyNumberFormat="1" applyFont="1" applyFill="1" applyBorder="1" applyAlignment="1">
      <alignment vertical="top"/>
    </xf>
    <xf numFmtId="0" fontId="2" fillId="27" borderId="52" xfId="0" applyFont="1" applyFill="1" applyBorder="1" applyAlignment="1">
      <alignment horizontal="center" vertical="top"/>
    </xf>
    <xf numFmtId="165" fontId="2" fillId="29" borderId="96" xfId="0" applyNumberFormat="1" applyFont="1" applyFill="1" applyBorder="1" applyAlignment="1" applyProtection="1">
      <alignment vertical="top"/>
      <protection locked="0"/>
    </xf>
    <xf numFmtId="165" fontId="2" fillId="29" borderId="95" xfId="0" applyNumberFormat="1" applyFont="1" applyFill="1" applyBorder="1" applyAlignment="1" applyProtection="1">
      <alignment vertical="top"/>
      <protection locked="0"/>
    </xf>
    <xf numFmtId="0" fontId="2" fillId="27" borderId="15" xfId="0" applyFont="1" applyFill="1" applyBorder="1" applyAlignment="1">
      <alignment horizontal="center" vertical="top"/>
    </xf>
    <xf numFmtId="165" fontId="2" fillId="29" borderId="98" xfId="0" applyNumberFormat="1" applyFont="1" applyFill="1" applyBorder="1" applyAlignment="1" applyProtection="1">
      <alignment vertical="top"/>
      <protection locked="0"/>
    </xf>
    <xf numFmtId="0" fontId="2" fillId="27" borderId="37" xfId="0" applyFont="1" applyFill="1" applyBorder="1" applyAlignment="1">
      <alignment horizontal="center" vertical="top"/>
    </xf>
    <xf numFmtId="165" fontId="2" fillId="29" borderId="54" xfId="0" applyNumberFormat="1" applyFont="1" applyFill="1" applyBorder="1" applyAlignment="1" applyProtection="1">
      <alignment vertical="top"/>
      <protection locked="0"/>
    </xf>
    <xf numFmtId="165" fontId="2" fillId="29" borderId="53" xfId="0" applyNumberFormat="1" applyFont="1" applyFill="1" applyBorder="1" applyAlignment="1" applyProtection="1">
      <alignment vertical="top"/>
      <protection locked="0"/>
    </xf>
    <xf numFmtId="0" fontId="2" fillId="25" borderId="29" xfId="0" applyFont="1" applyFill="1" applyBorder="1" applyAlignment="1">
      <alignment horizontal="center" vertical="top"/>
    </xf>
    <xf numFmtId="0" fontId="2" fillId="25" borderId="29" xfId="0" applyFont="1" applyFill="1" applyBorder="1" applyAlignment="1">
      <alignment vertical="top"/>
    </xf>
    <xf numFmtId="0" fontId="2" fillId="39" borderId="26" xfId="0" applyFont="1" applyFill="1" applyBorder="1" applyAlignment="1">
      <alignment vertical="top"/>
    </xf>
    <xf numFmtId="0" fontId="2" fillId="27" borderId="14" xfId="0" applyFont="1" applyFill="1" applyBorder="1" applyAlignment="1">
      <alignment horizontal="center" vertical="top"/>
    </xf>
    <xf numFmtId="0" fontId="2" fillId="27" borderId="21" xfId="0" applyFont="1" applyFill="1" applyBorder="1" applyAlignment="1">
      <alignment horizontal="center" vertical="top"/>
    </xf>
    <xf numFmtId="0" fontId="2" fillId="27" borderId="24" xfId="0" applyFont="1" applyFill="1" applyBorder="1" applyAlignment="1">
      <alignment horizontal="center" vertical="top"/>
    </xf>
    <xf numFmtId="0" fontId="2" fillId="25" borderId="14" xfId="0" applyFont="1" applyFill="1" applyBorder="1" applyAlignment="1">
      <alignment horizontal="center" vertical="top"/>
    </xf>
    <xf numFmtId="165" fontId="2" fillId="40" borderId="64" xfId="0" applyNumberFormat="1" applyFont="1" applyFill="1" applyBorder="1" applyAlignment="1">
      <alignment vertical="top"/>
    </xf>
    <xf numFmtId="0" fontId="2" fillId="25" borderId="15" xfId="0" applyFont="1" applyFill="1" applyBorder="1" applyAlignment="1">
      <alignment horizontal="center" vertical="top"/>
    </xf>
    <xf numFmtId="165" fontId="2" fillId="40" borderId="65" xfId="0" applyNumberFormat="1" applyFont="1" applyFill="1" applyBorder="1" applyAlignment="1">
      <alignment vertical="top"/>
    </xf>
    <xf numFmtId="0" fontId="2" fillId="25" borderId="16" xfId="0" applyFont="1" applyFill="1" applyBorder="1" applyAlignment="1">
      <alignment horizontal="center" vertical="top"/>
    </xf>
    <xf numFmtId="165" fontId="2" fillId="40" borderId="66" xfId="0" applyNumberFormat="1" applyFont="1" applyFill="1" applyBorder="1" applyAlignment="1">
      <alignment vertical="top"/>
    </xf>
    <xf numFmtId="0" fontId="2" fillId="39" borderId="70" xfId="0" applyFont="1" applyFill="1" applyBorder="1" applyAlignment="1">
      <alignment vertical="top"/>
    </xf>
    <xf numFmtId="0" fontId="2" fillId="39" borderId="13" xfId="0" applyFont="1" applyFill="1" applyBorder="1" applyAlignment="1">
      <alignment horizontal="center" vertical="top"/>
    </xf>
    <xf numFmtId="0" fontId="2" fillId="25" borderId="12" xfId="0" applyFont="1" applyFill="1" applyBorder="1" applyAlignment="1">
      <alignment horizontal="center" vertical="top"/>
    </xf>
    <xf numFmtId="165" fontId="2" fillId="29" borderId="11" xfId="0" applyNumberFormat="1" applyFont="1" applyFill="1" applyBorder="1" applyAlignment="1" applyProtection="1">
      <alignment vertical="top"/>
      <protection locked="0"/>
    </xf>
    <xf numFmtId="0" fontId="2" fillId="0" borderId="10" xfId="0" applyFont="1" applyBorder="1" applyAlignment="1">
      <alignment vertical="top"/>
    </xf>
    <xf numFmtId="0" fontId="2" fillId="27" borderId="44" xfId="0" applyFont="1" applyFill="1" applyBorder="1" applyAlignment="1">
      <alignment vertical="top"/>
    </xf>
    <xf numFmtId="0" fontId="2" fillId="27" borderId="29" xfId="0" applyFont="1" applyFill="1" applyBorder="1" applyAlignment="1">
      <alignment vertical="top"/>
    </xf>
    <xf numFmtId="0" fontId="2" fillId="27" borderId="75" xfId="0" applyFont="1" applyFill="1" applyBorder="1" applyAlignment="1">
      <alignment horizontal="center" vertical="top"/>
    </xf>
    <xf numFmtId="0" fontId="2" fillId="27" borderId="75" xfId="0" applyFont="1" applyFill="1" applyBorder="1" applyAlignment="1">
      <alignment vertical="top"/>
    </xf>
    <xf numFmtId="0" fontId="2" fillId="27" borderId="76" xfId="0" applyFont="1" applyFill="1" applyBorder="1" applyAlignment="1">
      <alignment vertical="top"/>
    </xf>
    <xf numFmtId="0" fontId="2" fillId="27" borderId="67" xfId="0" applyFont="1" applyFill="1" applyBorder="1" applyAlignment="1">
      <alignment vertical="top"/>
    </xf>
    <xf numFmtId="0" fontId="2" fillId="27" borderId="40" xfId="0" applyFont="1" applyFill="1" applyBorder="1" applyAlignment="1">
      <alignment vertical="top"/>
    </xf>
    <xf numFmtId="0" fontId="2" fillId="27" borderId="61" xfId="0" applyFont="1" applyFill="1" applyBorder="1" applyAlignment="1">
      <alignment horizontal="center" vertical="top"/>
    </xf>
    <xf numFmtId="0" fontId="2" fillId="27" borderId="61" xfId="0" applyFont="1" applyFill="1" applyBorder="1" applyAlignment="1">
      <alignment vertical="top"/>
    </xf>
    <xf numFmtId="0" fontId="2" fillId="27" borderId="62" xfId="0" applyFont="1" applyFill="1" applyBorder="1" applyAlignment="1">
      <alignment vertical="top"/>
    </xf>
    <xf numFmtId="0" fontId="2" fillId="45" borderId="13" xfId="0" applyFont="1" applyFill="1" applyBorder="1" applyAlignment="1">
      <alignment horizontal="center" vertical="top"/>
    </xf>
    <xf numFmtId="0" fontId="64" fillId="41" borderId="0" xfId="0" quotePrefix="1" applyFont="1" applyFill="1" applyAlignment="1">
      <alignment horizontal="right" vertical="top" wrapText="1"/>
    </xf>
    <xf numFmtId="0" fontId="2" fillId="24" borderId="42" xfId="0" applyFont="1" applyFill="1" applyBorder="1" applyAlignment="1">
      <alignment vertical="top"/>
    </xf>
    <xf numFmtId="0" fontId="2" fillId="24" borderId="27" xfId="0" applyFont="1" applyFill="1" applyBorder="1" applyAlignment="1">
      <alignment vertical="top"/>
    </xf>
    <xf numFmtId="165" fontId="2" fillId="27" borderId="70" xfId="0" applyNumberFormat="1" applyFont="1" applyFill="1" applyBorder="1" applyAlignment="1">
      <alignment vertical="top"/>
    </xf>
    <xf numFmtId="0" fontId="2" fillId="24" borderId="72" xfId="0" applyFont="1" applyFill="1" applyBorder="1" applyAlignment="1">
      <alignment vertical="top"/>
    </xf>
    <xf numFmtId="0" fontId="62" fillId="25" borderId="0" xfId="0" applyFont="1" applyFill="1" applyAlignment="1">
      <alignment horizontal="right" vertical="top"/>
    </xf>
    <xf numFmtId="0" fontId="62" fillId="25" borderId="0" xfId="0" applyFont="1" applyFill="1" applyAlignment="1">
      <alignment horizontal="left" vertical="top"/>
    </xf>
    <xf numFmtId="49" fontId="2" fillId="42" borderId="101" xfId="0" applyNumberFormat="1" applyFont="1" applyFill="1" applyBorder="1" applyAlignment="1" applyProtection="1">
      <alignment horizontal="center" vertical="top"/>
      <protection locked="0"/>
    </xf>
    <xf numFmtId="49" fontId="2" fillId="42" borderId="100" xfId="0" applyNumberFormat="1" applyFont="1" applyFill="1" applyBorder="1" applyAlignment="1" applyProtection="1">
      <alignment horizontal="center" vertical="top"/>
      <protection locked="0"/>
    </xf>
    <xf numFmtId="49" fontId="2" fillId="42" borderId="99" xfId="0" applyNumberFormat="1" applyFont="1" applyFill="1" applyBorder="1" applyAlignment="1" applyProtection="1">
      <alignment horizontal="center" vertical="top"/>
      <protection locked="0"/>
    </xf>
    <xf numFmtId="0" fontId="2" fillId="42" borderId="14" xfId="0" applyFont="1" applyFill="1" applyBorder="1" applyAlignment="1" applyProtection="1">
      <alignment horizontal="center" vertical="top"/>
      <protection locked="0"/>
    </xf>
    <xf numFmtId="165" fontId="2" fillId="42" borderId="64" xfId="0" applyNumberFormat="1" applyFont="1" applyFill="1" applyBorder="1" applyAlignment="1" applyProtection="1">
      <alignment vertical="top"/>
      <protection locked="0"/>
    </xf>
    <xf numFmtId="165" fontId="2" fillId="42" borderId="101" xfId="0" applyNumberFormat="1" applyFont="1" applyFill="1" applyBorder="1" applyAlignment="1" applyProtection="1">
      <alignment vertical="top"/>
      <protection locked="0"/>
    </xf>
    <xf numFmtId="0" fontId="2" fillId="42" borderId="15" xfId="0" applyFont="1" applyFill="1" applyBorder="1" applyAlignment="1" applyProtection="1">
      <alignment horizontal="center" vertical="top"/>
      <protection locked="0"/>
    </xf>
    <xf numFmtId="165" fontId="2" fillId="42" borderId="65" xfId="0" applyNumberFormat="1" applyFont="1" applyFill="1" applyBorder="1" applyAlignment="1" applyProtection="1">
      <alignment vertical="top"/>
      <protection locked="0"/>
    </xf>
    <xf numFmtId="165" fontId="2" fillId="42" borderId="100" xfId="0" applyNumberFormat="1" applyFont="1" applyFill="1" applyBorder="1" applyAlignment="1" applyProtection="1">
      <alignment vertical="top"/>
      <protection locked="0"/>
    </xf>
    <xf numFmtId="0" fontId="2" fillId="42" borderId="16" xfId="0" applyFont="1" applyFill="1" applyBorder="1" applyAlignment="1" applyProtection="1">
      <alignment horizontal="center" vertical="top"/>
      <protection locked="0"/>
    </xf>
    <xf numFmtId="165" fontId="2" fillId="42" borderId="66" xfId="0" applyNumberFormat="1" applyFont="1" applyFill="1" applyBorder="1" applyAlignment="1" applyProtection="1">
      <alignment vertical="top"/>
      <protection locked="0"/>
    </xf>
    <xf numFmtId="165" fontId="2" fillId="42" borderId="99" xfId="0" applyNumberFormat="1" applyFont="1" applyFill="1" applyBorder="1" applyAlignment="1" applyProtection="1">
      <alignment vertical="top"/>
      <protection locked="0"/>
    </xf>
    <xf numFmtId="165" fontId="2" fillId="27" borderId="99" xfId="0" applyNumberFormat="1" applyFont="1" applyFill="1" applyBorder="1" applyAlignment="1">
      <alignment vertical="top"/>
    </xf>
    <xf numFmtId="0" fontId="2" fillId="43" borderId="58" xfId="0" applyFont="1" applyFill="1" applyBorder="1"/>
    <xf numFmtId="0" fontId="2" fillId="43" borderId="68" xfId="0" applyFont="1" applyFill="1" applyBorder="1"/>
    <xf numFmtId="0" fontId="2" fillId="43" borderId="68" xfId="0" applyFont="1" applyFill="1" applyBorder="1" applyAlignment="1">
      <alignment vertical="top"/>
    </xf>
    <xf numFmtId="0" fontId="62" fillId="43" borderId="0" xfId="0" quotePrefix="1" applyFont="1" applyFill="1" applyAlignment="1">
      <alignment horizontal="right" vertical="top" wrapText="1"/>
    </xf>
    <xf numFmtId="0" fontId="62" fillId="43" borderId="0" xfId="0" applyFont="1" applyFill="1" applyAlignment="1">
      <alignment vertical="top" wrapText="1"/>
    </xf>
    <xf numFmtId="0" fontId="62" fillId="43" borderId="39" xfId="0" applyFont="1" applyFill="1" applyBorder="1" applyAlignment="1">
      <alignment vertical="top" wrapText="1"/>
    </xf>
    <xf numFmtId="0" fontId="2" fillId="43" borderId="25" xfId="0" applyFont="1" applyFill="1" applyBorder="1" applyAlignment="1">
      <alignment horizontal="center" vertical="top"/>
    </xf>
    <xf numFmtId="0" fontId="2" fillId="43" borderId="67" xfId="0" applyFont="1" applyFill="1" applyBorder="1"/>
    <xf numFmtId="0" fontId="2" fillId="25" borderId="92" xfId="0" applyFont="1" applyFill="1" applyBorder="1"/>
    <xf numFmtId="0" fontId="2" fillId="41" borderId="14" xfId="0" applyFont="1" applyFill="1" applyBorder="1" applyAlignment="1">
      <alignment horizontal="center" vertical="top"/>
    </xf>
    <xf numFmtId="0" fontId="2" fillId="41" borderId="15" xfId="0" applyFont="1" applyFill="1" applyBorder="1" applyAlignment="1">
      <alignment horizontal="center" vertical="top"/>
    </xf>
    <xf numFmtId="0" fontId="2" fillId="41" borderId="16" xfId="0" applyFont="1" applyFill="1" applyBorder="1" applyAlignment="1">
      <alignment horizontal="center" vertical="top"/>
    </xf>
    <xf numFmtId="49" fontId="2" fillId="42" borderId="64" xfId="0" applyNumberFormat="1" applyFont="1" applyFill="1" applyBorder="1" applyAlignment="1" applyProtection="1">
      <alignment horizontal="center" vertical="top"/>
      <protection locked="0"/>
    </xf>
    <xf numFmtId="49" fontId="2" fillId="42" borderId="65" xfId="0" applyNumberFormat="1" applyFont="1" applyFill="1" applyBorder="1" applyAlignment="1" applyProtection="1">
      <alignment horizontal="center" vertical="top"/>
      <protection locked="0"/>
    </xf>
    <xf numFmtId="49" fontId="2" fillId="42" borderId="66" xfId="0" applyNumberFormat="1" applyFont="1" applyFill="1" applyBorder="1" applyAlignment="1" applyProtection="1">
      <alignment horizontal="center" vertical="top"/>
      <protection locked="0"/>
    </xf>
    <xf numFmtId="0" fontId="2" fillId="40" borderId="13" xfId="0" applyFont="1" applyFill="1" applyBorder="1" applyAlignment="1">
      <alignment vertical="top"/>
    </xf>
    <xf numFmtId="0" fontId="2" fillId="50" borderId="69" xfId="0" applyFont="1" applyFill="1" applyBorder="1" applyAlignment="1">
      <alignment vertical="top"/>
    </xf>
    <xf numFmtId="0" fontId="2" fillId="36" borderId="0" xfId="69" applyFill="1" applyAlignment="1">
      <alignment horizontal="right" vertical="top"/>
    </xf>
    <xf numFmtId="0" fontId="6" fillId="24" borderId="0" xfId="60" applyFill="1" applyAlignment="1" applyProtection="1">
      <alignment vertical="top"/>
    </xf>
    <xf numFmtId="0" fontId="2" fillId="24" borderId="85" xfId="0" applyFont="1" applyFill="1" applyBorder="1" applyAlignment="1">
      <alignment vertical="top"/>
    </xf>
    <xf numFmtId="0" fontId="2" fillId="24" borderId="84" xfId="0" applyFont="1" applyFill="1" applyBorder="1" applyAlignment="1">
      <alignment vertical="top"/>
    </xf>
    <xf numFmtId="0" fontId="2" fillId="24" borderId="86" xfId="0" applyFont="1" applyFill="1" applyBorder="1" applyAlignment="1">
      <alignment vertical="top"/>
    </xf>
    <xf numFmtId="0" fontId="2" fillId="24" borderId="29" xfId="0" applyFont="1" applyFill="1" applyBorder="1" applyAlignment="1">
      <alignment vertical="top"/>
    </xf>
    <xf numFmtId="0" fontId="2" fillId="24" borderId="31" xfId="0" applyFont="1" applyFill="1" applyBorder="1" applyAlignment="1">
      <alignment vertical="top"/>
    </xf>
    <xf numFmtId="164" fontId="2" fillId="29" borderId="50" xfId="0" applyNumberFormat="1" applyFont="1" applyFill="1" applyBorder="1" applyAlignment="1" applyProtection="1">
      <alignment vertical="top"/>
      <protection locked="0"/>
    </xf>
    <xf numFmtId="164" fontId="2" fillId="27" borderId="70" xfId="0" applyNumberFormat="1" applyFont="1" applyFill="1" applyBorder="1" applyAlignment="1">
      <alignment vertical="top"/>
    </xf>
    <xf numFmtId="164" fontId="2" fillId="27" borderId="50" xfId="0" applyNumberFormat="1" applyFont="1" applyFill="1" applyBorder="1" applyAlignment="1">
      <alignment vertical="top"/>
    </xf>
    <xf numFmtId="0" fontId="2" fillId="24" borderId="76" xfId="0" applyFont="1" applyFill="1" applyBorder="1" applyAlignment="1">
      <alignment vertical="top"/>
    </xf>
    <xf numFmtId="0" fontId="2" fillId="24" borderId="75" xfId="0" applyFont="1" applyFill="1" applyBorder="1" applyAlignment="1">
      <alignment vertical="top"/>
    </xf>
    <xf numFmtId="0" fontId="2" fillId="41" borderId="25" xfId="0" applyFont="1" applyFill="1" applyBorder="1" applyAlignment="1">
      <alignment horizontal="center" vertical="top"/>
    </xf>
    <xf numFmtId="165" fontId="2" fillId="42" borderId="11" xfId="0" applyNumberFormat="1" applyFont="1" applyFill="1" applyBorder="1" applyAlignment="1" applyProtection="1">
      <alignment vertical="top"/>
      <protection locked="0"/>
    </xf>
    <xf numFmtId="165" fontId="2" fillId="42" borderId="63" xfId="0" applyNumberFormat="1" applyFont="1" applyFill="1" applyBorder="1" applyAlignment="1" applyProtection="1">
      <alignment vertical="top"/>
      <protection locked="0"/>
    </xf>
    <xf numFmtId="165" fontId="2" fillId="42" borderId="118" xfId="0" applyNumberFormat="1" applyFont="1" applyFill="1" applyBorder="1" applyAlignment="1" applyProtection="1">
      <alignment vertical="top"/>
      <protection locked="0"/>
    </xf>
    <xf numFmtId="165" fontId="2" fillId="29" borderId="70" xfId="0" applyNumberFormat="1" applyFont="1" applyFill="1" applyBorder="1" applyAlignment="1" applyProtection="1">
      <alignment vertical="top"/>
      <protection locked="0"/>
    </xf>
    <xf numFmtId="165" fontId="2" fillId="27" borderId="64" xfId="66" applyNumberFormat="1" applyFont="1" applyFill="1" applyBorder="1" applyAlignment="1" applyProtection="1">
      <alignment vertical="top"/>
    </xf>
    <xf numFmtId="165" fontId="2" fillId="27" borderId="101" xfId="66" applyNumberFormat="1" applyFont="1" applyFill="1" applyBorder="1" applyAlignment="1" applyProtection="1">
      <alignment vertical="top"/>
    </xf>
    <xf numFmtId="165" fontId="2" fillId="27" borderId="66" xfId="66" applyNumberFormat="1" applyFont="1" applyFill="1" applyBorder="1" applyAlignment="1" applyProtection="1">
      <alignment vertical="top"/>
    </xf>
    <xf numFmtId="165" fontId="2" fillId="27" borderId="99" xfId="66" applyNumberFormat="1" applyFont="1" applyFill="1" applyBorder="1" applyAlignment="1" applyProtection="1">
      <alignment vertical="top"/>
    </xf>
    <xf numFmtId="0" fontId="2" fillId="42" borderId="65" xfId="0" applyFont="1" applyFill="1" applyBorder="1" applyAlignment="1" applyProtection="1">
      <alignment horizontal="center" vertical="top"/>
      <protection locked="0"/>
    </xf>
    <xf numFmtId="0" fontId="2" fillId="42" borderId="66" xfId="0" applyFont="1" applyFill="1" applyBorder="1" applyAlignment="1" applyProtection="1">
      <alignment horizontal="center" vertical="top"/>
      <protection locked="0"/>
    </xf>
    <xf numFmtId="0" fontId="2" fillId="43" borderId="58" xfId="0" applyFont="1" applyFill="1" applyBorder="1" applyAlignment="1">
      <alignment vertical="top"/>
    </xf>
    <xf numFmtId="0" fontId="2" fillId="43" borderId="20" xfId="0" applyFont="1" applyFill="1" applyBorder="1" applyAlignment="1">
      <alignment horizontal="center" vertical="top"/>
    </xf>
    <xf numFmtId="0" fontId="2" fillId="43" borderId="15" xfId="0" applyFont="1" applyFill="1" applyBorder="1" applyAlignment="1">
      <alignment horizontal="center" vertical="top"/>
    </xf>
    <xf numFmtId="0" fontId="2" fillId="43" borderId="21" xfId="0" applyFont="1" applyFill="1" applyBorder="1" applyAlignment="1">
      <alignment horizontal="center" vertical="top"/>
    </xf>
    <xf numFmtId="0" fontId="2" fillId="43" borderId="23" xfId="0" applyFont="1" applyFill="1" applyBorder="1" applyAlignment="1">
      <alignment horizontal="center" vertical="top"/>
    </xf>
    <xf numFmtId="164" fontId="2" fillId="27" borderId="94" xfId="0" applyNumberFormat="1" applyFont="1" applyFill="1" applyBorder="1" applyAlignment="1">
      <alignment vertical="top"/>
    </xf>
    <xf numFmtId="0" fontId="2" fillId="43" borderId="108" xfId="0" applyFont="1" applyFill="1" applyBorder="1" applyAlignment="1">
      <alignment horizontal="center" vertical="top"/>
    </xf>
    <xf numFmtId="164" fontId="2" fillId="27" borderId="97" xfId="0" applyNumberFormat="1" applyFont="1" applyFill="1" applyBorder="1" applyAlignment="1">
      <alignment vertical="top"/>
    </xf>
    <xf numFmtId="0" fontId="2" fillId="43" borderId="16" xfId="0" applyFont="1" applyFill="1" applyBorder="1" applyAlignment="1">
      <alignment horizontal="center" vertical="top"/>
    </xf>
    <xf numFmtId="0" fontId="2" fillId="43" borderId="106" xfId="0" applyFont="1" applyFill="1" applyBorder="1" applyAlignment="1">
      <alignment vertical="top"/>
    </xf>
    <xf numFmtId="165" fontId="2" fillId="42" borderId="10" xfId="0" applyNumberFormat="1" applyFont="1" applyFill="1" applyBorder="1" applyAlignment="1" applyProtection="1">
      <alignment vertical="top"/>
      <protection locked="0"/>
    </xf>
    <xf numFmtId="0" fontId="2" fillId="29" borderId="14" xfId="0" applyFont="1" applyFill="1" applyBorder="1" applyAlignment="1" applyProtection="1">
      <alignment horizontal="center" vertical="top"/>
      <protection locked="0"/>
    </xf>
    <xf numFmtId="0" fontId="2" fillId="27" borderId="16" xfId="0" applyFont="1" applyFill="1" applyBorder="1" applyAlignment="1">
      <alignment horizontal="center" vertical="top"/>
    </xf>
    <xf numFmtId="165" fontId="2" fillId="40" borderId="10" xfId="0" applyNumberFormat="1" applyFont="1" applyFill="1" applyBorder="1" applyAlignment="1">
      <alignment vertical="top"/>
    </xf>
    <xf numFmtId="0" fontId="2" fillId="38" borderId="84" xfId="0" applyFont="1" applyFill="1" applyBorder="1" applyAlignment="1">
      <alignment vertical="top"/>
    </xf>
    <xf numFmtId="164" fontId="2" fillId="29" borderId="64" xfId="0" applyNumberFormat="1" applyFont="1" applyFill="1" applyBorder="1" applyAlignment="1" applyProtection="1">
      <alignment vertical="top"/>
      <protection locked="0"/>
    </xf>
    <xf numFmtId="164" fontId="2" fillId="29" borderId="66" xfId="0" applyNumberFormat="1" applyFont="1" applyFill="1" applyBorder="1" applyAlignment="1" applyProtection="1">
      <alignment vertical="top"/>
      <protection locked="0"/>
    </xf>
    <xf numFmtId="165" fontId="2" fillId="24" borderId="0" xfId="0" applyNumberFormat="1" applyFont="1" applyFill="1" applyAlignment="1">
      <alignment vertical="top"/>
    </xf>
    <xf numFmtId="0" fontId="2" fillId="43" borderId="67" xfId="0" applyFont="1" applyFill="1" applyBorder="1" applyAlignment="1">
      <alignment vertical="top"/>
    </xf>
    <xf numFmtId="0" fontId="2" fillId="25" borderId="92" xfId="0" applyFont="1" applyFill="1" applyBorder="1" applyAlignment="1">
      <alignment vertical="top"/>
    </xf>
    <xf numFmtId="0" fontId="62" fillId="25" borderId="0" xfId="0" applyFont="1" applyFill="1" applyAlignment="1">
      <alignment horizontal="right" vertical="top" indent="1"/>
    </xf>
    <xf numFmtId="2" fontId="2" fillId="25" borderId="26" xfId="0" applyNumberFormat="1" applyFont="1" applyFill="1" applyBorder="1" applyAlignment="1">
      <alignment horizontal="right" vertical="top" indent="1"/>
    </xf>
    <xf numFmtId="171" fontId="2" fillId="29" borderId="13" xfId="0" applyNumberFormat="1" applyFont="1" applyFill="1" applyBorder="1" applyAlignment="1" applyProtection="1">
      <alignment vertical="top"/>
      <protection locked="0"/>
    </xf>
    <xf numFmtId="171" fontId="2" fillId="29" borderId="70" xfId="0" applyNumberFormat="1" applyFont="1" applyFill="1" applyBorder="1" applyAlignment="1" applyProtection="1">
      <alignment vertical="top"/>
      <protection locked="0"/>
    </xf>
    <xf numFmtId="171" fontId="2" fillId="29" borderId="50" xfId="0" applyNumberFormat="1" applyFont="1" applyFill="1" applyBorder="1" applyAlignment="1" applyProtection="1">
      <alignment vertical="top"/>
      <protection locked="0"/>
    </xf>
    <xf numFmtId="0" fontId="2" fillId="25" borderId="17" xfId="0" applyFont="1" applyFill="1" applyBorder="1" applyAlignment="1">
      <alignment horizontal="center" vertical="top"/>
    </xf>
    <xf numFmtId="2" fontId="2" fillId="25" borderId="17" xfId="0" applyNumberFormat="1" applyFont="1" applyFill="1" applyBorder="1" applyAlignment="1">
      <alignment horizontal="right" vertical="top" indent="1"/>
    </xf>
    <xf numFmtId="171" fontId="2" fillId="29" borderId="94" xfId="0" applyNumberFormat="1" applyFont="1" applyFill="1" applyBorder="1" applyAlignment="1" applyProtection="1">
      <alignment vertical="top"/>
      <protection locked="0"/>
    </xf>
    <xf numFmtId="171" fontId="2" fillId="29" borderId="125" xfId="0" applyNumberFormat="1" applyFont="1" applyFill="1" applyBorder="1" applyAlignment="1" applyProtection="1">
      <alignment vertical="top"/>
      <protection locked="0"/>
    </xf>
    <xf numFmtId="171" fontId="2" fillId="29" borderId="126" xfId="0" applyNumberFormat="1" applyFont="1" applyFill="1" applyBorder="1" applyAlignment="1" applyProtection="1">
      <alignment vertical="top"/>
      <protection locked="0"/>
    </xf>
    <xf numFmtId="2" fontId="2" fillId="25" borderId="15" xfId="0" applyNumberFormat="1" applyFont="1" applyFill="1" applyBorder="1" applyAlignment="1">
      <alignment horizontal="right" vertical="top" indent="1"/>
    </xf>
    <xf numFmtId="171" fontId="2" fillId="29" borderId="65" xfId="0" applyNumberFormat="1" applyFont="1" applyFill="1" applyBorder="1" applyAlignment="1" applyProtection="1">
      <alignment vertical="top"/>
      <protection locked="0"/>
    </xf>
    <xf numFmtId="171" fontId="2" fillId="29" borderId="100" xfId="0" applyNumberFormat="1" applyFont="1" applyFill="1" applyBorder="1" applyAlignment="1" applyProtection="1">
      <alignment vertical="top"/>
      <protection locked="0"/>
    </xf>
    <xf numFmtId="171" fontId="2" fillId="29" borderId="34" xfId="0" applyNumberFormat="1" applyFont="1" applyFill="1" applyBorder="1" applyAlignment="1" applyProtection="1">
      <alignment vertical="top"/>
      <protection locked="0"/>
    </xf>
    <xf numFmtId="2" fontId="2" fillId="25" borderId="16" xfId="0" applyNumberFormat="1" applyFont="1" applyFill="1" applyBorder="1" applyAlignment="1">
      <alignment horizontal="right" vertical="top" indent="1"/>
    </xf>
    <xf numFmtId="171" fontId="2" fillId="29" borderId="66" xfId="0" applyNumberFormat="1" applyFont="1" applyFill="1" applyBorder="1" applyAlignment="1" applyProtection="1">
      <alignment vertical="top"/>
      <protection locked="0"/>
    </xf>
    <xf numFmtId="171" fontId="2" fillId="29" borderId="99" xfId="0" applyNumberFormat="1" applyFont="1" applyFill="1" applyBorder="1" applyAlignment="1" applyProtection="1">
      <alignment vertical="top"/>
      <protection locked="0"/>
    </xf>
    <xf numFmtId="171" fontId="2" fillId="29" borderId="123" xfId="0" applyNumberFormat="1" applyFont="1" applyFill="1" applyBorder="1" applyAlignment="1" applyProtection="1">
      <alignment vertical="top"/>
      <protection locked="0"/>
    </xf>
    <xf numFmtId="3" fontId="2" fillId="29" borderId="13" xfId="0" applyNumberFormat="1" applyFont="1" applyFill="1" applyBorder="1" applyAlignment="1" applyProtection="1">
      <alignment vertical="top"/>
      <protection locked="0"/>
    </xf>
    <xf numFmtId="171" fontId="2" fillId="29" borderId="32" xfId="0" applyNumberFormat="1" applyFont="1" applyFill="1" applyBorder="1" applyAlignment="1" applyProtection="1">
      <alignment vertical="top"/>
      <protection locked="0"/>
    </xf>
    <xf numFmtId="165" fontId="2" fillId="29" borderId="32" xfId="0" applyNumberFormat="1" applyFont="1" applyFill="1" applyBorder="1" applyAlignment="1" applyProtection="1">
      <alignment vertical="top"/>
      <protection locked="0"/>
    </xf>
    <xf numFmtId="165" fontId="2" fillId="29" borderId="123" xfId="0" applyNumberFormat="1" applyFont="1" applyFill="1" applyBorder="1" applyAlignment="1" applyProtection="1">
      <alignment vertical="top"/>
      <protection locked="0"/>
    </xf>
    <xf numFmtId="164" fontId="2" fillId="29" borderId="101" xfId="0" applyNumberFormat="1" applyFont="1" applyFill="1" applyBorder="1" applyAlignment="1" applyProtection="1">
      <alignment vertical="top"/>
      <protection locked="0"/>
    </xf>
    <xf numFmtId="164" fontId="2" fillId="29" borderId="32" xfId="0" applyNumberFormat="1" applyFont="1" applyFill="1" applyBorder="1" applyAlignment="1" applyProtection="1">
      <alignment vertical="top"/>
      <protection locked="0"/>
    </xf>
    <xf numFmtId="164" fontId="2" fillId="29" borderId="93" xfId="0" applyNumberFormat="1" applyFont="1" applyFill="1" applyBorder="1" applyAlignment="1" applyProtection="1">
      <alignment vertical="top"/>
      <protection locked="0"/>
    </xf>
    <xf numFmtId="164" fontId="2" fillId="29" borderId="19" xfId="0" applyNumberFormat="1" applyFont="1" applyFill="1" applyBorder="1" applyAlignment="1" applyProtection="1">
      <alignment vertical="top"/>
      <protection locked="0"/>
    </xf>
    <xf numFmtId="164" fontId="2" fillId="29" borderId="45" xfId="0" applyNumberFormat="1" applyFont="1" applyFill="1" applyBorder="1" applyAlignment="1" applyProtection="1">
      <alignment vertical="top"/>
      <protection locked="0"/>
    </xf>
    <xf numFmtId="164" fontId="2" fillId="29" borderId="99" xfId="0" applyNumberFormat="1" applyFont="1" applyFill="1" applyBorder="1" applyAlignment="1" applyProtection="1">
      <alignment vertical="top"/>
      <protection locked="0"/>
    </xf>
    <xf numFmtId="164" fontId="2" fillId="29" borderId="123" xfId="0" applyNumberFormat="1" applyFont="1" applyFill="1" applyBorder="1" applyAlignment="1" applyProtection="1">
      <alignment vertical="top"/>
      <protection locked="0"/>
    </xf>
    <xf numFmtId="0" fontId="4" fillId="25" borderId="12" xfId="0" applyFont="1" applyFill="1" applyBorder="1" applyAlignment="1">
      <alignment horizontal="center" vertical="top" wrapText="1"/>
    </xf>
    <xf numFmtId="164" fontId="2" fillId="27" borderId="64" xfId="0" applyNumberFormat="1" applyFont="1" applyFill="1" applyBorder="1" applyAlignment="1">
      <alignment vertical="top"/>
    </xf>
    <xf numFmtId="164" fontId="2" fillId="27" borderId="101" xfId="0" applyNumberFormat="1" applyFont="1" applyFill="1" applyBorder="1" applyAlignment="1">
      <alignment vertical="top"/>
    </xf>
    <xf numFmtId="164" fontId="2" fillId="27" borderId="32" xfId="0" applyNumberFormat="1" applyFont="1" applyFill="1" applyBorder="1" applyAlignment="1">
      <alignment vertical="top"/>
    </xf>
    <xf numFmtId="164" fontId="2" fillId="27" borderId="93" xfId="0" applyNumberFormat="1" applyFont="1" applyFill="1" applyBorder="1" applyAlignment="1">
      <alignment vertical="top"/>
    </xf>
    <xf numFmtId="164" fontId="2" fillId="27" borderId="19" xfId="0" applyNumberFormat="1" applyFont="1" applyFill="1" applyBorder="1" applyAlignment="1">
      <alignment vertical="top"/>
    </xf>
    <xf numFmtId="164" fontId="2" fillId="27" borderId="45" xfId="0" applyNumberFormat="1" applyFont="1" applyFill="1" applyBorder="1" applyAlignment="1">
      <alignment vertical="top"/>
    </xf>
    <xf numFmtId="164" fontId="2" fillId="27" borderId="66" xfId="0" applyNumberFormat="1" applyFont="1" applyFill="1" applyBorder="1" applyAlignment="1">
      <alignment vertical="top"/>
    </xf>
    <xf numFmtId="164" fontId="2" fillId="27" borderId="99" xfId="0" applyNumberFormat="1" applyFont="1" applyFill="1" applyBorder="1" applyAlignment="1">
      <alignment vertical="top"/>
    </xf>
    <xf numFmtId="164" fontId="2" fillId="27" borderId="123" xfId="0" applyNumberFormat="1" applyFont="1" applyFill="1" applyBorder="1" applyAlignment="1">
      <alignment vertical="top"/>
    </xf>
    <xf numFmtId="164" fontId="2" fillId="27" borderId="69" xfId="0" applyNumberFormat="1" applyFont="1" applyFill="1" applyBorder="1" applyAlignment="1">
      <alignment vertical="top"/>
    </xf>
    <xf numFmtId="169" fontId="2" fillId="29" borderId="65" xfId="0" applyNumberFormat="1" applyFont="1" applyFill="1" applyBorder="1" applyAlignment="1" applyProtection="1">
      <alignment vertical="top"/>
      <protection locked="0"/>
    </xf>
    <xf numFmtId="169" fontId="2" fillId="29" borderId="66" xfId="0" applyNumberFormat="1" applyFont="1" applyFill="1" applyBorder="1" applyAlignment="1" applyProtection="1">
      <alignment vertical="top"/>
      <protection locked="0"/>
    </xf>
    <xf numFmtId="0" fontId="2" fillId="24" borderId="117" xfId="0" applyFont="1" applyFill="1" applyBorder="1" applyAlignment="1">
      <alignment vertical="top"/>
    </xf>
    <xf numFmtId="170" fontId="2" fillId="29" borderId="13" xfId="0" applyNumberFormat="1" applyFont="1" applyFill="1" applyBorder="1" applyAlignment="1" applyProtection="1">
      <alignment vertical="top"/>
      <protection locked="0"/>
    </xf>
    <xf numFmtId="170" fontId="2" fillId="29" borderId="70" xfId="0" applyNumberFormat="1" applyFont="1" applyFill="1" applyBorder="1" applyAlignment="1" applyProtection="1">
      <alignment vertical="top"/>
      <protection locked="0"/>
    </xf>
    <xf numFmtId="170" fontId="2" fillId="29" borderId="50" xfId="0" applyNumberFormat="1" applyFont="1" applyFill="1" applyBorder="1" applyAlignment="1" applyProtection="1">
      <alignment vertical="top"/>
      <protection locked="0"/>
    </xf>
    <xf numFmtId="165" fontId="2" fillId="27" borderId="50" xfId="0" applyNumberFormat="1" applyFont="1" applyFill="1" applyBorder="1" applyAlignment="1">
      <alignment vertical="top"/>
    </xf>
    <xf numFmtId="0" fontId="2" fillId="25" borderId="11" xfId="0" applyFont="1" applyFill="1" applyBorder="1" applyAlignment="1">
      <alignment horizontal="center" vertical="top"/>
    </xf>
    <xf numFmtId="167" fontId="2" fillId="25" borderId="64" xfId="0" applyNumberFormat="1" applyFont="1" applyFill="1" applyBorder="1" applyAlignment="1">
      <alignment horizontal="center" vertical="top"/>
    </xf>
    <xf numFmtId="3" fontId="2" fillId="29" borderId="64" xfId="0" applyNumberFormat="1" applyFont="1" applyFill="1" applyBorder="1" applyAlignment="1" applyProtection="1">
      <alignment vertical="top"/>
      <protection locked="0"/>
    </xf>
    <xf numFmtId="3" fontId="2" fillId="29" borderId="101" xfId="0" applyNumberFormat="1" applyFont="1" applyFill="1" applyBorder="1" applyAlignment="1" applyProtection="1">
      <alignment vertical="top"/>
      <protection locked="0"/>
    </xf>
    <xf numFmtId="3" fontId="2" fillId="29" borderId="32" xfId="0" applyNumberFormat="1" applyFont="1" applyFill="1" applyBorder="1" applyAlignment="1" applyProtection="1">
      <alignment vertical="top"/>
      <protection locked="0"/>
    </xf>
    <xf numFmtId="167" fontId="2" fillId="25" borderId="65" xfId="0" applyNumberFormat="1" applyFont="1" applyFill="1" applyBorder="1" applyAlignment="1">
      <alignment horizontal="center" vertical="top"/>
    </xf>
    <xf numFmtId="3" fontId="2" fillId="29" borderId="65" xfId="0" applyNumberFormat="1" applyFont="1" applyFill="1" applyBorder="1" applyAlignment="1" applyProtection="1">
      <alignment vertical="top"/>
      <protection locked="0"/>
    </xf>
    <xf numFmtId="3" fontId="2" fillId="29" borderId="100" xfId="0" applyNumberFormat="1" applyFont="1" applyFill="1" applyBorder="1" applyAlignment="1" applyProtection="1">
      <alignment vertical="top"/>
      <protection locked="0"/>
    </xf>
    <xf numFmtId="3" fontId="2" fillId="29" borderId="34" xfId="0" applyNumberFormat="1" applyFont="1" applyFill="1" applyBorder="1" applyAlignment="1" applyProtection="1">
      <alignment vertical="top"/>
      <protection locked="0"/>
    </xf>
    <xf numFmtId="167" fontId="2" fillId="25" borderId="66" xfId="0" applyNumberFormat="1" applyFont="1" applyFill="1" applyBorder="1" applyAlignment="1">
      <alignment horizontal="center" vertical="top"/>
    </xf>
    <xf numFmtId="3" fontId="2" fillId="29" borderId="66" xfId="0" applyNumberFormat="1" applyFont="1" applyFill="1" applyBorder="1" applyAlignment="1" applyProtection="1">
      <alignment vertical="top"/>
      <protection locked="0"/>
    </xf>
    <xf numFmtId="3" fontId="2" fillId="29" borderId="99" xfId="0" applyNumberFormat="1" applyFont="1" applyFill="1" applyBorder="1" applyAlignment="1" applyProtection="1">
      <alignment vertical="top"/>
      <protection locked="0"/>
    </xf>
    <xf numFmtId="3" fontId="2" fillId="29" borderId="123" xfId="0" applyNumberFormat="1" applyFont="1" applyFill="1" applyBorder="1" applyAlignment="1" applyProtection="1">
      <alignment vertical="top"/>
      <protection locked="0"/>
    </xf>
    <xf numFmtId="165" fontId="2" fillId="40" borderId="94" xfId="0" applyNumberFormat="1" applyFont="1" applyFill="1" applyBorder="1" applyAlignment="1">
      <alignment vertical="top"/>
    </xf>
    <xf numFmtId="165" fontId="2" fillId="40" borderId="125" xfId="0" applyNumberFormat="1" applyFont="1" applyFill="1" applyBorder="1" applyAlignment="1">
      <alignment vertical="top"/>
    </xf>
    <xf numFmtId="165" fontId="2" fillId="29" borderId="126" xfId="0" applyNumberFormat="1" applyFont="1" applyFill="1" applyBorder="1" applyAlignment="1" applyProtection="1">
      <alignment vertical="top"/>
      <protection locked="0"/>
    </xf>
    <xf numFmtId="0" fontId="2" fillId="24" borderId="18" xfId="0"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65" xfId="0" applyNumberFormat="1" applyFont="1" applyFill="1" applyBorder="1" applyAlignment="1">
      <alignment horizontal="right" vertical="top"/>
    </xf>
    <xf numFmtId="164" fontId="2" fillId="27" borderId="97" xfId="0" applyNumberFormat="1" applyFont="1" applyFill="1" applyBorder="1" applyAlignment="1">
      <alignment horizontal="right" vertical="top"/>
    </xf>
    <xf numFmtId="164" fontId="2" fillId="27" borderId="27" xfId="0" applyNumberFormat="1" applyFont="1" applyFill="1" applyBorder="1" applyAlignment="1">
      <alignment horizontal="right" vertical="top"/>
    </xf>
    <xf numFmtId="164" fontId="2" fillId="27" borderId="72" xfId="0" applyNumberFormat="1" applyFont="1" applyFill="1" applyBorder="1" applyAlignment="1">
      <alignment horizontal="right" vertical="top"/>
    </xf>
    <xf numFmtId="164" fontId="2" fillId="27" borderId="61" xfId="0" applyNumberFormat="1" applyFont="1" applyFill="1" applyBorder="1" applyAlignment="1">
      <alignment horizontal="right" vertical="top"/>
    </xf>
    <xf numFmtId="0" fontId="62" fillId="25" borderId="0" xfId="0" quotePrefix="1" applyFont="1" applyFill="1" applyAlignment="1">
      <alignment horizontal="right" vertical="top" wrapText="1"/>
    </xf>
    <xf numFmtId="0" fontId="2" fillId="24" borderId="106" xfId="0" applyFont="1" applyFill="1" applyBorder="1" applyAlignment="1">
      <alignment horizontal="center" vertical="top"/>
    </xf>
    <xf numFmtId="0" fontId="2" fillId="41" borderId="23" xfId="0" applyFont="1" applyFill="1" applyBorder="1" applyAlignment="1">
      <alignment horizontal="center" vertical="top"/>
    </xf>
    <xf numFmtId="165" fontId="2" fillId="27" borderId="94" xfId="0" applyNumberFormat="1" applyFont="1" applyFill="1" applyBorder="1" applyAlignment="1">
      <alignment vertical="top"/>
    </xf>
    <xf numFmtId="0" fontId="2" fillId="24" borderId="18" xfId="0" applyFont="1" applyFill="1" applyBorder="1" applyAlignment="1">
      <alignment horizontal="center" vertical="top"/>
    </xf>
    <xf numFmtId="0" fontId="2" fillId="24" borderId="25" xfId="0" applyFont="1" applyFill="1" applyBorder="1" applyAlignment="1">
      <alignment horizontal="center" vertical="top"/>
    </xf>
    <xf numFmtId="0" fontId="2" fillId="41" borderId="108" xfId="0" applyFont="1" applyFill="1" applyBorder="1" applyAlignment="1">
      <alignment horizontal="center" vertical="top"/>
    </xf>
    <xf numFmtId="165" fontId="2" fillId="27" borderId="97" xfId="0" applyNumberFormat="1" applyFont="1" applyFill="1" applyBorder="1" applyAlignment="1">
      <alignment vertical="top"/>
    </xf>
    <xf numFmtId="165" fontId="2" fillId="27" borderId="65" xfId="0" applyNumberFormat="1" applyFont="1" applyFill="1" applyBorder="1" applyAlignment="1">
      <alignment vertical="top"/>
    </xf>
    <xf numFmtId="0" fontId="2" fillId="41" borderId="49" xfId="0" applyFont="1" applyFill="1" applyBorder="1" applyAlignment="1">
      <alignment horizontal="center" vertical="top"/>
    </xf>
    <xf numFmtId="165" fontId="2" fillId="27" borderId="54" xfId="0" applyNumberFormat="1" applyFont="1" applyFill="1" applyBorder="1" applyAlignment="1">
      <alignment vertical="top"/>
    </xf>
    <xf numFmtId="0" fontId="2" fillId="24" borderId="118" xfId="0" applyFont="1" applyFill="1" applyBorder="1" applyAlignment="1">
      <alignment horizontal="center" vertical="top"/>
    </xf>
    <xf numFmtId="0" fontId="2" fillId="54" borderId="73" xfId="0" applyFont="1" applyFill="1" applyBorder="1" applyAlignment="1" applyProtection="1">
      <alignment vertical="top"/>
      <protection locked="0"/>
    </xf>
    <xf numFmtId="0" fontId="2" fillId="55" borderId="71" xfId="0" applyFont="1" applyFill="1" applyBorder="1" applyAlignment="1" applyProtection="1">
      <alignment vertical="top"/>
      <protection locked="0"/>
    </xf>
    <xf numFmtId="170" fontId="2" fillId="27" borderId="64" xfId="0" applyNumberFormat="1" applyFont="1" applyFill="1" applyBorder="1" applyAlignment="1">
      <alignment vertical="top"/>
    </xf>
    <xf numFmtId="170" fontId="2" fillId="27" borderId="66" xfId="0" applyNumberFormat="1" applyFont="1" applyFill="1" applyBorder="1" applyAlignment="1">
      <alignment vertical="top"/>
    </xf>
    <xf numFmtId="10" fontId="2" fillId="40" borderId="64" xfId="0" applyNumberFormat="1" applyFont="1" applyFill="1" applyBorder="1" applyAlignment="1">
      <alignment vertical="top"/>
    </xf>
    <xf numFmtId="10" fontId="2" fillId="40" borderId="66" xfId="0" applyNumberFormat="1" applyFont="1" applyFill="1" applyBorder="1" applyAlignment="1">
      <alignment vertical="top"/>
    </xf>
    <xf numFmtId="0" fontId="2" fillId="41" borderId="26" xfId="0" applyFont="1" applyFill="1" applyBorder="1" applyAlignment="1">
      <alignment horizontal="center" vertical="top"/>
    </xf>
    <xf numFmtId="10" fontId="2" fillId="40" borderId="13" xfId="0" applyNumberFormat="1" applyFont="1" applyFill="1" applyBorder="1" applyAlignment="1">
      <alignment vertical="top"/>
    </xf>
    <xf numFmtId="0" fontId="2" fillId="25" borderId="22" xfId="0" applyFont="1" applyFill="1" applyBorder="1" applyAlignment="1">
      <alignment horizontal="center" vertical="top"/>
    </xf>
    <xf numFmtId="0" fontId="2" fillId="25" borderId="42" xfId="0" applyFont="1" applyFill="1" applyBorder="1" applyAlignment="1">
      <alignment horizontal="center" vertical="top"/>
    </xf>
    <xf numFmtId="0" fontId="2" fillId="25" borderId="122" xfId="0" applyFont="1" applyFill="1" applyBorder="1" applyAlignment="1">
      <alignment horizontal="center" vertical="top"/>
    </xf>
    <xf numFmtId="165" fontId="2" fillId="40" borderId="20" xfId="0" applyNumberFormat="1" applyFont="1" applyFill="1" applyBorder="1" applyAlignment="1">
      <alignment vertical="top"/>
    </xf>
    <xf numFmtId="165" fontId="2" fillId="40" borderId="21" xfId="0" applyNumberFormat="1" applyFont="1" applyFill="1" applyBorder="1" applyAlignment="1">
      <alignment vertical="top"/>
    </xf>
    <xf numFmtId="165" fontId="2" fillId="40" borderId="24" xfId="0" applyNumberFormat="1" applyFont="1" applyFill="1" applyBorder="1" applyAlignment="1">
      <alignment vertical="top"/>
    </xf>
    <xf numFmtId="4" fontId="2" fillId="27" borderId="13" xfId="66" applyNumberFormat="1" applyFont="1" applyFill="1" applyBorder="1" applyAlignment="1" applyProtection="1">
      <alignment vertical="top"/>
    </xf>
    <xf numFmtId="4" fontId="2" fillId="40" borderId="94" xfId="0" applyNumberFormat="1" applyFont="1" applyFill="1" applyBorder="1" applyAlignment="1">
      <alignment vertical="top"/>
    </xf>
    <xf numFmtId="4" fontId="2" fillId="27" borderId="11" xfId="0" applyNumberFormat="1" applyFont="1" applyFill="1" applyBorder="1" applyAlignment="1">
      <alignment vertical="top"/>
    </xf>
    <xf numFmtId="165" fontId="2" fillId="40" borderId="11" xfId="0" applyNumberFormat="1" applyFont="1" applyFill="1" applyBorder="1" applyAlignment="1">
      <alignment vertical="top"/>
    </xf>
    <xf numFmtId="0" fontId="62" fillId="41" borderId="0" xfId="0" applyFont="1" applyFill="1" applyAlignment="1">
      <alignment vertical="top"/>
    </xf>
    <xf numFmtId="0" fontId="2" fillId="25" borderId="0" xfId="0" applyFont="1" applyFill="1" applyAlignment="1">
      <alignment wrapText="1"/>
    </xf>
    <xf numFmtId="0" fontId="2" fillId="25" borderId="0" xfId="0" applyFont="1" applyFill="1" applyAlignment="1">
      <alignment vertical="center"/>
    </xf>
    <xf numFmtId="0" fontId="2" fillId="41" borderId="0" xfId="0" applyFont="1" applyFill="1" applyAlignment="1">
      <alignment horizontal="center" vertical="center"/>
    </xf>
    <xf numFmtId="0" fontId="59" fillId="41" borderId="0" xfId="0" applyFont="1" applyFill="1" applyAlignment="1">
      <alignment vertical="top" wrapText="1"/>
    </xf>
    <xf numFmtId="0" fontId="4" fillId="0" borderId="0" xfId="0" applyFont="1" applyAlignment="1">
      <alignment horizontal="left" vertical="top" wrapText="1"/>
    </xf>
    <xf numFmtId="0" fontId="24" fillId="0" borderId="0" xfId="70" applyFont="1" applyAlignment="1">
      <alignment vertical="top"/>
    </xf>
    <xf numFmtId="165" fontId="2" fillId="44" borderId="13" xfId="0" applyNumberFormat="1" applyFont="1" applyFill="1" applyBorder="1" applyAlignment="1" applyProtection="1">
      <alignment vertical="top"/>
      <protection locked="0"/>
    </xf>
    <xf numFmtId="10" fontId="2" fillId="44" borderId="13" xfId="0" applyNumberFormat="1" applyFont="1" applyFill="1" applyBorder="1" applyAlignment="1" applyProtection="1">
      <alignment vertical="top"/>
      <protection locked="0"/>
    </xf>
    <xf numFmtId="0" fontId="2" fillId="44" borderId="66" xfId="0" applyFont="1" applyFill="1" applyBorder="1" applyAlignment="1" applyProtection="1">
      <alignment horizontal="center" vertical="top"/>
      <protection locked="0"/>
    </xf>
    <xf numFmtId="0" fontId="2" fillId="44" borderId="16" xfId="0" applyFont="1" applyFill="1" applyBorder="1" applyAlignment="1" applyProtection="1">
      <alignment horizontal="center" vertical="top"/>
      <protection locked="0"/>
    </xf>
    <xf numFmtId="0" fontId="2" fillId="44" borderId="14" xfId="0" applyFont="1" applyFill="1" applyBorder="1" applyAlignment="1" applyProtection="1">
      <alignment horizontal="center" vertical="top"/>
      <protection locked="0"/>
    </xf>
    <xf numFmtId="0" fontId="2" fillId="44" borderId="15" xfId="0" applyFont="1" applyFill="1" applyBorder="1" applyAlignment="1" applyProtection="1">
      <alignment horizontal="center" vertical="top"/>
      <protection locked="0"/>
    </xf>
    <xf numFmtId="165" fontId="2" fillId="44" borderId="11" xfId="0" applyNumberFormat="1" applyFont="1" applyFill="1" applyBorder="1" applyAlignment="1" applyProtection="1">
      <alignment vertical="top"/>
      <protection locked="0"/>
    </xf>
    <xf numFmtId="0" fontId="2" fillId="44" borderId="13" xfId="0" applyFont="1" applyFill="1" applyBorder="1" applyAlignment="1" applyProtection="1">
      <alignment horizontal="center" vertical="top"/>
      <protection locked="0"/>
    </xf>
    <xf numFmtId="170" fontId="2" fillId="44" borderId="13" xfId="0" applyNumberFormat="1" applyFont="1" applyFill="1" applyBorder="1" applyAlignment="1" applyProtection="1">
      <alignment vertical="top"/>
      <protection locked="0"/>
    </xf>
    <xf numFmtId="0" fontId="32" fillId="25" borderId="0" xfId="0" applyFont="1" applyFill="1" applyAlignment="1">
      <alignment vertical="top" wrapText="1"/>
    </xf>
    <xf numFmtId="0" fontId="69" fillId="57" borderId="25" xfId="0" applyFont="1" applyFill="1" applyBorder="1" applyAlignment="1">
      <alignment horizontal="right" vertical="center"/>
    </xf>
    <xf numFmtId="0" fontId="70" fillId="57" borderId="0" xfId="0" applyFont="1" applyFill="1" applyAlignment="1">
      <alignment horizontal="center" vertical="center"/>
    </xf>
    <xf numFmtId="0" fontId="70" fillId="42" borderId="13" xfId="0" applyFont="1" applyFill="1" applyBorder="1" applyAlignment="1" applyProtection="1">
      <alignment horizontal="right" vertical="center"/>
      <protection locked="0"/>
    </xf>
    <xf numFmtId="0" fontId="4" fillId="25" borderId="0" xfId="0" applyFont="1" applyFill="1" applyAlignment="1">
      <alignment vertical="top" wrapText="1"/>
    </xf>
    <xf numFmtId="0" fontId="62" fillId="25" borderId="0" xfId="0" applyFont="1" applyFill="1" applyAlignment="1">
      <alignment horizontal="left" vertical="top" wrapText="1"/>
    </xf>
    <xf numFmtId="0" fontId="69" fillId="58" borderId="105" xfId="0" applyFont="1" applyFill="1" applyBorder="1" applyAlignment="1">
      <alignment horizontal="center" vertical="center" wrapText="1"/>
    </xf>
    <xf numFmtId="0" fontId="69" fillId="58" borderId="31" xfId="0" applyFont="1" applyFill="1" applyBorder="1" applyAlignment="1">
      <alignment horizontal="center" vertical="center" wrapText="1"/>
    </xf>
    <xf numFmtId="2" fontId="2" fillId="25" borderId="0" xfId="0" applyNumberFormat="1" applyFont="1" applyFill="1" applyAlignment="1">
      <alignment horizontal="left" vertical="top"/>
    </xf>
    <xf numFmtId="0" fontId="4" fillId="25" borderId="0" xfId="0" applyFont="1" applyFill="1" applyAlignment="1">
      <alignment horizontal="right" vertical="top" wrapText="1"/>
    </xf>
    <xf numFmtId="0" fontId="4" fillId="25" borderId="25" xfId="0" applyFont="1" applyFill="1" applyBorder="1" applyAlignment="1">
      <alignment horizontal="right" vertical="top" wrapText="1"/>
    </xf>
    <xf numFmtId="0" fontId="2" fillId="42" borderId="13" xfId="0" applyFont="1" applyFill="1" applyBorder="1" applyAlignment="1" applyProtection="1">
      <alignment vertical="top"/>
      <protection locked="0"/>
    </xf>
    <xf numFmtId="0" fontId="30" fillId="25" borderId="0" xfId="0" applyFont="1" applyFill="1" applyAlignment="1">
      <alignment horizontal="center" vertical="top"/>
    </xf>
    <xf numFmtId="0" fontId="5" fillId="25" borderId="0" xfId="0" applyFont="1" applyFill="1" applyAlignment="1">
      <alignment vertical="top" wrapText="1"/>
    </xf>
    <xf numFmtId="174" fontId="2" fillId="40" borderId="13" xfId="0" applyNumberFormat="1" applyFont="1" applyFill="1" applyBorder="1" applyAlignment="1">
      <alignment vertical="top"/>
    </xf>
    <xf numFmtId="175" fontId="2" fillId="40" borderId="13" xfId="0" applyNumberFormat="1" applyFont="1" applyFill="1" applyBorder="1" applyAlignment="1">
      <alignment vertical="top"/>
    </xf>
    <xf numFmtId="0" fontId="0" fillId="39" borderId="0" xfId="0" applyFill="1"/>
    <xf numFmtId="0" fontId="2" fillId="25" borderId="0" xfId="0" quotePrefix="1" applyFont="1" applyFill="1"/>
    <xf numFmtId="0" fontId="34" fillId="41" borderId="0" xfId="0" applyFont="1" applyFill="1" applyAlignment="1">
      <alignment vertical="top"/>
    </xf>
    <xf numFmtId="49" fontId="0" fillId="25" borderId="0" xfId="0" applyNumberFormat="1" applyFill="1" applyAlignment="1">
      <alignment horizontal="left" vertical="top" wrapText="1"/>
    </xf>
    <xf numFmtId="0" fontId="0" fillId="25" borderId="0" xfId="0" applyFill="1" applyAlignment="1">
      <alignment horizontal="left" vertical="top"/>
    </xf>
    <xf numFmtId="49" fontId="0" fillId="25" borderId="0" xfId="0" applyNumberFormat="1" applyFill="1" applyAlignment="1">
      <alignment horizontal="left" vertical="top"/>
    </xf>
    <xf numFmtId="0" fontId="66" fillId="41" borderId="0" xfId="0" applyFont="1" applyFill="1" applyAlignment="1">
      <alignment vertical="top"/>
    </xf>
    <xf numFmtId="0" fontId="67" fillId="25" borderId="0" xfId="0" applyFont="1" applyFill="1" applyAlignment="1">
      <alignment horizontal="right" vertical="top"/>
    </xf>
    <xf numFmtId="0" fontId="75" fillId="25" borderId="0" xfId="0" quotePrefix="1" applyFont="1" applyFill="1" applyAlignment="1">
      <alignment horizontal="right" vertical="top"/>
    </xf>
    <xf numFmtId="0" fontId="66" fillId="25" borderId="0" xfId="0" applyFont="1" applyFill="1" applyAlignment="1">
      <alignment horizontal="center" vertical="top"/>
    </xf>
    <xf numFmtId="0" fontId="67" fillId="25" borderId="0" xfId="0" applyFont="1" applyFill="1" applyAlignment="1">
      <alignment horizontal="right" vertical="top" indent="1"/>
    </xf>
    <xf numFmtId="0" fontId="67" fillId="0" borderId="0" xfId="0" applyFont="1"/>
    <xf numFmtId="0" fontId="67" fillId="0" borderId="0" xfId="0" applyFont="1" applyAlignment="1">
      <alignment vertical="top"/>
    </xf>
    <xf numFmtId="0" fontId="66" fillId="0" borderId="25" xfId="0" applyFont="1" applyBorder="1" applyAlignment="1">
      <alignment horizontal="right" vertical="top"/>
    </xf>
    <xf numFmtId="164" fontId="67" fillId="0" borderId="27" xfId="0" applyNumberFormat="1" applyFont="1" applyBorder="1" applyAlignment="1">
      <alignment vertical="top"/>
    </xf>
    <xf numFmtId="164" fontId="67" fillId="0" borderId="72" xfId="0" applyNumberFormat="1" applyFont="1" applyBorder="1" applyAlignment="1">
      <alignment vertical="top"/>
    </xf>
    <xf numFmtId="164" fontId="67" fillId="0" borderId="47" xfId="0" applyNumberFormat="1" applyFont="1" applyBorder="1" applyAlignment="1">
      <alignment vertical="top"/>
    </xf>
    <xf numFmtId="164" fontId="67" fillId="0" borderId="106" xfId="0" applyNumberFormat="1" applyFont="1" applyBorder="1" applyAlignment="1">
      <alignment vertical="top"/>
    </xf>
    <xf numFmtId="164" fontId="66" fillId="0" borderId="47" xfId="0" applyNumberFormat="1" applyFont="1" applyBorder="1" applyAlignment="1">
      <alignment vertical="top"/>
    </xf>
    <xf numFmtId="164" fontId="67" fillId="0" borderId="25" xfId="0" applyNumberFormat="1" applyFont="1" applyBorder="1" applyAlignment="1">
      <alignment vertical="top"/>
    </xf>
    <xf numFmtId="164" fontId="66" fillId="0" borderId="25" xfId="0" applyNumberFormat="1" applyFont="1" applyBorder="1" applyAlignment="1">
      <alignment vertical="top"/>
    </xf>
    <xf numFmtId="0" fontId="2" fillId="25" borderId="13" xfId="0" applyFont="1" applyFill="1" applyBorder="1" applyAlignment="1">
      <alignment horizontal="left" vertical="top" wrapText="1"/>
    </xf>
    <xf numFmtId="0" fontId="2" fillId="41" borderId="16" xfId="0" applyFont="1" applyFill="1" applyBorder="1" applyAlignment="1">
      <alignment horizontal="left" vertical="top"/>
    </xf>
    <xf numFmtId="167" fontId="2" fillId="24" borderId="0" xfId="0" applyNumberFormat="1" applyFont="1" applyFill="1" applyAlignment="1">
      <alignment vertical="top"/>
    </xf>
    <xf numFmtId="10" fontId="2" fillId="24" borderId="0" xfId="0" applyNumberFormat="1" applyFont="1" applyFill="1" applyAlignment="1">
      <alignment vertical="top"/>
    </xf>
    <xf numFmtId="166" fontId="2" fillId="24" borderId="0" xfId="0" applyNumberFormat="1" applyFont="1" applyFill="1" applyAlignment="1">
      <alignment vertical="top"/>
    </xf>
    <xf numFmtId="168" fontId="2" fillId="24" borderId="0" xfId="0" applyNumberFormat="1" applyFont="1" applyFill="1" applyAlignment="1">
      <alignment vertical="top"/>
    </xf>
    <xf numFmtId="0" fontId="26" fillId="39" borderId="13" xfId="0" applyFont="1" applyFill="1" applyBorder="1" applyAlignment="1">
      <alignment wrapText="1"/>
    </xf>
    <xf numFmtId="0" fontId="26" fillId="39" borderId="13" xfId="0" applyFont="1" applyFill="1" applyBorder="1"/>
    <xf numFmtId="10" fontId="2" fillId="44" borderId="13" xfId="66" applyNumberFormat="1" applyFont="1" applyFill="1" applyBorder="1" applyProtection="1"/>
    <xf numFmtId="10" fontId="2" fillId="44" borderId="70" xfId="66" applyNumberFormat="1" applyFont="1" applyFill="1" applyBorder="1" applyProtection="1"/>
    <xf numFmtId="10" fontId="2" fillId="41" borderId="13" xfId="66" applyNumberFormat="1" applyFont="1" applyFill="1" applyBorder="1" applyProtection="1"/>
    <xf numFmtId="10" fontId="2" fillId="41" borderId="70" xfId="66" applyNumberFormat="1" applyFont="1" applyFill="1" applyBorder="1" applyProtection="1"/>
    <xf numFmtId="10" fontId="2" fillId="41" borderId="91" xfId="66" applyNumberFormat="1" applyFont="1" applyFill="1" applyBorder="1" applyProtection="1"/>
    <xf numFmtId="10" fontId="2" fillId="41" borderId="71" xfId="66" applyNumberFormat="1" applyFont="1" applyFill="1" applyBorder="1" applyProtection="1"/>
    <xf numFmtId="0" fontId="2" fillId="25" borderId="26" xfId="0" applyFont="1" applyFill="1" applyBorder="1" applyAlignment="1">
      <alignment horizontal="left" vertical="top" wrapText="1"/>
    </xf>
    <xf numFmtId="0" fontId="2" fillId="25" borderId="17" xfId="0" applyFont="1" applyFill="1" applyBorder="1" applyAlignment="1">
      <alignment horizontal="left" vertical="top"/>
    </xf>
    <xf numFmtId="0" fontId="2" fillId="27" borderId="26"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2" xfId="0" applyFont="1" applyFill="1" applyBorder="1" applyAlignment="1">
      <alignment horizontal="left" vertical="top" wrapText="1"/>
    </xf>
    <xf numFmtId="0" fontId="26" fillId="39" borderId="13" xfId="0" applyFont="1" applyFill="1" applyBorder="1" applyAlignment="1">
      <alignment horizontal="left" vertical="top" wrapText="1"/>
    </xf>
    <xf numFmtId="0" fontId="34" fillId="44" borderId="0" xfId="0" applyFont="1" applyFill="1" applyAlignment="1" applyProtection="1">
      <alignment horizontal="left" vertical="top"/>
      <protection locked="0"/>
    </xf>
    <xf numFmtId="0" fontId="2" fillId="39" borderId="63" xfId="0" applyFont="1" applyFill="1" applyBorder="1" applyAlignment="1">
      <alignment vertical="top"/>
    </xf>
    <xf numFmtId="0" fontId="2" fillId="39" borderId="12" xfId="0" applyFont="1" applyFill="1" applyBorder="1" applyAlignment="1">
      <alignment vertical="top"/>
    </xf>
    <xf numFmtId="0" fontId="2" fillId="39" borderId="25" xfId="0" applyFont="1" applyFill="1" applyBorder="1" applyAlignment="1">
      <alignment vertical="top"/>
    </xf>
    <xf numFmtId="0" fontId="2" fillId="39" borderId="63" xfId="0" applyFont="1" applyFill="1" applyBorder="1" applyAlignment="1">
      <alignment horizontal="center" vertical="center"/>
    </xf>
    <xf numFmtId="0" fontId="2" fillId="39" borderId="19" xfId="0" applyFont="1" applyFill="1" applyBorder="1"/>
    <xf numFmtId="0" fontId="2" fillId="39" borderId="18" xfId="0" applyFont="1" applyFill="1" applyBorder="1" applyAlignment="1">
      <alignment vertical="top"/>
    </xf>
    <xf numFmtId="0" fontId="6" fillId="25" borderId="0" xfId="60" applyFill="1" applyBorder="1" applyAlignment="1" applyProtection="1">
      <alignment vertical="top"/>
    </xf>
    <xf numFmtId="0" fontId="6" fillId="0" borderId="0" xfId="60" applyBorder="1" applyAlignment="1" applyProtection="1">
      <alignment vertical="top"/>
    </xf>
    <xf numFmtId="0" fontId="6" fillId="25" borderId="0" xfId="60" applyFill="1" applyBorder="1" applyAlignment="1" applyProtection="1">
      <alignment vertical="top" wrapText="1"/>
    </xf>
    <xf numFmtId="0" fontId="4" fillId="25" borderId="0" xfId="60" applyFont="1" applyFill="1" applyBorder="1" applyAlignment="1" applyProtection="1">
      <alignment vertical="top"/>
    </xf>
    <xf numFmtId="0" fontId="4" fillId="0" borderId="0" xfId="0" applyFont="1" applyAlignment="1">
      <alignment vertical="top"/>
    </xf>
    <xf numFmtId="0" fontId="0" fillId="50" borderId="105" xfId="0" applyFill="1" applyBorder="1" applyAlignment="1">
      <alignment horizontal="center" vertical="center" wrapText="1"/>
    </xf>
    <xf numFmtId="0" fontId="0" fillId="50" borderId="110" xfId="0" applyFill="1" applyBorder="1" applyAlignment="1">
      <alignment horizontal="center" vertical="center" wrapText="1"/>
    </xf>
    <xf numFmtId="0" fontId="0" fillId="50" borderId="117" xfId="0" applyFill="1" applyBorder="1" applyAlignment="1">
      <alignment horizontal="center" vertical="center" wrapText="1"/>
    </xf>
    <xf numFmtId="0" fontId="36" fillId="50" borderId="69" xfId="60" applyFont="1" applyFill="1" applyBorder="1" applyAlignment="1" applyProtection="1">
      <alignment horizontal="center" vertical="top" wrapText="1"/>
    </xf>
    <xf numFmtId="0" fontId="0" fillId="50" borderId="68" xfId="0" applyFill="1" applyBorder="1" applyAlignment="1">
      <alignment horizontal="center" vertical="top" wrapText="1"/>
    </xf>
    <xf numFmtId="0" fontId="0" fillId="50" borderId="0" xfId="0" applyFill="1" applyAlignment="1">
      <alignment horizontal="center" vertical="top" wrapText="1"/>
    </xf>
    <xf numFmtId="0" fontId="36" fillId="50" borderId="58" xfId="60" applyFont="1" applyFill="1" applyBorder="1" applyAlignment="1" applyProtection="1">
      <alignment horizontal="center" vertical="top" wrapText="1"/>
    </xf>
    <xf numFmtId="0" fontId="36" fillId="50" borderId="29" xfId="60" applyFont="1" applyFill="1" applyBorder="1" applyAlignment="1" applyProtection="1">
      <alignment horizontal="center" vertical="top" wrapText="1"/>
    </xf>
    <xf numFmtId="0" fontId="36" fillId="50" borderId="31" xfId="60" applyFont="1" applyFill="1" applyBorder="1" applyAlignment="1" applyProtection="1">
      <alignment horizontal="center" vertical="top" wrapText="1"/>
    </xf>
    <xf numFmtId="0" fontId="36" fillId="50" borderId="68" xfId="60" applyFont="1" applyFill="1" applyBorder="1" applyAlignment="1" applyProtection="1">
      <alignment horizontal="center" vertical="top" wrapText="1"/>
    </xf>
    <xf numFmtId="0" fontId="36" fillId="50" borderId="0" xfId="60" applyFont="1" applyFill="1" applyBorder="1" applyAlignment="1" applyProtection="1">
      <alignment horizontal="center" vertical="top" wrapText="1"/>
    </xf>
    <xf numFmtId="0" fontId="36" fillId="50" borderId="39" xfId="60" applyFont="1" applyFill="1" applyBorder="1" applyAlignment="1" applyProtection="1">
      <alignment horizontal="center" vertical="top" wrapText="1"/>
    </xf>
    <xf numFmtId="0" fontId="0" fillId="25" borderId="0" xfId="0" applyFill="1" applyAlignment="1">
      <alignment horizontal="center" vertical="top" wrapText="1"/>
    </xf>
    <xf numFmtId="0" fontId="0" fillId="0" borderId="0" xfId="0" applyAlignment="1">
      <alignment vertical="top" wrapText="1"/>
    </xf>
    <xf numFmtId="0" fontId="0" fillId="0" borderId="0" xfId="0" applyAlignment="1">
      <alignment vertical="top"/>
    </xf>
    <xf numFmtId="0" fontId="6" fillId="25" borderId="0" xfId="60" applyFill="1" applyBorder="1" applyAlignment="1" applyProtection="1">
      <alignment horizontal="left" vertical="top"/>
    </xf>
    <xf numFmtId="0" fontId="6" fillId="0" borderId="0" xfId="60" applyBorder="1" applyAlignment="1" applyProtection="1">
      <alignment horizontal="left" vertical="top"/>
    </xf>
    <xf numFmtId="0" fontId="0" fillId="50" borderId="58" xfId="0" applyFill="1" applyBorder="1" applyAlignment="1">
      <alignment horizontal="center" vertical="top" wrapText="1"/>
    </xf>
    <xf numFmtId="0" fontId="0" fillId="50" borderId="29" xfId="0" applyFill="1" applyBorder="1" applyAlignment="1">
      <alignment horizontal="center" vertical="top" wrapText="1"/>
    </xf>
    <xf numFmtId="0" fontId="6" fillId="0" borderId="0" xfId="60" applyAlignment="1" applyProtection="1">
      <alignment vertical="top"/>
    </xf>
    <xf numFmtId="0" fontId="74" fillId="42" borderId="0" xfId="0" applyFont="1" applyFill="1" applyAlignment="1">
      <alignment horizontal="center" vertical="center"/>
    </xf>
    <xf numFmtId="0" fontId="4" fillId="25" borderId="0" xfId="0" applyFont="1" applyFill="1" applyAlignment="1">
      <alignment vertical="top" wrapText="1"/>
    </xf>
    <xf numFmtId="0" fontId="2" fillId="25" borderId="0" xfId="0" applyFont="1" applyFill="1" applyAlignment="1">
      <alignment vertical="top" wrapText="1"/>
    </xf>
    <xf numFmtId="0" fontId="4" fillId="25" borderId="0" xfId="60" applyFont="1" applyFill="1" applyBorder="1" applyAlignment="1" applyProtection="1">
      <alignment vertical="top" wrapText="1"/>
    </xf>
    <xf numFmtId="0" fontId="4" fillId="0" borderId="0" xfId="0" applyFont="1" applyAlignment="1">
      <alignment vertical="top" wrapText="1"/>
    </xf>
    <xf numFmtId="0" fontId="67" fillId="0" borderId="0" xfId="0" applyFont="1" applyAlignment="1">
      <alignment horizontal="left" vertical="top" wrapText="1"/>
    </xf>
    <xf numFmtId="0" fontId="76" fillId="0" borderId="0" xfId="0" applyFont="1" applyAlignment="1">
      <alignment horizontal="left" vertical="top" wrapText="1"/>
    </xf>
    <xf numFmtId="0" fontId="2" fillId="25" borderId="0" xfId="0" applyFont="1" applyFill="1" applyAlignment="1">
      <alignment horizontal="left" vertical="top" wrapText="1"/>
    </xf>
    <xf numFmtId="0" fontId="6" fillId="25" borderId="0" xfId="60" applyFill="1" applyAlignment="1" applyProtection="1">
      <alignment horizontal="left" vertical="top" wrapText="1"/>
    </xf>
    <xf numFmtId="0" fontId="6" fillId="25" borderId="0" xfId="60" applyFill="1" applyAlignment="1" applyProtection="1">
      <alignment horizontal="left"/>
    </xf>
    <xf numFmtId="0" fontId="2" fillId="25" borderId="0" xfId="0" applyFont="1" applyFill="1" applyAlignment="1">
      <alignment horizontal="left"/>
    </xf>
    <xf numFmtId="0" fontId="3" fillId="26" borderId="0" xfId="0" applyFont="1" applyFill="1" applyAlignment="1">
      <alignment vertical="top" wrapText="1"/>
    </xf>
    <xf numFmtId="0" fontId="2" fillId="0" borderId="0" xfId="0" applyFont="1" applyAlignment="1">
      <alignment vertical="top" wrapText="1"/>
    </xf>
    <xf numFmtId="0" fontId="29" fillId="25" borderId="0" xfId="0" applyFont="1" applyFill="1" applyAlignment="1">
      <alignment vertical="top" wrapText="1"/>
    </xf>
    <xf numFmtId="0" fontId="2" fillId="51" borderId="0" xfId="0" applyFont="1" applyFill="1" applyAlignment="1">
      <alignment horizontal="left" vertical="top" wrapText="1"/>
    </xf>
    <xf numFmtId="0" fontId="2" fillId="25" borderId="0" xfId="0" applyFont="1" applyFill="1" applyAlignment="1">
      <alignment horizontal="center"/>
    </xf>
    <xf numFmtId="0" fontId="6" fillId="35" borderId="0" xfId="60" applyFill="1" applyAlignment="1" applyProtection="1">
      <alignment vertical="top"/>
    </xf>
    <xf numFmtId="0" fontId="2" fillId="50" borderId="105" xfId="0" applyFont="1" applyFill="1" applyBorder="1" applyAlignment="1">
      <alignment horizontal="center" vertical="center" wrapText="1"/>
    </xf>
    <xf numFmtId="0" fontId="2" fillId="50" borderId="110" xfId="0" applyFont="1" applyFill="1" applyBorder="1" applyAlignment="1">
      <alignment horizontal="center" vertical="center" wrapText="1"/>
    </xf>
    <xf numFmtId="0" fontId="2" fillId="50" borderId="117" xfId="0" applyFont="1" applyFill="1" applyBorder="1" applyAlignment="1">
      <alignment horizontal="center" vertical="center" wrapText="1"/>
    </xf>
    <xf numFmtId="0" fontId="2" fillId="50" borderId="29" xfId="0" applyFont="1" applyFill="1" applyBorder="1" applyAlignment="1">
      <alignment horizontal="center" vertical="top" wrapText="1"/>
    </xf>
    <xf numFmtId="0" fontId="2" fillId="50" borderId="68" xfId="0" applyFont="1" applyFill="1" applyBorder="1" applyAlignment="1">
      <alignment horizontal="center" vertical="top" wrapText="1"/>
    </xf>
    <xf numFmtId="0" fontId="2" fillId="50" borderId="0" xfId="0" applyFont="1" applyFill="1" applyAlignment="1">
      <alignment horizontal="center" vertical="top" wrapText="1"/>
    </xf>
    <xf numFmtId="0" fontId="2" fillId="50" borderId="58" xfId="0" applyFont="1" applyFill="1" applyBorder="1" applyAlignment="1">
      <alignment horizontal="center" vertical="top" wrapText="1"/>
    </xf>
    <xf numFmtId="0" fontId="2" fillId="29" borderId="70" xfId="0" applyFont="1" applyFill="1" applyBorder="1" applyAlignment="1">
      <alignment vertical="top" wrapText="1"/>
    </xf>
    <xf numFmtId="0" fontId="2" fillId="0" borderId="27" xfId="0" applyFont="1" applyBorder="1" applyAlignment="1">
      <alignment vertical="top" wrapText="1"/>
    </xf>
    <xf numFmtId="164" fontId="2" fillId="44" borderId="70" xfId="0" applyNumberFormat="1" applyFont="1" applyFill="1" applyBorder="1" applyAlignment="1">
      <alignment vertical="top" wrapText="1"/>
    </xf>
    <xf numFmtId="0" fontId="2" fillId="44" borderId="27" xfId="0" applyFont="1" applyFill="1" applyBorder="1" applyAlignment="1">
      <alignment vertical="top" wrapText="1"/>
    </xf>
    <xf numFmtId="0" fontId="66" fillId="0" borderId="0" xfId="0" applyFont="1" applyAlignment="1">
      <alignment vertical="top" wrapText="1"/>
    </xf>
    <xf numFmtId="0" fontId="67" fillId="0" borderId="0" xfId="0" applyFont="1" applyAlignment="1">
      <alignment vertical="top" wrapText="1"/>
    </xf>
    <xf numFmtId="0" fontId="46" fillId="25" borderId="0" xfId="0" applyFont="1" applyFill="1" applyAlignment="1">
      <alignment horizontal="left" vertical="top" wrapText="1"/>
    </xf>
    <xf numFmtId="0" fontId="2" fillId="0" borderId="0" xfId="0" applyFont="1" applyAlignment="1">
      <alignment horizontal="left" vertical="top" wrapText="1"/>
    </xf>
    <xf numFmtId="0" fontId="6" fillId="0" borderId="0" xfId="60" applyNumberFormat="1" applyFill="1" applyAlignment="1" applyProtection="1">
      <alignment horizontal="left" vertical="top" wrapText="1"/>
    </xf>
    <xf numFmtId="0" fontId="6" fillId="0" borderId="0" xfId="60" applyFill="1" applyAlignment="1" applyProtection="1">
      <alignment horizontal="left" vertical="top" wrapText="1"/>
    </xf>
    <xf numFmtId="0" fontId="6" fillId="25" borderId="0" xfId="60" applyFill="1" applyAlignment="1" applyProtection="1">
      <alignment horizontal="left" vertical="top"/>
    </xf>
    <xf numFmtId="0" fontId="6" fillId="0" borderId="0" xfId="60" applyAlignment="1" applyProtection="1">
      <alignment horizontal="left" vertical="top"/>
    </xf>
    <xf numFmtId="0" fontId="2" fillId="37" borderId="70" xfId="0" applyFont="1" applyFill="1" applyBorder="1" applyAlignment="1">
      <alignment vertical="top" wrapText="1"/>
    </xf>
    <xf numFmtId="0" fontId="46" fillId="25" borderId="70" xfId="0" applyFont="1" applyFill="1" applyBorder="1" applyAlignment="1">
      <alignment horizontal="left" vertical="top" wrapText="1"/>
    </xf>
    <xf numFmtId="0" fontId="2" fillId="0" borderId="26" xfId="0" applyFont="1" applyBorder="1" applyAlignment="1">
      <alignment horizontal="left" vertical="top" wrapText="1"/>
    </xf>
    <xf numFmtId="164" fontId="2" fillId="25" borderId="22" xfId="0" applyNumberFormat="1" applyFont="1" applyFill="1" applyBorder="1" applyAlignment="1">
      <alignment horizontal="center" vertical="top"/>
    </xf>
    <xf numFmtId="0" fontId="2" fillId="50" borderId="70" xfId="0" applyFont="1" applyFill="1" applyBorder="1" applyAlignment="1">
      <alignment vertical="top" wrapText="1"/>
    </xf>
    <xf numFmtId="0" fontId="2" fillId="50" borderId="27" xfId="0" applyFont="1" applyFill="1" applyBorder="1" applyAlignment="1">
      <alignment vertical="top" wrapText="1"/>
    </xf>
    <xf numFmtId="0" fontId="53" fillId="25" borderId="0" xfId="0" applyFont="1" applyFill="1" applyAlignment="1">
      <alignment vertical="top" wrapText="1"/>
    </xf>
    <xf numFmtId="0" fontId="8" fillId="25" borderId="0" xfId="0" applyFont="1" applyFill="1" applyAlignment="1">
      <alignment vertical="top" wrapText="1"/>
    </xf>
    <xf numFmtId="0" fontId="4" fillId="25" borderId="0" xfId="0" applyFont="1" applyFill="1" applyAlignment="1">
      <alignment horizontal="left" vertical="top" wrapText="1"/>
    </xf>
    <xf numFmtId="0" fontId="52" fillId="25" borderId="0" xfId="0" applyFont="1" applyFill="1" applyAlignment="1">
      <alignment vertical="top" wrapText="1"/>
    </xf>
    <xf numFmtId="0" fontId="60" fillId="24" borderId="0" xfId="0" applyFont="1" applyFill="1" applyAlignment="1">
      <alignment horizontal="left" vertical="top" wrapText="1"/>
    </xf>
    <xf numFmtId="0" fontId="62" fillId="25" borderId="12" xfId="0" applyFont="1" applyFill="1" applyBorder="1" applyAlignment="1">
      <alignment vertical="top" wrapText="1"/>
    </xf>
    <xf numFmtId="0" fontId="2" fillId="0" borderId="12" xfId="0" applyFont="1" applyBorder="1" applyAlignment="1">
      <alignment vertical="top" wrapText="1"/>
    </xf>
    <xf numFmtId="0" fontId="46" fillId="25" borderId="0" xfId="0" quotePrefix="1" applyFont="1" applyFill="1" applyAlignment="1">
      <alignment horizontal="left"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37" fillId="25" borderId="0" xfId="0" applyFont="1" applyFill="1" applyAlignment="1">
      <alignment horizontal="left" vertical="top" wrapText="1"/>
    </xf>
    <xf numFmtId="0" fontId="37" fillId="0" borderId="0" xfId="0" applyFont="1" applyAlignment="1">
      <alignment horizontal="left" vertical="top" wrapText="1"/>
    </xf>
    <xf numFmtId="0" fontId="67" fillId="25" borderId="0" xfId="0" applyFont="1" applyFill="1" applyAlignment="1">
      <alignment horizontal="left" vertical="top" wrapText="1"/>
    </xf>
    <xf numFmtId="0" fontId="52" fillId="25" borderId="19" xfId="0" applyFont="1" applyFill="1" applyBorder="1" applyAlignment="1">
      <alignment vertical="top" wrapText="1"/>
    </xf>
    <xf numFmtId="0" fontId="67" fillId="25" borderId="0" xfId="0" applyFont="1" applyFill="1" applyAlignment="1">
      <alignment vertical="top" wrapText="1"/>
    </xf>
    <xf numFmtId="164" fontId="2" fillId="27" borderId="70" xfId="0" applyNumberFormat="1" applyFont="1" applyFill="1" applyBorder="1" applyAlignment="1">
      <alignment vertical="top" wrapText="1"/>
    </xf>
    <xf numFmtId="0" fontId="62" fillId="25" borderId="0" xfId="0" applyFont="1" applyFill="1" applyAlignment="1">
      <alignment vertical="top" wrapText="1"/>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0" fontId="4" fillId="42" borderId="70" xfId="0" applyFont="1" applyFill="1" applyBorder="1" applyAlignment="1" applyProtection="1">
      <alignment horizontal="left" vertical="top"/>
      <protection locked="0"/>
    </xf>
    <xf numFmtId="0" fontId="4" fillId="42" borderId="27" xfId="0" applyFont="1" applyFill="1" applyBorder="1" applyAlignment="1" applyProtection="1">
      <alignment horizontal="left" vertical="top"/>
      <protection locked="0"/>
    </xf>
    <xf numFmtId="0" fontId="4" fillId="25" borderId="0" xfId="0" quotePrefix="1" applyFont="1" applyFill="1" applyAlignment="1">
      <alignment horizontal="left" vertical="top" wrapText="1"/>
    </xf>
    <xf numFmtId="0" fontId="62" fillId="25" borderId="0" xfId="0" applyFont="1" applyFill="1" applyAlignment="1">
      <alignment horizontal="left" vertical="center" wrapText="1"/>
    </xf>
    <xf numFmtId="0" fontId="2" fillId="0" borderId="0" xfId="0" applyFont="1" applyAlignment="1">
      <alignment horizontal="left" vertical="center" wrapText="1"/>
    </xf>
    <xf numFmtId="0" fontId="4" fillId="29" borderId="70" xfId="0" applyFont="1" applyFill="1" applyBorder="1" applyAlignment="1" applyProtection="1">
      <alignment horizontal="left" vertical="top"/>
      <protection locked="0"/>
    </xf>
    <xf numFmtId="0" fontId="4" fillId="29" borderId="27" xfId="0" applyFont="1" applyFill="1" applyBorder="1" applyAlignment="1" applyProtection="1">
      <alignment horizontal="left" vertical="top"/>
      <protection locked="0"/>
    </xf>
    <xf numFmtId="0" fontId="2" fillId="25" borderId="18" xfId="0" applyFont="1" applyFill="1" applyBorder="1" applyAlignment="1">
      <alignment horizontal="left" vertical="top" wrapText="1"/>
    </xf>
    <xf numFmtId="0" fontId="32" fillId="25" borderId="0" xfId="0" applyFont="1" applyFill="1" applyAlignment="1">
      <alignment vertical="top" wrapText="1"/>
    </xf>
    <xf numFmtId="0" fontId="37" fillId="40" borderId="70" xfId="0" applyFont="1" applyFill="1" applyBorder="1" applyAlignment="1">
      <alignment vertical="top" wrapText="1"/>
    </xf>
    <xf numFmtId="0" fontId="37" fillId="40" borderId="26" xfId="0" applyFont="1" applyFill="1" applyBorder="1" applyAlignment="1">
      <alignment vertical="top" wrapText="1"/>
    </xf>
    <xf numFmtId="0" fontId="37" fillId="40" borderId="27" xfId="0" applyFont="1" applyFill="1" applyBorder="1" applyAlignment="1">
      <alignment vertical="top" wrapText="1"/>
    </xf>
    <xf numFmtId="0" fontId="4" fillId="0" borderId="0" xfId="0" applyFont="1" applyAlignment="1">
      <alignment horizontal="left" vertical="top"/>
    </xf>
    <xf numFmtId="0" fontId="66" fillId="25" borderId="0" xfId="0" quotePrefix="1" applyFont="1" applyFill="1" applyAlignment="1">
      <alignment vertical="top" wrapText="1"/>
    </xf>
    <xf numFmtId="0" fontId="66" fillId="25" borderId="0" xfId="0" applyFont="1" applyFill="1" applyAlignment="1">
      <alignment vertical="top" wrapText="1"/>
    </xf>
    <xf numFmtId="0" fontId="75" fillId="25" borderId="0" xfId="0" applyFont="1" applyFill="1" applyAlignment="1">
      <alignment vertical="top" wrapText="1"/>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4" xfId="0" applyFont="1" applyFill="1" applyBorder="1" applyAlignment="1">
      <alignment vertical="top" wrapText="1"/>
    </xf>
    <xf numFmtId="0" fontId="2" fillId="0" borderId="14" xfId="0" applyFont="1" applyBorder="1" applyAlignment="1">
      <alignment vertical="top" wrapText="1"/>
    </xf>
    <xf numFmtId="0" fontId="2" fillId="0" borderId="20" xfId="0" applyFont="1" applyBorder="1" applyAlignment="1">
      <alignment vertical="top" wrapText="1"/>
    </xf>
    <xf numFmtId="0" fontId="2" fillId="25" borderId="15" xfId="0" applyFont="1" applyFill="1" applyBorder="1" applyAlignment="1">
      <alignment vertical="top" wrapText="1"/>
    </xf>
    <xf numFmtId="0" fontId="2" fillId="0" borderId="15" xfId="0" applyFont="1" applyBorder="1" applyAlignment="1">
      <alignment vertical="top" wrapText="1"/>
    </xf>
    <xf numFmtId="0" fontId="2" fillId="0" borderId="21" xfId="0" applyFont="1" applyBorder="1" applyAlignment="1">
      <alignment vertical="top" wrapText="1"/>
    </xf>
    <xf numFmtId="0" fontId="2" fillId="25" borderId="16" xfId="0" applyFont="1" applyFill="1" applyBorder="1" applyAlignment="1">
      <alignment vertical="top" wrapText="1"/>
    </xf>
    <xf numFmtId="0" fontId="2" fillId="0" borderId="16" xfId="0" applyFont="1" applyBorder="1" applyAlignment="1">
      <alignment vertical="top" wrapText="1"/>
    </xf>
    <xf numFmtId="0" fontId="2" fillId="0" borderId="24" xfId="0" applyFont="1" applyBorder="1" applyAlignment="1">
      <alignment vertical="top" wrapText="1"/>
    </xf>
    <xf numFmtId="49" fontId="2" fillId="44" borderId="101" xfId="0" applyNumberFormat="1" applyFont="1" applyFill="1" applyBorder="1" applyAlignment="1" applyProtection="1">
      <alignment horizontal="left" vertical="top"/>
      <protection locked="0"/>
    </xf>
    <xf numFmtId="49" fontId="2" fillId="44" borderId="14" xfId="0" applyNumberFormat="1" applyFont="1" applyFill="1" applyBorder="1" applyAlignment="1" applyProtection="1">
      <alignment horizontal="left" vertical="top"/>
      <protection locked="0"/>
    </xf>
    <xf numFmtId="0" fontId="4" fillId="25" borderId="12" xfId="0" applyFont="1" applyFill="1" applyBorder="1" applyAlignment="1">
      <alignment vertical="top" wrapText="1"/>
    </xf>
    <xf numFmtId="0" fontId="2" fillId="0" borderId="18" xfId="0" applyFont="1" applyBorder="1" applyAlignment="1">
      <alignment vertical="top" wrapText="1"/>
    </xf>
    <xf numFmtId="0" fontId="67" fillId="0" borderId="0" xfId="0" applyFont="1" applyAlignment="1">
      <alignment horizontal="left" vertical="top"/>
    </xf>
    <xf numFmtId="49" fontId="2" fillId="44" borderId="99" xfId="0" applyNumberFormat="1" applyFont="1" applyFill="1" applyBorder="1" applyAlignment="1" applyProtection="1">
      <alignment horizontal="left" vertical="top"/>
      <protection locked="0"/>
    </xf>
    <xf numFmtId="49" fontId="2" fillId="44" borderId="16" xfId="0" applyNumberFormat="1" applyFont="1" applyFill="1" applyBorder="1" applyAlignment="1" applyProtection="1">
      <alignment horizontal="left" vertical="top"/>
      <protection locked="0"/>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49" fontId="6" fillId="29" borderId="100" xfId="60" applyNumberFormat="1" applyFill="1" applyBorder="1" applyAlignment="1" applyProtection="1">
      <alignment horizontal="left" vertical="top"/>
      <protection locked="0"/>
    </xf>
    <xf numFmtId="0" fontId="2" fillId="29" borderId="100" xfId="0" applyFont="1" applyFill="1" applyBorder="1" applyAlignment="1" applyProtection="1">
      <alignment vertical="top"/>
      <protection locked="0"/>
    </xf>
    <xf numFmtId="0" fontId="2" fillId="29" borderId="15" xfId="0" applyFont="1" applyFill="1" applyBorder="1" applyAlignment="1" applyProtection="1">
      <alignment vertical="top"/>
      <protection locked="0"/>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62" fillId="25" borderId="0" xfId="0" quotePrefix="1" applyFont="1" applyFill="1" applyAlignment="1">
      <alignment vertical="top" wrapText="1"/>
    </xf>
    <xf numFmtId="0" fontId="75" fillId="25" borderId="0" xfId="0" applyFont="1" applyFill="1" applyAlignment="1">
      <alignment horizontal="left" vertical="top" wrapText="1"/>
    </xf>
    <xf numFmtId="0" fontId="67" fillId="0" borderId="0" xfId="0" applyFont="1" applyAlignment="1">
      <alignment wrapText="1"/>
    </xf>
    <xf numFmtId="0" fontId="36" fillId="50" borderId="117" xfId="60" applyFont="1" applyFill="1" applyBorder="1" applyAlignment="1" applyProtection="1">
      <alignment horizontal="center" vertical="top" wrapText="1"/>
    </xf>
    <xf numFmtId="0" fontId="6" fillId="50" borderId="134" xfId="60" applyFill="1" applyBorder="1" applyAlignment="1" applyProtection="1">
      <alignment horizontal="center" vertical="top" wrapText="1"/>
    </xf>
    <xf numFmtId="0" fontId="6" fillId="50" borderId="130" xfId="60" applyFill="1" applyBorder="1" applyAlignment="1" applyProtection="1">
      <alignment horizontal="center" vertical="top" wrapText="1"/>
    </xf>
    <xf numFmtId="0" fontId="6" fillId="50" borderId="131" xfId="60" applyFill="1" applyBorder="1" applyAlignment="1" applyProtection="1">
      <alignment horizontal="center" vertical="top" wrapText="1"/>
    </xf>
    <xf numFmtId="0" fontId="6" fillId="50" borderId="132" xfId="60" applyFill="1" applyBorder="1" applyAlignment="1" applyProtection="1">
      <alignment horizontal="center" vertical="top" wrapText="1"/>
    </xf>
    <xf numFmtId="0" fontId="6" fillId="50" borderId="133" xfId="60" applyFill="1" applyBorder="1" applyAlignment="1" applyProtection="1">
      <alignment horizontal="center" vertical="top" wrapText="1"/>
    </xf>
    <xf numFmtId="0" fontId="4" fillId="50" borderId="58" xfId="0" applyFont="1" applyFill="1" applyBorder="1" applyAlignment="1">
      <alignment horizontal="center" vertical="center" wrapText="1"/>
    </xf>
    <xf numFmtId="0" fontId="2" fillId="50" borderId="29" xfId="0" applyFont="1" applyFill="1" applyBorder="1" applyAlignment="1">
      <alignment horizontal="center" vertical="center" wrapText="1"/>
    </xf>
    <xf numFmtId="0" fontId="2" fillId="50" borderId="31" xfId="0" applyFont="1" applyFill="1" applyBorder="1" applyAlignment="1">
      <alignment horizontal="center" vertical="center" wrapText="1"/>
    </xf>
    <xf numFmtId="0" fontId="2" fillId="50" borderId="68" xfId="0" applyFont="1" applyFill="1" applyBorder="1" applyAlignment="1">
      <alignment horizontal="center" vertical="center" wrapText="1"/>
    </xf>
    <xf numFmtId="0" fontId="2" fillId="50" borderId="0" xfId="0" applyFont="1" applyFill="1" applyAlignment="1">
      <alignment horizontal="center" vertical="center" wrapText="1"/>
    </xf>
    <xf numFmtId="0" fontId="2" fillId="50" borderId="39" xfId="0" applyFont="1" applyFill="1" applyBorder="1" applyAlignment="1">
      <alignment horizontal="center" vertical="center" wrapText="1"/>
    </xf>
    <xf numFmtId="0" fontId="2" fillId="50" borderId="67" xfId="0" applyFont="1" applyFill="1" applyBorder="1" applyAlignment="1">
      <alignment horizontal="center" vertical="center" wrapText="1"/>
    </xf>
    <xf numFmtId="0" fontId="2" fillId="50" borderId="40" xfId="0" applyFont="1" applyFill="1" applyBorder="1" applyAlignment="1">
      <alignment horizontal="center" vertical="center" wrapText="1"/>
    </xf>
    <xf numFmtId="0" fontId="2" fillId="50" borderId="41" xfId="0" applyFont="1" applyFill="1" applyBorder="1" applyAlignment="1">
      <alignment horizontal="center" vertical="center" wrapText="1"/>
    </xf>
    <xf numFmtId="0" fontId="36" fillId="50" borderId="86" xfId="60" applyFont="1" applyFill="1" applyBorder="1" applyAlignment="1" applyProtection="1">
      <alignment horizontal="center" vertical="top" wrapText="1"/>
    </xf>
    <xf numFmtId="0" fontId="6" fillId="50" borderId="87" xfId="60" applyFill="1" applyBorder="1" applyAlignment="1" applyProtection="1">
      <alignment horizontal="center" vertical="top" wrapText="1"/>
    </xf>
    <xf numFmtId="0" fontId="37" fillId="27" borderId="70" xfId="0" applyFont="1" applyFill="1" applyBorder="1" applyAlignment="1">
      <alignment vertical="top" wrapText="1"/>
    </xf>
    <xf numFmtId="0" fontId="37" fillId="0" borderId="26" xfId="0" applyFont="1" applyBorder="1" applyAlignment="1">
      <alignment vertical="top" wrapText="1"/>
    </xf>
    <xf numFmtId="0" fontId="37" fillId="0" borderId="27" xfId="0" applyFont="1" applyBorder="1" applyAlignment="1">
      <alignment vertical="top" wrapText="1"/>
    </xf>
    <xf numFmtId="49" fontId="2" fillId="42" borderId="100" xfId="0" applyNumberFormat="1" applyFont="1" applyFill="1" applyBorder="1" applyAlignment="1" applyProtection="1">
      <alignment horizontal="left" vertical="top"/>
      <protection locked="0"/>
    </xf>
    <xf numFmtId="49" fontId="2"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2" fillId="42" borderId="100" xfId="0" applyFont="1" applyFill="1" applyBorder="1" applyAlignment="1" applyProtection="1">
      <alignment horizontal="left" vertical="top"/>
      <protection locked="0"/>
    </xf>
    <xf numFmtId="0" fontId="2" fillId="42" borderId="21" xfId="0" applyFont="1" applyFill="1" applyBorder="1" applyAlignment="1" applyProtection="1">
      <alignment horizontal="left" vertical="top"/>
      <protection locked="0"/>
    </xf>
    <xf numFmtId="0" fontId="2" fillId="25" borderId="101" xfId="0" applyFont="1" applyFill="1" applyBorder="1" applyAlignment="1">
      <alignment horizontal="left" wrapText="1"/>
    </xf>
    <xf numFmtId="0" fontId="2" fillId="0" borderId="14" xfId="0" applyFont="1" applyBorder="1" applyAlignment="1">
      <alignment horizontal="left" wrapText="1"/>
    </xf>
    <xf numFmtId="0" fontId="2" fillId="0" borderId="20" xfId="0" applyFont="1" applyBorder="1" applyAlignment="1">
      <alignment horizontal="left" wrapText="1"/>
    </xf>
    <xf numFmtId="0" fontId="2" fillId="29" borderId="100" xfId="0" applyFont="1" applyFill="1" applyBorder="1" applyAlignment="1" applyProtection="1">
      <alignment horizontal="left" wrapText="1"/>
      <protection locked="0"/>
    </xf>
    <xf numFmtId="0" fontId="2" fillId="0" borderId="15" xfId="0" applyFont="1" applyBorder="1" applyAlignment="1" applyProtection="1">
      <alignment horizontal="left" wrapText="1"/>
      <protection locked="0"/>
    </xf>
    <xf numFmtId="0" fontId="2" fillId="0" borderId="21" xfId="0" applyFont="1" applyBorder="1" applyAlignment="1" applyProtection="1">
      <alignment horizontal="left" wrapText="1"/>
      <protection locked="0"/>
    </xf>
    <xf numFmtId="0" fontId="2" fillId="25" borderId="100" xfId="0" applyFont="1" applyFill="1" applyBorder="1" applyAlignment="1">
      <alignment horizontal="left" wrapText="1"/>
    </xf>
    <xf numFmtId="0" fontId="2" fillId="0" borderId="15" xfId="0" applyFont="1" applyBorder="1" applyAlignment="1">
      <alignment horizontal="left" wrapText="1"/>
    </xf>
    <xf numFmtId="0" fontId="2" fillId="0" borderId="21" xfId="0" applyFont="1" applyBorder="1" applyAlignment="1">
      <alignment horizontal="left" wrapText="1"/>
    </xf>
    <xf numFmtId="0" fontId="4" fillId="25" borderId="63" xfId="0" applyFont="1" applyFill="1" applyBorder="1" applyAlignment="1">
      <alignment horizontal="left" wrapText="1"/>
    </xf>
    <xf numFmtId="0" fontId="4" fillId="25" borderId="12" xfId="0" applyFont="1" applyFill="1" applyBorder="1" applyAlignment="1">
      <alignment horizontal="left" wrapText="1"/>
    </xf>
    <xf numFmtId="0" fontId="4" fillId="25" borderId="25" xfId="0" applyFont="1" applyFill="1" applyBorder="1" applyAlignment="1">
      <alignment horizontal="left" wrapText="1"/>
    </xf>
    <xf numFmtId="0" fontId="62" fillId="25" borderId="0" xfId="0" applyFont="1" applyFill="1" applyAlignment="1">
      <alignment horizontal="left" vertical="top" wrapText="1"/>
    </xf>
    <xf numFmtId="0" fontId="65" fillId="25" borderId="0" xfId="0" applyFont="1" applyFill="1" applyAlignment="1">
      <alignment vertical="top" wrapText="1"/>
    </xf>
    <xf numFmtId="0" fontId="2" fillId="0" borderId="0" xfId="0" applyFont="1" applyAlignment="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2" fillId="42" borderId="99" xfId="0" applyFont="1" applyFill="1" applyBorder="1" applyAlignment="1" applyProtection="1">
      <alignment horizontal="left" vertical="top"/>
      <protection locked="0"/>
    </xf>
    <xf numFmtId="0" fontId="2" fillId="42" borderId="16" xfId="0" applyFont="1" applyFill="1" applyBorder="1" applyAlignment="1" applyProtection="1">
      <alignment horizontal="left" vertical="top"/>
      <protection locked="0"/>
    </xf>
    <xf numFmtId="0" fontId="2" fillId="42" borderId="24" xfId="0" applyFont="1" applyFill="1" applyBorder="1" applyAlignment="1" applyProtection="1">
      <alignment horizontal="left" vertical="top"/>
      <protection locked="0"/>
    </xf>
    <xf numFmtId="0" fontId="2" fillId="42" borderId="101" xfId="0" applyFont="1" applyFill="1" applyBorder="1" applyAlignment="1" applyProtection="1">
      <alignment horizontal="left" vertical="top"/>
      <protection locked="0"/>
    </xf>
    <xf numFmtId="0" fontId="2" fillId="42" borderId="20" xfId="0" applyFont="1" applyFill="1" applyBorder="1" applyAlignment="1" applyProtection="1">
      <alignment horizontal="left" vertical="top"/>
      <protection locked="0"/>
    </xf>
    <xf numFmtId="0" fontId="2" fillId="42" borderId="14" xfId="0" applyFont="1" applyFill="1" applyBorder="1" applyAlignment="1" applyProtection="1">
      <alignment horizontal="left" vertical="top"/>
      <protection locked="0"/>
    </xf>
    <xf numFmtId="0" fontId="2" fillId="42" borderId="15" xfId="0"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49" fontId="2" fillId="42" borderId="16" xfId="0" applyNumberFormat="1" applyFont="1" applyFill="1" applyBorder="1" applyAlignment="1" applyProtection="1">
      <alignment horizontal="left" vertical="top"/>
      <protection locked="0"/>
    </xf>
    <xf numFmtId="0" fontId="4" fillId="0" borderId="63" xfId="0" applyFont="1" applyBorder="1" applyAlignment="1">
      <alignment wrapText="1"/>
    </xf>
    <xf numFmtId="0" fontId="2" fillId="0" borderId="12" xfId="0" applyFont="1" applyBorder="1" applyAlignment="1">
      <alignment wrapText="1"/>
    </xf>
    <xf numFmtId="0" fontId="2" fillId="0" borderId="25" xfId="0" applyFont="1" applyBorder="1" applyAlignment="1">
      <alignment wrapText="1"/>
    </xf>
    <xf numFmtId="0" fontId="2" fillId="0" borderId="21" xfId="0" applyFont="1" applyBorder="1" applyAlignment="1" applyProtection="1">
      <alignment horizontal="left" vertical="top"/>
      <protection locked="0"/>
    </xf>
    <xf numFmtId="0" fontId="2" fillId="0" borderId="15" xfId="0" applyFont="1" applyBorder="1" applyAlignment="1" applyProtection="1">
      <alignment vertical="top"/>
      <protection locked="0"/>
    </xf>
    <xf numFmtId="0" fontId="65" fillId="25" borderId="0" xfId="0" applyFont="1" applyFill="1" applyAlignment="1">
      <alignment horizontal="left" vertical="top" wrapText="1"/>
    </xf>
    <xf numFmtId="0" fontId="37" fillId="27" borderId="100" xfId="0" applyFont="1" applyFill="1" applyBorder="1" applyAlignment="1">
      <alignment horizontal="left" vertical="top" wrapText="1"/>
    </xf>
    <xf numFmtId="0" fontId="2" fillId="0" borderId="15" xfId="0" applyFont="1" applyBorder="1" applyAlignment="1">
      <alignment horizontal="left" vertical="top" wrapText="1"/>
    </xf>
    <xf numFmtId="0" fontId="2" fillId="29" borderId="99" xfId="0" applyFont="1" applyFill="1" applyBorder="1" applyAlignment="1" applyProtection="1">
      <alignment vertical="top"/>
      <protection locked="0"/>
    </xf>
    <xf numFmtId="0" fontId="2" fillId="0" borderId="16" xfId="0" applyFont="1" applyBorder="1" applyAlignment="1" applyProtection="1">
      <alignment vertical="top"/>
      <protection locked="0"/>
    </xf>
    <xf numFmtId="0" fontId="4" fillId="25" borderId="63" xfId="0" applyFont="1" applyFill="1" applyBorder="1" applyAlignment="1">
      <alignment wrapText="1"/>
    </xf>
    <xf numFmtId="49" fontId="2" fillId="0" borderId="0" xfId="0" applyNumberFormat="1" applyFont="1" applyAlignment="1">
      <alignment horizontal="left" vertical="top"/>
    </xf>
    <xf numFmtId="49" fontId="2" fillId="44" borderId="100" xfId="0" applyNumberFormat="1" applyFont="1" applyFill="1" applyBorder="1" applyAlignment="1" applyProtection="1">
      <alignment horizontal="left" vertical="top"/>
      <protection locked="0"/>
    </xf>
    <xf numFmtId="49" fontId="2" fillId="44" borderId="15" xfId="0" applyNumberFormat="1" applyFont="1" applyFill="1" applyBorder="1" applyAlignment="1" applyProtection="1">
      <alignment horizontal="left" vertical="top"/>
      <protection locked="0"/>
    </xf>
    <xf numFmtId="0" fontId="2" fillId="0" borderId="24" xfId="0" applyFont="1" applyBorder="1" applyAlignment="1" applyProtection="1">
      <alignment horizontal="lef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Font="1" applyFill="1" applyBorder="1" applyAlignment="1">
      <alignment wrapText="1"/>
    </xf>
    <xf numFmtId="49" fontId="2" fillId="42" borderId="14" xfId="0" applyNumberFormat="1" applyFont="1" applyFill="1" applyBorder="1" applyAlignment="1" applyProtection="1">
      <alignment horizontal="left" vertical="top"/>
      <protection locked="0"/>
    </xf>
    <xf numFmtId="0" fontId="2" fillId="25" borderId="20" xfId="0" applyFont="1" applyFill="1" applyBorder="1" applyAlignment="1">
      <alignment vertical="top" wrapText="1"/>
    </xf>
    <xf numFmtId="0" fontId="2" fillId="25" borderId="24" xfId="0" applyFont="1" applyFill="1" applyBorder="1" applyAlignment="1">
      <alignment vertical="top" wrapText="1"/>
    </xf>
    <xf numFmtId="49" fontId="2" fillId="44" borderId="70" xfId="0" applyNumberFormat="1" applyFont="1" applyFill="1" applyBorder="1" applyAlignment="1" applyProtection="1">
      <alignment horizontal="left" vertical="top"/>
      <protection locked="0"/>
    </xf>
    <xf numFmtId="49" fontId="2" fillId="44" borderId="26" xfId="0" applyNumberFormat="1" applyFont="1" applyFill="1" applyBorder="1" applyAlignment="1" applyProtection="1">
      <alignment horizontal="left" vertical="top"/>
      <protection locked="0"/>
    </xf>
    <xf numFmtId="49" fontId="2" fillId="44" borderId="27" xfId="0" applyNumberFormat="1" applyFont="1" applyFill="1" applyBorder="1" applyAlignment="1" applyProtection="1">
      <alignment horizontal="left" vertical="top"/>
      <protection locked="0"/>
    </xf>
    <xf numFmtId="49" fontId="2" fillId="29" borderId="101" xfId="0" applyNumberFormat="1" applyFont="1" applyFill="1" applyBorder="1" applyAlignment="1" applyProtection="1">
      <alignment horizontal="left" vertical="top"/>
      <protection locked="0"/>
    </xf>
    <xf numFmtId="0" fontId="2" fillId="25" borderId="21" xfId="0" applyFont="1" applyFill="1" applyBorder="1" applyAlignment="1">
      <alignment vertical="top" wrapText="1"/>
    </xf>
    <xf numFmtId="0" fontId="2" fillId="29" borderId="16" xfId="0" applyFont="1" applyFill="1" applyBorder="1" applyAlignment="1" applyProtection="1">
      <alignment vertical="top"/>
      <protection locked="0"/>
    </xf>
    <xf numFmtId="0" fontId="2" fillId="47" borderId="70" xfId="0" applyFont="1" applyFill="1" applyBorder="1" applyAlignment="1" applyProtection="1">
      <alignment horizontal="left" vertical="top"/>
      <protection locked="0"/>
    </xf>
    <xf numFmtId="0" fontId="2" fillId="47" borderId="27" xfId="0" applyFont="1" applyFill="1" applyBorder="1" applyAlignment="1" applyProtection="1">
      <alignment horizontal="left" vertical="top"/>
      <protection locked="0"/>
    </xf>
    <xf numFmtId="0" fontId="64" fillId="25" borderId="0" xfId="0" applyFont="1" applyFill="1" applyAlignment="1">
      <alignment vertical="center" wrapText="1"/>
    </xf>
    <xf numFmtId="0" fontId="4" fillId="0" borderId="0" xfId="0" applyFont="1" applyAlignment="1">
      <alignment vertical="center" wrapText="1"/>
    </xf>
    <xf numFmtId="0" fontId="68" fillId="25" borderId="0" xfId="0" applyFont="1" applyFill="1" applyAlignment="1">
      <alignment vertical="top" wrapText="1"/>
    </xf>
    <xf numFmtId="0" fontId="58" fillId="0" borderId="0" xfId="0" applyFont="1" applyAlignment="1">
      <alignment vertical="top" wrapText="1"/>
    </xf>
    <xf numFmtId="0" fontId="2" fillId="29" borderId="101" xfId="0" applyFont="1" applyFill="1" applyBorder="1" applyAlignment="1" applyProtection="1">
      <alignment vertical="top"/>
      <protection locked="0"/>
    </xf>
    <xf numFmtId="0" fontId="2" fillId="0" borderId="14" xfId="0" applyFont="1" applyBorder="1" applyProtection="1">
      <protection locked="0"/>
    </xf>
    <xf numFmtId="0" fontId="57" fillId="25" borderId="0" xfId="60" applyFont="1" applyFill="1" applyAlignment="1" applyProtection="1">
      <alignment horizontal="left" vertical="top" wrapText="1"/>
    </xf>
    <xf numFmtId="0" fontId="2" fillId="29" borderId="70" xfId="0" applyFont="1" applyFill="1" applyBorder="1" applyAlignment="1" applyProtection="1">
      <alignment horizontal="left" vertical="top"/>
      <protection locked="0"/>
    </xf>
    <xf numFmtId="0" fontId="2" fillId="29" borderId="26" xfId="0" applyFont="1" applyFill="1" applyBorder="1" applyAlignment="1" applyProtection="1">
      <alignment horizontal="left" vertical="top"/>
      <protection locked="0"/>
    </xf>
    <xf numFmtId="0" fontId="2" fillId="29" borderId="27" xfId="0" applyFont="1" applyFill="1" applyBorder="1" applyAlignment="1" applyProtection="1">
      <alignment horizontal="left" vertical="top"/>
      <protection locked="0"/>
    </xf>
    <xf numFmtId="0" fontId="2" fillId="40" borderId="70" xfId="0" applyFont="1" applyFill="1" applyBorder="1" applyAlignment="1">
      <alignment horizontal="left" vertical="top"/>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62" fillId="41" borderId="0" xfId="0" applyFont="1" applyFill="1" applyAlignment="1">
      <alignment horizontal="left" vertical="top" wrapText="1"/>
    </xf>
    <xf numFmtId="0" fontId="2" fillId="0" borderId="14" xfId="0" applyFont="1" applyBorder="1" applyAlignment="1" applyProtection="1">
      <alignment vertical="top"/>
      <protection locked="0"/>
    </xf>
    <xf numFmtId="0" fontId="2" fillId="0" borderId="20" xfId="0" applyFont="1" applyBorder="1" applyAlignment="1" applyProtection="1">
      <alignment horizontal="left" vertical="top"/>
      <protection locked="0"/>
    </xf>
    <xf numFmtId="0" fontId="4" fillId="25" borderId="0" xfId="0" applyFont="1" applyFill="1" applyAlignment="1">
      <alignment horizontal="left" vertical="center" wrapText="1"/>
    </xf>
    <xf numFmtId="0" fontId="4" fillId="25" borderId="0" xfId="0" applyFont="1" applyFill="1" applyAlignment="1">
      <alignment horizontal="left" vertical="center"/>
    </xf>
    <xf numFmtId="49" fontId="2" fillId="42" borderId="70" xfId="0" applyNumberFormat="1" applyFont="1" applyFill="1" applyBorder="1" applyAlignment="1" applyProtection="1">
      <alignment horizontal="left" vertical="top" wrapText="1"/>
      <protection locked="0"/>
    </xf>
    <xf numFmtId="49" fontId="2" fillId="42" borderId="26" xfId="0" applyNumberFormat="1" applyFont="1" applyFill="1" applyBorder="1" applyAlignment="1" applyProtection="1">
      <alignment horizontal="left" vertical="top" wrapText="1"/>
      <protection locked="0"/>
    </xf>
    <xf numFmtId="49" fontId="2" fillId="42" borderId="27" xfId="0" applyNumberFormat="1" applyFont="1" applyFill="1" applyBorder="1" applyAlignment="1" applyProtection="1">
      <alignment horizontal="left" vertical="top" wrapText="1"/>
      <protection locked="0"/>
    </xf>
    <xf numFmtId="0" fontId="64" fillId="25" borderId="0" xfId="0" applyFont="1" applyFill="1" applyAlignment="1">
      <alignment vertical="top" wrapText="1"/>
    </xf>
    <xf numFmtId="0" fontId="2" fillId="29" borderId="99" xfId="0" applyFont="1" applyFill="1" applyBorder="1" applyAlignment="1" applyProtection="1">
      <alignment horizontal="left" wrapText="1"/>
      <protection locked="0"/>
    </xf>
    <xf numFmtId="0" fontId="2" fillId="0" borderId="16" xfId="0" applyFont="1" applyBorder="1" applyAlignment="1" applyProtection="1">
      <alignment horizontal="left" wrapText="1"/>
      <protection locked="0"/>
    </xf>
    <xf numFmtId="0" fontId="2" fillId="0" borderId="24" xfId="0" applyFont="1" applyBorder="1" applyAlignment="1" applyProtection="1">
      <alignment horizontal="left" wrapText="1"/>
      <protection locked="0"/>
    </xf>
    <xf numFmtId="0" fontId="2" fillId="25" borderId="99" xfId="0" applyFont="1" applyFill="1" applyBorder="1" applyAlignment="1">
      <alignment horizontal="left" wrapText="1"/>
    </xf>
    <xf numFmtId="0" fontId="2" fillId="0" borderId="16" xfId="0" applyFont="1" applyBorder="1" applyAlignment="1">
      <alignment horizontal="left" wrapText="1"/>
    </xf>
    <xf numFmtId="0" fontId="2" fillId="0" borderId="24" xfId="0" applyFont="1" applyBorder="1" applyAlignment="1">
      <alignment horizontal="left" wrapText="1"/>
    </xf>
    <xf numFmtId="0" fontId="37" fillId="27" borderId="99" xfId="0" applyFont="1" applyFill="1" applyBorder="1" applyAlignment="1">
      <alignment horizontal="left" vertical="top" wrapText="1"/>
    </xf>
    <xf numFmtId="0" fontId="2" fillId="0" borderId="16" xfId="0" applyFont="1" applyBorder="1" applyAlignment="1">
      <alignment horizontal="left" vertical="top" wrapText="1"/>
    </xf>
    <xf numFmtId="0" fontId="2" fillId="25" borderId="22" xfId="0" applyFont="1" applyFill="1" applyBorder="1" applyAlignment="1">
      <alignment vertical="top" wrapText="1"/>
    </xf>
    <xf numFmtId="0" fontId="2" fillId="0" borderId="22" xfId="0" applyFont="1" applyBorder="1" applyAlignment="1">
      <alignment vertical="top" wrapText="1"/>
    </xf>
    <xf numFmtId="0" fontId="2" fillId="0" borderId="106" xfId="0" applyFont="1" applyBorder="1" applyAlignment="1">
      <alignment vertical="top" wrapText="1"/>
    </xf>
    <xf numFmtId="0" fontId="37" fillId="27" borderId="101" xfId="0" applyFont="1" applyFill="1" applyBorder="1" applyAlignment="1">
      <alignment horizontal="left" vertical="top" wrapText="1"/>
    </xf>
    <xf numFmtId="0" fontId="37" fillId="27" borderId="14" xfId="0" applyFont="1" applyFill="1" applyBorder="1" applyAlignment="1">
      <alignment horizontal="left" vertical="top" wrapText="1"/>
    </xf>
    <xf numFmtId="0" fontId="2" fillId="39" borderId="107" xfId="0" applyFont="1" applyFill="1" applyBorder="1" applyAlignment="1">
      <alignment horizontal="left" vertical="top"/>
    </xf>
    <xf numFmtId="0" fontId="2" fillId="39" borderId="22" xfId="0" applyFont="1" applyFill="1" applyBorder="1" applyAlignment="1">
      <alignment horizontal="left" vertical="top"/>
    </xf>
    <xf numFmtId="0" fontId="2" fillId="39" borderId="106" xfId="0" applyFont="1" applyFill="1" applyBorder="1" applyAlignment="1">
      <alignment horizontal="left" vertical="top"/>
    </xf>
    <xf numFmtId="0" fontId="2" fillId="39" borderId="107" xfId="0" applyFont="1" applyFill="1" applyBorder="1" applyAlignment="1">
      <alignment horizontal="left" vertical="top" wrapText="1"/>
    </xf>
    <xf numFmtId="0" fontId="2" fillId="39" borderId="22" xfId="0" applyFont="1" applyFill="1" applyBorder="1" applyAlignment="1">
      <alignment horizontal="left" vertical="top" wrapText="1"/>
    </xf>
    <xf numFmtId="0" fontId="2" fillId="39" borderId="106" xfId="0" applyFont="1" applyFill="1" applyBorder="1" applyAlignment="1">
      <alignment horizontal="left" vertical="top" wrapText="1"/>
    </xf>
    <xf numFmtId="0" fontId="2" fillId="29" borderId="70" xfId="0" applyFont="1" applyFill="1" applyBorder="1" applyAlignment="1" applyProtection="1">
      <alignment horizontal="left" vertical="top" wrapText="1"/>
      <protection locked="0"/>
    </xf>
    <xf numFmtId="0" fontId="2" fillId="29" borderId="26" xfId="0" applyFont="1" applyFill="1" applyBorder="1" applyAlignment="1" applyProtection="1">
      <alignment horizontal="left" vertical="top" wrapText="1"/>
      <protection locked="0"/>
    </xf>
    <xf numFmtId="0" fontId="2" fillId="29" borderId="27" xfId="0" applyFont="1" applyFill="1" applyBorder="1" applyAlignment="1" applyProtection="1">
      <alignment horizontal="left" vertical="top" wrapText="1"/>
      <protection locked="0"/>
    </xf>
    <xf numFmtId="0" fontId="28" fillId="25" borderId="0" xfId="0" applyFont="1" applyFill="1" applyAlignment="1">
      <alignment vertical="top" wrapText="1"/>
    </xf>
    <xf numFmtId="0" fontId="2" fillId="0" borderId="25" xfId="0" applyFont="1" applyBorder="1" applyAlignment="1">
      <alignmen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58" fillId="40" borderId="70" xfId="0" applyFont="1" applyFill="1" applyBorder="1" applyAlignment="1">
      <alignment vertical="top" wrapText="1"/>
    </xf>
    <xf numFmtId="0" fontId="58" fillId="40" borderId="26" xfId="0" applyFont="1" applyFill="1" applyBorder="1" applyAlignment="1">
      <alignment vertical="top" wrapText="1"/>
    </xf>
    <xf numFmtId="0" fontId="58" fillId="40" borderId="27" xfId="0" applyFont="1" applyFill="1" applyBorder="1" applyAlignment="1">
      <alignment vertical="top" wrapText="1"/>
    </xf>
    <xf numFmtId="0" fontId="66" fillId="25" borderId="0" xfId="0" applyFont="1" applyFill="1" applyAlignment="1">
      <alignment horizontal="left" vertical="top" wrapText="1"/>
    </xf>
    <xf numFmtId="0" fontId="2" fillId="29" borderId="101" xfId="0" applyFont="1" applyFill="1" applyBorder="1" applyAlignment="1" applyProtection="1">
      <alignment horizontal="left" wrapText="1"/>
      <protection locked="0"/>
    </xf>
    <xf numFmtId="0" fontId="2" fillId="0" borderId="14" xfId="0" applyFont="1" applyBorder="1" applyAlignment="1" applyProtection="1">
      <alignment horizontal="left" wrapText="1"/>
      <protection locked="0"/>
    </xf>
    <xf numFmtId="0" fontId="2" fillId="0" borderId="20" xfId="0" applyFont="1" applyBorder="1" applyAlignment="1" applyProtection="1">
      <alignment horizontal="left" wrapText="1"/>
      <protection locked="0"/>
    </xf>
    <xf numFmtId="0" fontId="2" fillId="25" borderId="26" xfId="0" applyFont="1" applyFill="1" applyBorder="1" applyAlignment="1">
      <alignment vertical="top" wrapText="1"/>
    </xf>
    <xf numFmtId="0" fontId="36" fillId="50" borderId="0" xfId="60" applyFont="1" applyFill="1" applyAlignment="1" applyProtection="1">
      <alignment vertical="top" wrapText="1"/>
    </xf>
    <xf numFmtId="0" fontId="2" fillId="41" borderId="0" xfId="0" applyFont="1" applyFill="1" applyAlignment="1">
      <alignment vertical="top" wrapText="1"/>
    </xf>
    <xf numFmtId="0" fontId="2" fillId="25" borderId="17" xfId="0" applyFont="1" applyFill="1" applyBorder="1" applyAlignment="1">
      <alignment vertical="top" wrapText="1"/>
    </xf>
    <xf numFmtId="0" fontId="2" fillId="25" borderId="23" xfId="0" applyFont="1" applyFill="1" applyBorder="1" applyAlignment="1">
      <alignment vertical="top" wrapText="1"/>
    </xf>
    <xf numFmtId="0" fontId="35" fillId="29" borderId="70" xfId="0" applyFont="1" applyFill="1" applyBorder="1" applyAlignment="1" applyProtection="1">
      <alignment horizontal="left"/>
      <protection locked="0"/>
    </xf>
    <xf numFmtId="0" fontId="35" fillId="29" borderId="26" xfId="0" applyFont="1" applyFill="1" applyBorder="1" applyAlignment="1" applyProtection="1">
      <alignment horizontal="left"/>
      <protection locked="0"/>
    </xf>
    <xf numFmtId="0" fontId="35" fillId="29" borderId="27" xfId="0" applyFont="1" applyFill="1" applyBorder="1" applyAlignment="1" applyProtection="1">
      <alignment horizontal="left"/>
      <protection locked="0"/>
    </xf>
    <xf numFmtId="0" fontId="33" fillId="29" borderId="70" xfId="0" applyFont="1" applyFill="1" applyBorder="1" applyAlignment="1" applyProtection="1">
      <alignment horizontal="left"/>
      <protection locked="0"/>
    </xf>
    <xf numFmtId="0" fontId="33" fillId="29" borderId="26" xfId="0" applyFont="1" applyFill="1" applyBorder="1" applyAlignment="1" applyProtection="1">
      <alignment horizontal="left"/>
      <protection locked="0"/>
    </xf>
    <xf numFmtId="0" fontId="33" fillId="29" borderId="27" xfId="0" applyFont="1" applyFill="1" applyBorder="1" applyAlignment="1" applyProtection="1">
      <alignment horizontal="left"/>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4" fillId="25" borderId="18" xfId="0" applyFont="1" applyFill="1" applyBorder="1" applyAlignment="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6" fillId="50" borderId="0" xfId="60" applyFill="1" applyAlignment="1" applyProtection="1">
      <alignment vertical="top" wrapText="1"/>
    </xf>
    <xf numFmtId="0" fontId="4" fillId="25" borderId="18" xfId="0" applyFont="1" applyFill="1" applyBorder="1" applyAlignment="1">
      <alignment horizontal="left" vertical="top" wrapText="1"/>
    </xf>
    <xf numFmtId="0" fontId="57" fillId="25" borderId="0" xfId="60" applyFont="1" applyFill="1" applyAlignment="1" applyProtection="1">
      <alignment vertical="top" wrapText="1"/>
    </xf>
    <xf numFmtId="0" fontId="5" fillId="0" borderId="0" xfId="0" applyFont="1" applyAlignment="1">
      <alignment vertical="top" wrapText="1"/>
    </xf>
    <xf numFmtId="0" fontId="4" fillId="25" borderId="84" xfId="0" applyFont="1" applyFill="1" applyBorder="1" applyAlignment="1">
      <alignment vertical="top" wrapText="1"/>
    </xf>
    <xf numFmtId="0" fontId="4" fillId="25" borderId="85" xfId="0" applyFont="1" applyFill="1" applyBorder="1" applyAlignment="1">
      <alignment vertical="top" wrapText="1"/>
    </xf>
    <xf numFmtId="0" fontId="6" fillId="50" borderId="0" xfId="60" applyFill="1" applyAlignment="1" applyProtection="1">
      <alignment horizontal="left" vertical="top" wrapText="1"/>
    </xf>
    <xf numFmtId="0" fontId="36" fillId="50" borderId="0" xfId="60" applyFont="1" applyFill="1" applyAlignment="1" applyProtection="1">
      <alignment horizontal="left" vertical="top" wrapText="1"/>
    </xf>
    <xf numFmtId="0" fontId="2" fillId="25" borderId="16" xfId="0" applyFont="1" applyFill="1" applyBorder="1" applyAlignment="1">
      <alignment vertical="center" wrapText="1"/>
    </xf>
    <xf numFmtId="0" fontId="2" fillId="0" borderId="16" xfId="0" applyFont="1" applyBorder="1" applyAlignment="1">
      <alignment vertical="center" wrapText="1"/>
    </xf>
    <xf numFmtId="0" fontId="62" fillId="25" borderId="0" xfId="0" applyFont="1" applyFill="1" applyAlignment="1">
      <alignment vertical="center" wrapText="1"/>
    </xf>
    <xf numFmtId="0" fontId="2" fillId="0" borderId="0" xfId="0" applyFont="1" applyAlignment="1">
      <alignment vertical="center" wrapText="1"/>
    </xf>
    <xf numFmtId="0" fontId="2" fillId="29" borderId="70" xfId="0" applyFont="1" applyFill="1" applyBorder="1" applyAlignment="1" applyProtection="1">
      <alignment horizontal="left"/>
      <protection locked="0"/>
    </xf>
    <xf numFmtId="0" fontId="2" fillId="29" borderId="27" xfId="0" applyFont="1" applyFill="1" applyBorder="1" applyAlignment="1" applyProtection="1">
      <alignment horizontal="left"/>
      <protection locked="0"/>
    </xf>
    <xf numFmtId="0" fontId="2" fillId="40" borderId="15" xfId="0" applyFont="1" applyFill="1" applyBorder="1" applyAlignment="1">
      <alignment horizontal="left" vertical="center" wrapText="1"/>
    </xf>
    <xf numFmtId="0" fontId="4" fillId="25" borderId="0" xfId="0" applyFont="1" applyFill="1" applyAlignment="1">
      <alignment vertical="center" wrapText="1"/>
    </xf>
    <xf numFmtId="0" fontId="2" fillId="40" borderId="15" xfId="0" applyFont="1" applyFill="1" applyBorder="1" applyAlignment="1">
      <alignment horizontal="left" vertical="top" wrapText="1"/>
    </xf>
    <xf numFmtId="0" fontId="2" fillId="25" borderId="26" xfId="0" applyFont="1" applyFill="1" applyBorder="1" applyAlignment="1">
      <alignment vertical="center" wrapText="1"/>
    </xf>
    <xf numFmtId="0" fontId="62" fillId="25" borderId="12" xfId="0" applyFont="1" applyFill="1" applyBorder="1" applyAlignment="1">
      <alignment vertical="center" wrapText="1"/>
    </xf>
    <xf numFmtId="0" fontId="2" fillId="0" borderId="12" xfId="0" applyFont="1" applyBorder="1" applyAlignment="1">
      <alignment vertical="center" wrapText="1"/>
    </xf>
    <xf numFmtId="0" fontId="4" fillId="25" borderId="12" xfId="0" applyFont="1" applyFill="1" applyBorder="1" applyAlignment="1">
      <alignment vertical="center" wrapText="1"/>
    </xf>
    <xf numFmtId="0" fontId="2" fillId="40" borderId="16" xfId="0" applyFont="1" applyFill="1" applyBorder="1" applyAlignment="1">
      <alignment horizontal="left" vertical="center" wrapText="1"/>
    </xf>
    <xf numFmtId="0" fontId="2" fillId="0" borderId="26" xfId="0" applyFont="1" applyBorder="1" applyAlignment="1">
      <alignment vertical="center" wrapText="1"/>
    </xf>
    <xf numFmtId="0" fontId="4" fillId="25" borderId="42" xfId="0" applyFont="1" applyFill="1" applyBorder="1" applyAlignment="1">
      <alignment vertical="center" wrapText="1"/>
    </xf>
    <xf numFmtId="0" fontId="2" fillId="0" borderId="42" xfId="0" applyFont="1" applyBorder="1" applyAlignment="1">
      <alignment vertical="center" wrapText="1"/>
    </xf>
    <xf numFmtId="0" fontId="2" fillId="25" borderId="101" xfId="0" applyFont="1" applyFill="1" applyBorder="1" applyAlignment="1">
      <alignment vertical="center" wrapText="1"/>
    </xf>
    <xf numFmtId="0" fontId="2" fillId="25" borderId="14" xfId="0" applyFont="1" applyFill="1" applyBorder="1" applyAlignment="1">
      <alignment vertical="center" wrapText="1"/>
    </xf>
    <xf numFmtId="0" fontId="2" fillId="25" borderId="100" xfId="0" applyFont="1" applyFill="1" applyBorder="1" applyAlignment="1">
      <alignment vertical="center" wrapText="1"/>
    </xf>
    <xf numFmtId="0" fontId="2" fillId="25" borderId="15" xfId="0" applyFont="1" applyFill="1" applyBorder="1" applyAlignment="1">
      <alignment vertical="center" wrapText="1"/>
    </xf>
    <xf numFmtId="0" fontId="3" fillId="26" borderId="0" xfId="0" applyFont="1" applyFill="1" applyAlignment="1">
      <alignment vertical="center" wrapText="1"/>
    </xf>
    <xf numFmtId="0" fontId="32" fillId="25" borderId="0" xfId="0" applyFont="1" applyFill="1" applyAlignment="1">
      <alignment vertical="center" wrapText="1"/>
    </xf>
    <xf numFmtId="0" fontId="2" fillId="40" borderId="14" xfId="0" applyFont="1" applyFill="1" applyBorder="1" applyAlignment="1">
      <alignment horizontal="left" vertical="top" wrapText="1"/>
    </xf>
    <xf numFmtId="0" fontId="2" fillId="25" borderId="12" xfId="0" applyFont="1" applyFill="1" applyBorder="1" applyAlignment="1">
      <alignment vertical="center" wrapText="1"/>
    </xf>
    <xf numFmtId="0" fontId="2" fillId="40" borderId="16" xfId="0" applyFont="1" applyFill="1" applyBorder="1" applyAlignment="1">
      <alignment horizontal="left" vertical="top" wrapText="1"/>
    </xf>
    <xf numFmtId="0" fontId="2" fillId="0" borderId="0" xfId="0" applyFont="1" applyAlignment="1">
      <alignment vertical="top"/>
    </xf>
    <xf numFmtId="0" fontId="2" fillId="50" borderId="131" xfId="0" applyFont="1" applyFill="1" applyBorder="1" applyAlignment="1">
      <alignment horizontal="center" vertical="top" wrapText="1"/>
    </xf>
    <xf numFmtId="0" fontId="6" fillId="50" borderId="82" xfId="60" applyFill="1" applyBorder="1" applyAlignment="1" applyProtection="1">
      <alignment horizontal="center" vertical="top" wrapText="1"/>
    </xf>
    <xf numFmtId="0" fontId="6" fillId="50" borderId="141" xfId="60" applyFill="1" applyBorder="1" applyAlignment="1" applyProtection="1">
      <alignment horizontal="center" vertical="top" wrapText="1"/>
    </xf>
    <xf numFmtId="0" fontId="2" fillId="25" borderId="12" xfId="0" applyFont="1" applyFill="1" applyBorder="1" applyAlignment="1">
      <alignment horizontal="left" vertical="center" wrapText="1"/>
    </xf>
    <xf numFmtId="0" fontId="62" fillId="25" borderId="0" xfId="0" applyFont="1" applyFill="1" applyAlignment="1">
      <alignment vertical="top"/>
    </xf>
    <xf numFmtId="0" fontId="52" fillId="0" borderId="0" xfId="0" applyFont="1" applyAlignment="1">
      <alignment vertical="top" wrapText="1"/>
    </xf>
    <xf numFmtId="0" fontId="52" fillId="0" borderId="0" xfId="0" applyFont="1" applyAlignment="1">
      <alignment vertical="top"/>
    </xf>
    <xf numFmtId="0" fontId="4" fillId="25" borderId="57" xfId="0" applyFont="1" applyFill="1" applyBorder="1" applyAlignment="1">
      <alignment vertical="center" wrapText="1"/>
    </xf>
    <xf numFmtId="0" fontId="2" fillId="0" borderId="37" xfId="0" applyFont="1" applyBorder="1" applyAlignment="1">
      <alignment vertical="center" wrapText="1"/>
    </xf>
    <xf numFmtId="0" fontId="2" fillId="41" borderId="42" xfId="0" applyFont="1" applyFill="1" applyBorder="1" applyAlignment="1">
      <alignment horizontal="left" vertical="top" wrapText="1"/>
    </xf>
    <xf numFmtId="0" fontId="57" fillId="50" borderId="0" xfId="60" applyFont="1" applyFill="1" applyAlignment="1" applyProtection="1">
      <alignment horizontal="left" vertical="top" wrapText="1"/>
    </xf>
    <xf numFmtId="0" fontId="4" fillId="25" borderId="36" xfId="0" applyFont="1" applyFill="1" applyBorder="1" applyAlignment="1">
      <alignment vertical="center" wrapText="1"/>
    </xf>
    <xf numFmtId="0" fontId="2" fillId="0" borderId="54" xfId="0" applyFont="1" applyBorder="1" applyAlignment="1">
      <alignment vertical="center" wrapText="1"/>
    </xf>
    <xf numFmtId="0" fontId="2" fillId="0" borderId="127" xfId="0" applyFont="1" applyBorder="1" applyAlignment="1">
      <alignment vertical="center" wrapText="1"/>
    </xf>
    <xf numFmtId="0" fontId="2" fillId="29" borderId="17" xfId="0" applyFont="1" applyFill="1" applyBorder="1" applyAlignment="1" applyProtection="1">
      <alignment horizontal="left" vertical="top"/>
      <protection locked="0"/>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4" fillId="25" borderId="26" xfId="0" applyFont="1" applyFill="1" applyBorder="1" applyAlignment="1">
      <alignment vertical="center" wrapText="1"/>
    </xf>
    <xf numFmtId="0" fontId="57" fillId="50" borderId="0" xfId="60" applyFont="1" applyFill="1" applyBorder="1" applyAlignment="1" applyProtection="1">
      <alignment horizontal="left" vertical="top"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25" borderId="109" xfId="0" applyFont="1" applyFill="1" applyBorder="1" applyAlignment="1">
      <alignment vertical="center" wrapText="1"/>
    </xf>
    <xf numFmtId="0" fontId="4" fillId="25" borderId="40" xfId="0" applyFont="1" applyFill="1" applyBorder="1" applyAlignment="1">
      <alignment vertical="center" wrapText="1"/>
    </xf>
    <xf numFmtId="0" fontId="2" fillId="0" borderId="40" xfId="0" applyFont="1" applyBorder="1" applyAlignment="1">
      <alignment vertical="center" wrapText="1"/>
    </xf>
    <xf numFmtId="0" fontId="2" fillId="25" borderId="103" xfId="0" applyFont="1" applyFill="1" applyBorder="1" applyAlignment="1">
      <alignment vertical="center" wrapText="1"/>
    </xf>
    <xf numFmtId="0" fontId="2" fillId="0" borderId="52" xfId="0" applyFont="1" applyBorder="1" applyAlignment="1">
      <alignment vertical="center" wrapText="1"/>
    </xf>
    <xf numFmtId="0" fontId="2" fillId="25" borderId="57" xfId="0" applyFont="1" applyFill="1" applyBorder="1" applyAlignment="1">
      <alignment vertical="center" wrapText="1"/>
    </xf>
    <xf numFmtId="0" fontId="4" fillId="25" borderId="139" xfId="0" applyFont="1" applyFill="1" applyBorder="1" applyAlignment="1">
      <alignment vertical="center" wrapText="1"/>
    </xf>
    <xf numFmtId="0" fontId="2" fillId="0" borderId="96" xfId="0" applyFont="1" applyBorder="1" applyAlignment="1">
      <alignment vertical="center" wrapText="1"/>
    </xf>
    <xf numFmtId="0" fontId="2" fillId="0" borderId="140" xfId="0" applyFont="1" applyBorder="1" applyAlignment="1">
      <alignment vertical="center" wrapText="1"/>
    </xf>
    <xf numFmtId="0" fontId="2" fillId="25" borderId="27" xfId="0" applyFont="1" applyFill="1" applyBorder="1" applyAlignment="1">
      <alignment vertical="center" wrapText="1"/>
    </xf>
    <xf numFmtId="0" fontId="2" fillId="25" borderId="13" xfId="0" applyFont="1" applyFill="1" applyBorder="1" applyAlignment="1">
      <alignment vertical="center" wrapText="1"/>
    </xf>
    <xf numFmtId="0" fontId="2" fillId="25" borderId="70" xfId="0" applyFont="1" applyFill="1" applyBorder="1" applyAlignment="1">
      <alignment vertical="center" wrapText="1"/>
    </xf>
    <xf numFmtId="0" fontId="4" fillId="25" borderId="103" xfId="0" applyFont="1" applyFill="1" applyBorder="1" applyAlignment="1">
      <alignment vertical="center" wrapText="1"/>
    </xf>
    <xf numFmtId="0" fontId="2" fillId="25" borderId="47" xfId="0" applyFont="1" applyFill="1" applyBorder="1" applyAlignment="1">
      <alignment vertical="center" wrapText="1"/>
    </xf>
    <xf numFmtId="0" fontId="2" fillId="25" borderId="75" xfId="0" applyFont="1" applyFill="1" applyBorder="1" applyAlignment="1">
      <alignment vertical="center" wrapText="1"/>
    </xf>
    <xf numFmtId="0" fontId="2" fillId="25" borderId="102" xfId="0" applyFont="1" applyFill="1" applyBorder="1" applyAlignment="1">
      <alignment vertical="center" wrapText="1"/>
    </xf>
    <xf numFmtId="0" fontId="2" fillId="41" borderId="26" xfId="0" applyFont="1" applyFill="1" applyBorder="1" applyAlignment="1">
      <alignment horizontal="left" vertical="top" wrapText="1"/>
    </xf>
    <xf numFmtId="0" fontId="2" fillId="40" borderId="14" xfId="0" applyFont="1" applyFill="1" applyBorder="1" applyAlignment="1">
      <alignment horizontal="left" vertical="center" wrapText="1"/>
    </xf>
    <xf numFmtId="0" fontId="2" fillId="25" borderId="99" xfId="0" applyFont="1" applyFill="1" applyBorder="1" applyAlignment="1">
      <alignment vertical="center" wrapText="1"/>
    </xf>
    <xf numFmtId="0" fontId="4" fillId="25" borderId="18" xfId="0" applyFont="1" applyFill="1" applyBorder="1" applyAlignment="1">
      <alignment vertical="center" wrapText="1"/>
    </xf>
    <xf numFmtId="0" fontId="2" fillId="0" borderId="26" xfId="0" applyFont="1" applyBorder="1" applyAlignment="1">
      <alignment vertical="top" wrapText="1"/>
    </xf>
    <xf numFmtId="0" fontId="2" fillId="40" borderId="26" xfId="0" applyFont="1" applyFill="1" applyBorder="1" applyAlignment="1">
      <alignment vertical="top" wrapText="1"/>
    </xf>
    <xf numFmtId="0" fontId="4" fillId="43" borderId="0" xfId="0" applyFont="1" applyFill="1" applyAlignment="1">
      <alignment vertical="top" wrapText="1"/>
    </xf>
    <xf numFmtId="0" fontId="2" fillId="43" borderId="0" xfId="0" applyFont="1" applyFill="1" applyAlignment="1">
      <alignment vertical="top" wrapText="1"/>
    </xf>
    <xf numFmtId="0" fontId="2" fillId="43" borderId="39" xfId="0" applyFont="1" applyFill="1" applyBorder="1" applyAlignment="1">
      <alignment vertical="top" wrapText="1"/>
    </xf>
    <xf numFmtId="0" fontId="2" fillId="43" borderId="0" xfId="0" applyFont="1" applyFill="1" applyAlignment="1">
      <alignment horizontal="left" vertical="top"/>
    </xf>
    <xf numFmtId="0" fontId="2" fillId="43" borderId="18" xfId="0" applyFont="1" applyFill="1" applyBorder="1" applyAlignment="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43" borderId="12" xfId="0" applyFont="1" applyFill="1" applyBorder="1" applyAlignment="1">
      <alignment vertical="top" wrapText="1"/>
    </xf>
    <xf numFmtId="0" fontId="2" fillId="43" borderId="12" xfId="0" applyFont="1" applyFill="1" applyBorder="1" applyAlignment="1">
      <alignment vertical="top" wrapText="1"/>
    </xf>
    <xf numFmtId="0" fontId="2" fillId="42" borderId="14" xfId="0" applyFont="1" applyFill="1" applyBorder="1" applyAlignment="1" applyProtection="1">
      <alignment vertical="top" wrapText="1"/>
      <protection locked="0"/>
    </xf>
    <xf numFmtId="0" fontId="2" fillId="42" borderId="16" xfId="0" applyFont="1" applyFill="1" applyBorder="1" applyAlignment="1" applyProtection="1">
      <alignment vertical="top" wrapText="1"/>
      <protection locked="0"/>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2" fillId="43" borderId="26" xfId="0" applyFont="1" applyFill="1" applyBorder="1" applyAlignment="1">
      <alignment vertical="top" wrapText="1"/>
    </xf>
    <xf numFmtId="0" fontId="4" fillId="43" borderId="0" xfId="0" applyFont="1" applyFill="1" applyAlignment="1">
      <alignment horizontal="left" vertical="top" wrapText="1"/>
    </xf>
    <xf numFmtId="0" fontId="2" fillId="42" borderId="70" xfId="0" applyFont="1" applyFill="1" applyBorder="1" applyAlignment="1" applyProtection="1">
      <alignment horizontal="left" vertical="top" wrapText="1"/>
      <protection locked="0"/>
    </xf>
    <xf numFmtId="0" fontId="2" fillId="42" borderId="26" xfId="0" applyFont="1" applyFill="1" applyBorder="1" applyAlignment="1" applyProtection="1">
      <alignment horizontal="left" vertical="top" wrapText="1"/>
      <protection locked="0"/>
    </xf>
    <xf numFmtId="0" fontId="2" fillId="42" borderId="27" xfId="0" applyFont="1" applyFill="1" applyBorder="1" applyAlignment="1" applyProtection="1">
      <alignment horizontal="left" vertical="top" wrapText="1"/>
      <protection locked="0"/>
    </xf>
    <xf numFmtId="0" fontId="62" fillId="43" borderId="0" xfId="0" applyFont="1" applyFill="1" applyAlignment="1">
      <alignment vertical="top" wrapText="1"/>
    </xf>
    <xf numFmtId="0" fontId="4" fillId="43" borderId="39" xfId="0" applyFont="1" applyFill="1" applyBorder="1" applyAlignment="1">
      <alignment horizontal="left" vertical="top" wrapText="1"/>
    </xf>
    <xf numFmtId="0" fontId="64" fillId="43" borderId="0" xfId="0" applyFont="1" applyFill="1" applyAlignment="1">
      <alignment vertical="top" wrapText="1"/>
    </xf>
    <xf numFmtId="0" fontId="4" fillId="43" borderId="39" xfId="0" applyFont="1" applyFill="1" applyBorder="1" applyAlignment="1">
      <alignment vertical="top" wrapText="1"/>
    </xf>
    <xf numFmtId="0" fontId="62" fillId="43" borderId="39"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2" fillId="43" borderId="15" xfId="0" applyFont="1" applyFill="1" applyBorder="1" applyAlignment="1">
      <alignment vertical="top" wrapText="1"/>
    </xf>
    <xf numFmtId="0" fontId="2" fillId="43" borderId="22" xfId="0" applyFont="1" applyFill="1" applyBorder="1" applyAlignment="1">
      <alignment vertical="top" wrapText="1"/>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2" fillId="42" borderId="99" xfId="0" applyFont="1" applyFill="1" applyBorder="1" applyAlignment="1" applyProtection="1">
      <alignment horizontal="left" vertical="top" wrapText="1"/>
      <protection locked="0"/>
    </xf>
    <xf numFmtId="0" fontId="2" fillId="42" borderId="24" xfId="0" applyFont="1" applyFill="1" applyBorder="1" applyAlignment="1" applyProtection="1">
      <alignment horizontal="left" vertical="top" wrapText="1"/>
      <protection locked="0"/>
    </xf>
    <xf numFmtId="0" fontId="2" fillId="25" borderId="13" xfId="0" applyFont="1" applyFill="1" applyBorder="1" applyAlignment="1">
      <alignment horizontal="left" vertical="top" wrapText="1"/>
    </xf>
    <xf numFmtId="0" fontId="32" fillId="43" borderId="0" xfId="0" applyFont="1" applyFill="1" applyAlignment="1">
      <alignment vertical="top" wrapText="1"/>
    </xf>
    <xf numFmtId="0" fontId="51" fillId="43" borderId="0" xfId="0" applyFont="1" applyFill="1" applyAlignment="1">
      <alignment vertical="top" wrapText="1"/>
    </xf>
    <xf numFmtId="0" fontId="2" fillId="43" borderId="18" xfId="0" applyFont="1" applyFill="1" applyBorder="1" applyAlignment="1">
      <alignment vertical="top" wrapText="1"/>
    </xf>
    <xf numFmtId="0" fontId="35" fillId="27" borderId="70" xfId="0" applyFont="1" applyFill="1" applyBorder="1" applyAlignment="1">
      <alignment vertical="top" wrapText="1"/>
    </xf>
    <xf numFmtId="0" fontId="2" fillId="0" borderId="51" xfId="0" applyFont="1" applyBorder="1" applyAlignment="1">
      <alignment vertical="top" wrapText="1"/>
    </xf>
    <xf numFmtId="0" fontId="62" fillId="43" borderId="0" xfId="0" quotePrefix="1" applyFont="1" applyFill="1" applyAlignment="1">
      <alignment horizontal="left" vertical="top" wrapText="1"/>
    </xf>
    <xf numFmtId="0" fontId="62" fillId="43" borderId="39" xfId="0" quotePrefix="1" applyFont="1" applyFill="1" applyBorder="1" applyAlignment="1">
      <alignment horizontal="left" vertical="top" wrapText="1"/>
    </xf>
    <xf numFmtId="0" fontId="73" fillId="25" borderId="0" xfId="60" applyFont="1" applyFill="1" applyAlignment="1" applyProtection="1">
      <alignment horizontal="left" vertical="top"/>
    </xf>
    <xf numFmtId="0" fontId="73" fillId="0" borderId="0" xfId="60" applyFont="1" applyAlignment="1" applyProtection="1">
      <alignment vertical="top"/>
    </xf>
    <xf numFmtId="0" fontId="4" fillId="25" borderId="63"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2" borderId="101" xfId="0" applyFont="1" applyFill="1" applyBorder="1" applyAlignment="1" applyProtection="1">
      <alignment horizontal="left" vertical="top" wrapText="1"/>
      <protection locked="0"/>
    </xf>
    <xf numFmtId="0" fontId="2" fillId="42" borderId="20" xfId="0" applyFont="1" applyFill="1" applyBorder="1" applyAlignment="1" applyProtection="1">
      <alignment horizontal="left" vertical="top" wrapText="1"/>
      <protection locked="0"/>
    </xf>
    <xf numFmtId="0" fontId="2" fillId="27" borderId="26" xfId="0" applyFont="1" applyFill="1" applyBorder="1" applyAlignment="1">
      <alignment vertical="top" wrapText="1"/>
    </xf>
    <xf numFmtId="0" fontId="6" fillId="50" borderId="70" xfId="0" applyFont="1" applyFill="1" applyBorder="1" applyAlignment="1">
      <alignment vertical="top" wrapText="1"/>
    </xf>
    <xf numFmtId="0" fontId="6" fillId="50" borderId="26" xfId="0" applyFont="1" applyFill="1" applyBorder="1" applyAlignment="1">
      <alignment vertical="top" wrapText="1"/>
    </xf>
    <xf numFmtId="0" fontId="6" fillId="50" borderId="27" xfId="0" applyFont="1" applyFill="1" applyBorder="1" applyAlignment="1">
      <alignment vertical="top" wrapText="1"/>
    </xf>
    <xf numFmtId="0" fontId="2" fillId="50" borderId="26" xfId="0" applyFont="1" applyFill="1" applyBorder="1" applyAlignment="1">
      <alignment vertical="top" wrapText="1"/>
    </xf>
    <xf numFmtId="0" fontId="2" fillId="41" borderId="12" xfId="0" applyFont="1" applyFill="1" applyBorder="1" applyAlignment="1">
      <alignment vertical="top" wrapText="1"/>
    </xf>
    <xf numFmtId="0" fontId="66" fillId="53" borderId="0" xfId="0" quotePrefix="1" applyFont="1" applyFill="1" applyAlignment="1">
      <alignment horizontal="left" vertical="top" wrapText="1"/>
    </xf>
    <xf numFmtId="0" fontId="6" fillId="50" borderId="131" xfId="0" applyFont="1" applyFill="1" applyBorder="1" applyAlignment="1">
      <alignment horizontal="left" vertical="top"/>
    </xf>
    <xf numFmtId="0" fontId="6" fillId="50" borderId="131" xfId="0" applyFont="1" applyFill="1" applyBorder="1" applyAlignment="1">
      <alignment horizontal="left" vertical="top" wrapText="1"/>
    </xf>
    <xf numFmtId="0" fontId="4" fillId="50" borderId="58" xfId="0" applyFont="1" applyFill="1" applyBorder="1" applyAlignment="1">
      <alignment horizontal="center" vertical="top" wrapText="1"/>
    </xf>
    <xf numFmtId="0" fontId="2" fillId="50" borderId="31" xfId="0" applyFont="1" applyFill="1" applyBorder="1" applyAlignment="1">
      <alignment horizontal="center" vertical="top" wrapText="1"/>
    </xf>
    <xf numFmtId="0" fontId="2" fillId="50" borderId="39" xfId="0" applyFont="1" applyFill="1" applyBorder="1" applyAlignment="1">
      <alignment horizontal="center" vertical="top" wrapText="1"/>
    </xf>
    <xf numFmtId="0" fontId="2" fillId="50" borderId="67" xfId="0" applyFont="1" applyFill="1" applyBorder="1" applyAlignment="1">
      <alignment horizontal="center" vertical="top" wrapText="1"/>
    </xf>
    <xf numFmtId="0" fontId="2" fillId="50" borderId="40" xfId="0" applyFont="1" applyFill="1" applyBorder="1" applyAlignment="1">
      <alignment horizontal="center" vertical="top" wrapText="1"/>
    </xf>
    <xf numFmtId="0" fontId="2" fillId="50" borderId="41" xfId="0" applyFont="1" applyFill="1" applyBorder="1" applyAlignment="1">
      <alignment horizontal="center" vertical="top" wrapText="1"/>
    </xf>
    <xf numFmtId="0" fontId="2" fillId="50" borderId="142" xfId="0" applyFont="1" applyFill="1" applyBorder="1" applyAlignment="1">
      <alignment horizontal="center" vertical="top" wrapText="1"/>
    </xf>
    <xf numFmtId="0" fontId="2" fillId="50" borderId="133" xfId="0" applyFont="1" applyFill="1" applyBorder="1" applyAlignment="1">
      <alignment horizontal="center" vertical="top" wrapText="1"/>
    </xf>
    <xf numFmtId="0" fontId="2" fillId="50" borderId="141" xfId="0" applyFont="1" applyFill="1" applyBorder="1" applyAlignment="1">
      <alignment horizontal="center" vertical="top" wrapText="1"/>
    </xf>
    <xf numFmtId="0" fontId="2" fillId="50" borderId="17" xfId="0" applyFont="1" applyFill="1" applyBorder="1" applyAlignment="1">
      <alignment horizontal="center" vertical="top"/>
    </xf>
    <xf numFmtId="0" fontId="2" fillId="50" borderId="143" xfId="0" applyFont="1" applyFill="1" applyBorder="1" applyAlignment="1">
      <alignment horizontal="center" vertical="top"/>
    </xf>
    <xf numFmtId="0" fontId="2" fillId="50" borderId="144" xfId="0" applyFont="1" applyFill="1" applyBorder="1" applyAlignment="1">
      <alignment horizontal="center" vertical="top" wrapText="1"/>
    </xf>
    <xf numFmtId="0" fontId="6" fillId="50" borderId="141" xfId="0" applyFont="1" applyFill="1" applyBorder="1" applyAlignment="1">
      <alignment horizontal="left" vertical="top"/>
    </xf>
    <xf numFmtId="0" fontId="6" fillId="50" borderId="131" xfId="60" applyFill="1" applyBorder="1" applyAlignment="1" applyProtection="1">
      <alignment horizontal="left" vertical="top"/>
    </xf>
    <xf numFmtId="0" fontId="6" fillId="50" borderId="133" xfId="0" applyFont="1" applyFill="1" applyBorder="1" applyAlignment="1">
      <alignment horizontal="left" vertical="top"/>
    </xf>
    <xf numFmtId="0" fontId="6" fillId="50" borderId="143" xfId="60" applyFill="1" applyBorder="1" applyAlignment="1" applyProtection="1">
      <alignment horizontal="left" vertical="top"/>
    </xf>
    <xf numFmtId="0" fontId="64" fillId="41" borderId="0" xfId="0" applyFont="1" applyFill="1" applyAlignment="1">
      <alignment vertical="top" wrapText="1"/>
    </xf>
    <xf numFmtId="0" fontId="4" fillId="41" borderId="0" xfId="0" applyFont="1" applyFill="1" applyAlignment="1">
      <alignment vertical="top" wrapText="1"/>
    </xf>
    <xf numFmtId="0" fontId="57" fillId="25" borderId="0" xfId="60" applyFont="1" applyFill="1" applyAlignment="1" applyProtection="1">
      <alignment horizontal="left" vertical="top"/>
    </xf>
    <xf numFmtId="0" fontId="57" fillId="0" borderId="0" xfId="60" applyFont="1" applyAlignment="1" applyProtection="1">
      <alignment vertical="top"/>
    </xf>
    <xf numFmtId="0" fontId="62" fillId="43" borderId="0" xfId="0" applyFont="1" applyFill="1" applyAlignment="1">
      <alignment horizontal="left" vertical="top" wrapText="1"/>
    </xf>
    <xf numFmtId="0" fontId="2" fillId="0" borderId="39" xfId="0" applyFont="1" applyBorder="1" applyAlignment="1">
      <alignment horizontal="left" vertical="top" wrapText="1"/>
    </xf>
    <xf numFmtId="0" fontId="2" fillId="27" borderId="100" xfId="0" applyFont="1" applyFill="1" applyBorder="1" applyAlignment="1">
      <alignment horizontal="left" vertical="top" wrapText="1"/>
    </xf>
    <xf numFmtId="0" fontId="2" fillId="0" borderId="21" xfId="0" applyFont="1" applyBorder="1" applyAlignment="1">
      <alignment horizontal="left" vertical="top" wrapText="1"/>
    </xf>
    <xf numFmtId="0" fontId="2" fillId="27" borderId="99" xfId="0" applyFont="1" applyFill="1" applyBorder="1" applyAlignment="1">
      <alignment horizontal="left" vertical="top" wrapText="1"/>
    </xf>
    <xf numFmtId="0" fontId="2" fillId="0" borderId="24" xfId="0" applyFont="1" applyBorder="1" applyAlignment="1">
      <alignment horizontal="left" vertical="top" wrapText="1"/>
    </xf>
    <xf numFmtId="0" fontId="2" fillId="27" borderId="101"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20" xfId="0" applyFont="1" applyBorder="1" applyAlignment="1">
      <alignment horizontal="left" vertical="top" wrapText="1"/>
    </xf>
    <xf numFmtId="0" fontId="2" fillId="42" borderId="15" xfId="0" applyFont="1"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2" fillId="42" borderId="14" xfId="0" applyFont="1" applyFill="1" applyBorder="1" applyAlignment="1" applyProtection="1">
      <alignment horizontal="left" vertical="top" wrapText="1"/>
      <protection locked="0"/>
    </xf>
    <xf numFmtId="0" fontId="2" fillId="50" borderId="70" xfId="0" applyFont="1" applyFill="1" applyBorder="1" applyAlignment="1">
      <alignment horizontal="left" vertical="top"/>
    </xf>
    <xf numFmtId="0" fontId="2" fillId="50" borderId="26" xfId="0" applyFont="1" applyFill="1" applyBorder="1" applyAlignment="1">
      <alignment horizontal="left" vertical="top"/>
    </xf>
    <xf numFmtId="0" fontId="2" fillId="50" borderId="12" xfId="0" applyFont="1" applyFill="1" applyBorder="1" applyAlignment="1">
      <alignment horizontal="left" vertical="top"/>
    </xf>
    <xf numFmtId="0" fontId="2" fillId="50" borderId="25" xfId="0" applyFont="1" applyFill="1" applyBorder="1" applyAlignment="1">
      <alignment horizontal="left" vertical="top"/>
    </xf>
    <xf numFmtId="49" fontId="2" fillId="42" borderId="21" xfId="0" applyNumberFormat="1" applyFont="1" applyFill="1" applyBorder="1" applyAlignment="1" applyProtection="1">
      <alignment horizontal="left" vertical="top"/>
      <protection locked="0"/>
    </xf>
    <xf numFmtId="0" fontId="57" fillId="50" borderId="0" xfId="60" applyFont="1" applyFill="1" applyAlignment="1" applyProtection="1">
      <alignment vertical="top" wrapText="1"/>
    </xf>
    <xf numFmtId="0" fontId="35" fillId="27" borderId="84" xfId="0" applyFont="1" applyFill="1" applyBorder="1" applyAlignment="1">
      <alignment horizontal="center"/>
    </xf>
    <xf numFmtId="0" fontId="35" fillId="27" borderId="86" xfId="0" applyFont="1" applyFill="1" applyBorder="1" applyAlignment="1">
      <alignment horizontal="center"/>
    </xf>
    <xf numFmtId="0" fontId="4" fillId="43" borderId="26" xfId="0" applyFont="1" applyFill="1" applyBorder="1" applyAlignment="1">
      <alignment vertical="top" wrapText="1"/>
    </xf>
    <xf numFmtId="0" fontId="2" fillId="42" borderId="100" xfId="0" applyFont="1" applyFill="1" applyBorder="1" applyAlignment="1" applyProtection="1">
      <alignment vertical="top"/>
      <protection locked="0"/>
    </xf>
    <xf numFmtId="0" fontId="2" fillId="42" borderId="15" xfId="0" applyFont="1" applyFill="1" applyBorder="1" applyAlignment="1" applyProtection="1">
      <alignment vertical="top"/>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19" xfId="0" applyFont="1" applyFill="1" applyBorder="1" applyAlignment="1">
      <alignment horizontal="left" vertical="top" wrapText="1"/>
    </xf>
    <xf numFmtId="0" fontId="4" fillId="25" borderId="63" xfId="0" applyFont="1" applyFill="1" applyBorder="1" applyAlignment="1">
      <alignment vertical="top" wrapText="1"/>
    </xf>
    <xf numFmtId="0" fontId="64" fillId="43" borderId="0" xfId="0" quotePrefix="1" applyFont="1" applyFill="1" applyAlignment="1">
      <alignment horizontal="left" vertical="top" wrapText="1"/>
    </xf>
    <xf numFmtId="0" fontId="64" fillId="43" borderId="39" xfId="0" quotePrefix="1" applyFont="1" applyFill="1" applyBorder="1" applyAlignment="1">
      <alignment horizontal="left" vertical="top" wrapText="1"/>
    </xf>
    <xf numFmtId="0" fontId="2" fillId="25" borderId="70" xfId="0" applyFont="1" applyFill="1" applyBorder="1" applyAlignment="1">
      <alignment vertical="top" wrapText="1"/>
    </xf>
    <xf numFmtId="49" fontId="2" fillId="42" borderId="24" xfId="0" applyNumberFormat="1" applyFont="1" applyFill="1" applyBorder="1" applyAlignment="1" applyProtection="1">
      <alignment horizontal="left" vertical="top"/>
      <protection locked="0"/>
    </xf>
    <xf numFmtId="49" fontId="2" fillId="42" borderId="20" xfId="0" applyNumberFormat="1" applyFont="1" applyFill="1" applyBorder="1" applyAlignment="1" applyProtection="1">
      <alignment horizontal="left" vertical="top"/>
      <protection locked="0"/>
    </xf>
    <xf numFmtId="0" fontId="66" fillId="53" borderId="0" xfId="0" quotePrefix="1" applyFont="1" applyFill="1" applyAlignment="1">
      <alignment horizontal="left" vertical="center" wrapText="1"/>
    </xf>
    <xf numFmtId="0" fontId="2" fillId="42" borderId="101" xfId="0" applyFont="1" applyFill="1" applyBorder="1" applyAlignment="1" applyProtection="1">
      <alignment vertical="top"/>
      <protection locked="0"/>
    </xf>
    <xf numFmtId="0" fontId="2" fillId="42" borderId="14" xfId="0" applyFont="1" applyFill="1" applyBorder="1" applyAlignment="1" applyProtection="1">
      <alignment vertical="top"/>
      <protection locked="0"/>
    </xf>
    <xf numFmtId="49" fontId="2" fillId="29" borderId="107" xfId="0" applyNumberFormat="1" applyFont="1" applyFill="1" applyBorder="1" applyAlignment="1" applyProtection="1">
      <alignment horizontal="left" vertical="top"/>
      <protection locked="0"/>
    </xf>
    <xf numFmtId="49" fontId="2" fillId="29" borderId="22" xfId="0" applyNumberFormat="1" applyFont="1" applyFill="1" applyBorder="1" applyAlignment="1" applyProtection="1">
      <alignment vertical="top"/>
      <protection locked="0"/>
    </xf>
    <xf numFmtId="49" fontId="2" fillId="29" borderId="106" xfId="0" applyNumberFormat="1" applyFont="1" applyFill="1" applyBorder="1" applyAlignment="1" applyProtection="1">
      <alignment vertical="top"/>
      <protection locked="0"/>
    </xf>
    <xf numFmtId="0" fontId="2" fillId="41" borderId="15" xfId="0" applyFont="1" applyFill="1" applyBorder="1" applyAlignment="1">
      <alignment horizontal="left" vertical="top"/>
    </xf>
    <xf numFmtId="0" fontId="2" fillId="41" borderId="21" xfId="0" applyFont="1" applyFill="1" applyBorder="1" applyAlignment="1">
      <alignment horizontal="left" vertical="top"/>
    </xf>
    <xf numFmtId="0" fontId="4" fillId="25" borderId="12" xfId="0" applyFont="1" applyFill="1" applyBorder="1" applyAlignment="1">
      <alignment horizontal="left" vertical="top" wrapText="1"/>
    </xf>
    <xf numFmtId="0" fontId="2" fillId="0" borderId="0" xfId="0" applyFont="1"/>
    <xf numFmtId="49" fontId="2" fillId="29" borderId="15" xfId="0" applyNumberFormat="1" applyFont="1" applyFill="1" applyBorder="1" applyAlignment="1" applyProtection="1">
      <alignment vertical="top"/>
      <protection locked="0"/>
    </xf>
    <xf numFmtId="49" fontId="2" fillId="29" borderId="21" xfId="0" applyNumberFormat="1" applyFont="1" applyFill="1" applyBorder="1" applyAlignment="1" applyProtection="1">
      <alignment vertical="top"/>
      <protection locked="0"/>
    </xf>
    <xf numFmtId="0" fontId="57" fillId="50" borderId="133" xfId="0" applyFont="1" applyFill="1" applyBorder="1" applyAlignment="1">
      <alignment horizontal="left"/>
    </xf>
    <xf numFmtId="0" fontId="57" fillId="50" borderId="131" xfId="0" applyFont="1" applyFill="1" applyBorder="1" applyAlignment="1">
      <alignment horizontal="left"/>
    </xf>
    <xf numFmtId="0" fontId="2" fillId="42" borderId="99" xfId="0" applyFont="1" applyFill="1" applyBorder="1" applyAlignment="1" applyProtection="1">
      <alignment vertical="top"/>
      <protection locked="0"/>
    </xf>
    <xf numFmtId="0" fontId="2" fillId="42" borderId="16" xfId="0" applyFont="1" applyFill="1" applyBorder="1" applyAlignment="1" applyProtection="1">
      <alignment vertical="top"/>
      <protection locked="0"/>
    </xf>
    <xf numFmtId="49" fontId="2" fillId="29" borderId="16" xfId="0" applyNumberFormat="1" applyFont="1" applyFill="1" applyBorder="1" applyAlignment="1" applyProtection="1">
      <alignment vertical="top"/>
      <protection locked="0"/>
    </xf>
    <xf numFmtId="49" fontId="2" fillId="29" borderId="24" xfId="0" applyNumberFormat="1" applyFont="1" applyFill="1" applyBorder="1" applyAlignment="1" applyProtection="1">
      <alignment vertical="top"/>
      <protection locked="0"/>
    </xf>
    <xf numFmtId="0" fontId="2" fillId="41" borderId="14" xfId="0" applyFont="1" applyFill="1" applyBorder="1" applyAlignment="1">
      <alignment horizontal="left" vertical="top"/>
    </xf>
    <xf numFmtId="0" fontId="2" fillId="41" borderId="20" xfId="0" applyFont="1" applyFill="1" applyBorder="1" applyAlignment="1">
      <alignment horizontal="left" vertical="top"/>
    </xf>
    <xf numFmtId="0" fontId="2" fillId="41" borderId="16" xfId="0" applyFont="1" applyFill="1" applyBorder="1" applyAlignment="1">
      <alignment horizontal="left" vertical="top"/>
    </xf>
    <xf numFmtId="0" fontId="2" fillId="41" borderId="24" xfId="0" applyFont="1" applyFill="1" applyBorder="1" applyAlignment="1">
      <alignment horizontal="left" vertical="top"/>
    </xf>
    <xf numFmtId="0" fontId="2" fillId="42" borderId="16" xfId="0" applyFont="1"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54" fillId="50" borderId="70" xfId="0" applyFont="1" applyFill="1" applyBorder="1" applyAlignment="1">
      <alignment vertical="top" wrapText="1"/>
    </xf>
    <xf numFmtId="0" fontId="54" fillId="50" borderId="26" xfId="0" applyFont="1" applyFill="1" applyBorder="1" applyAlignment="1">
      <alignment vertical="top" wrapText="1"/>
    </xf>
    <xf numFmtId="0" fontId="54" fillId="50" borderId="27" xfId="0" applyFont="1" applyFill="1" applyBorder="1" applyAlignment="1">
      <alignment vertical="top" wrapText="1"/>
    </xf>
    <xf numFmtId="0" fontId="35" fillId="27" borderId="70" xfId="0" applyFont="1" applyFill="1" applyBorder="1" applyAlignment="1">
      <alignment horizontal="left"/>
    </xf>
    <xf numFmtId="0" fontId="35" fillId="27" borderId="26" xfId="0" applyFont="1" applyFill="1" applyBorder="1" applyAlignment="1">
      <alignment horizontal="left"/>
    </xf>
    <xf numFmtId="0" fontId="35" fillId="27" borderId="27" xfId="0" applyFont="1" applyFill="1" applyBorder="1" applyAlignment="1">
      <alignment horizontal="left"/>
    </xf>
    <xf numFmtId="0" fontId="36" fillId="50" borderId="0" xfId="60" applyNumberFormat="1" applyFont="1" applyFill="1" applyAlignment="1" applyProtection="1">
      <alignment vertical="top" wrapText="1"/>
    </xf>
    <xf numFmtId="0" fontId="6" fillId="50" borderId="143" xfId="60" applyFill="1" applyBorder="1" applyAlignment="1" applyProtection="1">
      <alignment horizontal="center" vertical="top" wrapText="1"/>
    </xf>
    <xf numFmtId="0" fontId="2" fillId="40" borderId="13" xfId="0" applyFont="1" applyFill="1" applyBorder="1" applyAlignment="1">
      <alignment horizontal="center" vertical="top"/>
    </xf>
    <xf numFmtId="0" fontId="2" fillId="25" borderId="0" xfId="0" applyFont="1" applyFill="1" applyAlignment="1">
      <alignment horizontal="center" vertical="top"/>
    </xf>
    <xf numFmtId="0" fontId="2" fillId="42" borderId="70" xfId="0" applyFont="1" applyFill="1" applyBorder="1" applyAlignment="1" applyProtection="1">
      <alignment horizontal="center" vertical="top"/>
      <protection locked="0"/>
    </xf>
    <xf numFmtId="0" fontId="2" fillId="42" borderId="27" xfId="0" applyFont="1" applyFill="1" applyBorder="1" applyAlignment="1" applyProtection="1">
      <alignment horizontal="center" vertical="top"/>
      <protection locked="0"/>
    </xf>
    <xf numFmtId="0" fontId="32" fillId="25" borderId="0" xfId="0" applyFont="1" applyFill="1" applyAlignment="1">
      <alignment horizontal="left" vertical="top" wrapText="1"/>
    </xf>
    <xf numFmtId="0" fontId="32" fillId="25" borderId="0" xfId="0" applyFont="1" applyFill="1" applyAlignment="1">
      <alignment horizontal="center" vertical="top" wrapText="1"/>
    </xf>
    <xf numFmtId="0" fontId="2" fillId="42" borderId="13" xfId="0" applyFont="1" applyFill="1" applyBorder="1" applyAlignment="1" applyProtection="1">
      <alignment horizontal="left" vertical="top"/>
      <protection locked="0"/>
    </xf>
    <xf numFmtId="0" fontId="2" fillId="0" borderId="0" xfId="0" applyFont="1" applyAlignment="1">
      <alignment horizontal="center" vertical="top"/>
    </xf>
    <xf numFmtId="49" fontId="2" fillId="25" borderId="0" xfId="0" applyNumberFormat="1" applyFont="1" applyFill="1" applyAlignment="1">
      <alignment horizontal="left" vertical="top" wrapText="1"/>
    </xf>
    <xf numFmtId="0" fontId="36" fillId="50" borderId="0" xfId="60" applyNumberFormat="1" applyFont="1" applyFill="1" applyBorder="1" applyAlignment="1" applyProtection="1">
      <alignment vertical="top" wrapText="1"/>
    </xf>
    <xf numFmtId="0" fontId="0" fillId="50" borderId="68" xfId="0" applyFill="1" applyBorder="1" applyAlignment="1">
      <alignment horizontal="center" vertical="center" wrapText="1"/>
    </xf>
    <xf numFmtId="0" fontId="0" fillId="50" borderId="0" xfId="0" applyFill="1" applyAlignment="1">
      <alignment horizontal="center" vertical="center" wrapText="1"/>
    </xf>
    <xf numFmtId="0" fontId="0" fillId="50" borderId="39" xfId="0" applyFill="1" applyBorder="1" applyAlignment="1">
      <alignment horizontal="center" vertical="center" wrapText="1"/>
    </xf>
    <xf numFmtId="0" fontId="0" fillId="50" borderId="67" xfId="0" applyFill="1" applyBorder="1" applyAlignment="1">
      <alignment horizontal="center" vertical="center" wrapText="1"/>
    </xf>
    <xf numFmtId="0" fontId="0" fillId="50" borderId="40" xfId="0" applyFill="1" applyBorder="1" applyAlignment="1">
      <alignment horizontal="center" vertical="center" wrapText="1"/>
    </xf>
    <xf numFmtId="0" fontId="0" fillId="50" borderId="41" xfId="0" applyFill="1" applyBorder="1" applyAlignment="1">
      <alignment horizontal="center" vertical="center" wrapText="1"/>
    </xf>
    <xf numFmtId="0" fontId="69" fillId="57" borderId="0" xfId="0" applyFont="1" applyFill="1" applyAlignment="1">
      <alignment horizontal="right" vertical="top"/>
    </xf>
    <xf numFmtId="0" fontId="70" fillId="57" borderId="0" xfId="0" applyFont="1" applyFill="1" applyAlignment="1">
      <alignment horizontal="right" vertical="top"/>
    </xf>
    <xf numFmtId="0" fontId="3" fillId="26" borderId="0" xfId="0" applyFont="1" applyFill="1" applyAlignment="1">
      <alignment horizontal="left"/>
    </xf>
    <xf numFmtId="0" fontId="8" fillId="25" borderId="0" xfId="0" applyFont="1" applyFill="1" applyAlignment="1">
      <alignment horizontal="left" vertical="top"/>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0" fillId="42" borderId="13" xfId="0" applyFill="1" applyBorder="1" applyAlignment="1" applyProtection="1">
      <alignment horizontal="left"/>
      <protection locked="0"/>
    </xf>
    <xf numFmtId="0" fontId="9" fillId="41" borderId="0" xfId="0" applyFont="1" applyFill="1" applyAlignment="1">
      <alignment vertical="top" wrapText="1"/>
    </xf>
    <xf numFmtId="0" fontId="0" fillId="0" borderId="25" xfId="0" applyBorder="1" applyAlignment="1">
      <alignment vertical="top" wrapText="1"/>
    </xf>
    <xf numFmtId="0" fontId="0" fillId="0" borderId="12" xfId="0" applyBorder="1" applyAlignment="1">
      <alignment vertical="top" wrapText="1"/>
    </xf>
    <xf numFmtId="0" fontId="2" fillId="44" borderId="100" xfId="0" applyFont="1" applyFill="1" applyBorder="1" applyAlignment="1" applyProtection="1">
      <alignment horizontal="left" vertical="top"/>
      <protection locked="0"/>
    </xf>
    <xf numFmtId="0" fontId="0" fillId="44" borderId="15" xfId="0" applyFill="1" applyBorder="1" applyAlignment="1" applyProtection="1">
      <alignment horizontal="left" vertical="top"/>
      <protection locked="0"/>
    </xf>
    <xf numFmtId="0" fontId="2" fillId="44" borderId="15" xfId="0" applyFont="1" applyFill="1" applyBorder="1" applyAlignment="1" applyProtection="1">
      <alignment horizontal="left" vertical="top"/>
      <protection locked="0"/>
    </xf>
    <xf numFmtId="0" fontId="0" fillId="44" borderId="21" xfId="0" applyFill="1" applyBorder="1" applyAlignment="1" applyProtection="1">
      <alignment horizontal="left" vertical="top"/>
      <protection locked="0"/>
    </xf>
    <xf numFmtId="0" fontId="2" fillId="44" borderId="16" xfId="0" applyFont="1" applyFill="1" applyBorder="1" applyAlignment="1" applyProtection="1">
      <alignment horizontal="left" vertical="top"/>
      <protection locked="0"/>
    </xf>
    <xf numFmtId="0" fontId="0" fillId="44" borderId="24" xfId="0" applyFill="1" applyBorder="1" applyAlignment="1" applyProtection="1">
      <alignment horizontal="left" vertical="top"/>
      <protection locked="0"/>
    </xf>
    <xf numFmtId="0" fontId="2" fillId="44" borderId="99" xfId="0" applyFont="1" applyFill="1" applyBorder="1" applyAlignment="1" applyProtection="1">
      <alignment horizontal="left" vertical="top"/>
      <protection locked="0"/>
    </xf>
    <xf numFmtId="0" fontId="0" fillId="44"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0" borderId="20" xfId="0" applyBorder="1" applyAlignment="1" applyProtection="1">
      <alignment horizontal="left" vertical="top"/>
      <protection locked="0"/>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4" fillId="25" borderId="11" xfId="0" applyFont="1" applyFill="1" applyBorder="1" applyAlignment="1">
      <alignment horizontal="center" wrapText="1"/>
    </xf>
    <xf numFmtId="0" fontId="9" fillId="25" borderId="0" xfId="0" applyFont="1" applyFill="1" applyAlignment="1">
      <alignment vertical="top" wrapText="1"/>
    </xf>
    <xf numFmtId="0" fontId="32" fillId="25" borderId="12" xfId="0" applyFont="1" applyFill="1" applyBorder="1" applyAlignment="1">
      <alignment horizontal="left" vertical="top" wrapText="1"/>
    </xf>
    <xf numFmtId="0" fontId="2" fillId="44" borderId="14" xfId="0" applyFont="1" applyFill="1" applyBorder="1" applyAlignment="1" applyProtection="1">
      <alignment horizontal="left" vertical="top"/>
      <protection locked="0"/>
    </xf>
    <xf numFmtId="0" fontId="0" fillId="44" borderId="20" xfId="0" applyFill="1" applyBorder="1" applyAlignment="1" applyProtection="1">
      <alignment horizontal="left" vertical="top"/>
      <protection locked="0"/>
    </xf>
    <xf numFmtId="0" fontId="2" fillId="44" borderId="101" xfId="0" applyFont="1" applyFill="1" applyBorder="1" applyAlignment="1" applyProtection="1">
      <alignment horizontal="left" vertical="top"/>
      <protection locked="0"/>
    </xf>
    <xf numFmtId="0" fontId="0" fillId="44" borderId="14" xfId="0" applyFill="1" applyBorder="1" applyAlignment="1" applyProtection="1">
      <alignment horizontal="left" vertical="top"/>
      <protection locked="0"/>
    </xf>
    <xf numFmtId="0" fontId="34" fillId="44" borderId="0" xfId="0" applyFont="1" applyFill="1" applyAlignment="1" applyProtection="1">
      <alignment horizontal="left" vertical="top"/>
      <protection locked="0"/>
    </xf>
    <xf numFmtId="0" fontId="2" fillId="44" borderId="22" xfId="0" applyFont="1" applyFill="1" applyBorder="1" applyAlignment="1" applyProtection="1">
      <alignment horizontal="left" vertical="top"/>
      <protection locked="0"/>
    </xf>
    <xf numFmtId="0" fontId="34" fillId="44" borderId="22" xfId="0" applyFont="1" applyFill="1" applyBorder="1" applyAlignment="1" applyProtection="1">
      <alignment horizontal="left" vertical="top"/>
      <protection locked="0"/>
    </xf>
    <xf numFmtId="0" fontId="2" fillId="44" borderId="0" xfId="0" applyFont="1" applyFill="1" applyAlignment="1" applyProtection="1">
      <alignment horizontal="left" vertical="top"/>
      <protection locked="0"/>
    </xf>
    <xf numFmtId="0" fontId="32" fillId="25" borderId="18" xfId="0" applyFont="1" applyFill="1" applyBorder="1" applyAlignment="1">
      <alignment vertical="top" wrapText="1"/>
    </xf>
    <xf numFmtId="0" fontId="35" fillId="27" borderId="26" xfId="0" applyFont="1" applyFill="1" applyBorder="1" applyAlignment="1">
      <alignment vertical="top" wrapText="1"/>
    </xf>
    <xf numFmtId="0" fontId="35" fillId="27" borderId="27" xfId="0" applyFont="1" applyFill="1" applyBorder="1" applyAlignment="1">
      <alignment vertical="top" wrapText="1"/>
    </xf>
    <xf numFmtId="0" fontId="62" fillId="25" borderId="17" xfId="0" applyFont="1" applyFill="1" applyBorder="1" applyAlignment="1">
      <alignment vertical="top" wrapText="1"/>
    </xf>
    <xf numFmtId="0" fontId="62" fillId="25" borderId="15" xfId="0" applyFont="1" applyFill="1" applyBorder="1" applyAlignment="1">
      <alignment vertical="top" wrapText="1"/>
    </xf>
    <xf numFmtId="0" fontId="62" fillId="52" borderId="15" xfId="0" applyFont="1" applyFill="1" applyBorder="1" applyAlignment="1">
      <alignment vertical="top" wrapText="1"/>
    </xf>
    <xf numFmtId="0" fontId="35" fillId="27" borderId="70" xfId="0" applyFont="1" applyFill="1" applyBorder="1" applyAlignment="1">
      <alignment horizontal="left" vertical="top" wrapText="1"/>
    </xf>
    <xf numFmtId="0" fontId="35" fillId="27" borderId="26" xfId="0" applyFont="1" applyFill="1" applyBorder="1" applyAlignment="1">
      <alignment horizontal="left" vertical="top" wrapText="1"/>
    </xf>
    <xf numFmtId="0" fontId="35" fillId="27" borderId="51" xfId="0" applyFont="1" applyFill="1" applyBorder="1" applyAlignment="1">
      <alignment horizontal="left" vertical="top" wrapText="1"/>
    </xf>
    <xf numFmtId="0" fontId="62" fillId="25" borderId="15" xfId="0" applyFont="1" applyFill="1" applyBorder="1" applyAlignment="1">
      <alignment vertical="top"/>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2" fillId="40" borderId="15" xfId="0" applyFont="1" applyFill="1" applyBorder="1" applyAlignment="1">
      <alignment horizontal="left" vertical="top"/>
    </xf>
    <xf numFmtId="0" fontId="2" fillId="40" borderId="14" xfId="0" applyFont="1" applyFill="1" applyBorder="1" applyAlignment="1">
      <alignment horizontal="left" vertical="top"/>
    </xf>
    <xf numFmtId="0" fontId="2" fillId="40" borderId="16" xfId="0" applyFont="1" applyFill="1" applyBorder="1" applyAlignment="1">
      <alignment horizontal="left" vertical="top"/>
    </xf>
    <xf numFmtId="0" fontId="2" fillId="25" borderId="63" xfId="0" applyFont="1" applyFill="1" applyBorder="1" applyAlignment="1">
      <alignment vertical="top" wrapText="1"/>
    </xf>
    <xf numFmtId="0" fontId="2" fillId="25" borderId="25"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0" fontId="67" fillId="41" borderId="0" xfId="0" applyFont="1" applyFill="1" applyAlignment="1">
      <alignment horizontal="left" vertical="top"/>
    </xf>
    <xf numFmtId="49" fontId="67" fillId="41" borderId="0" xfId="0" applyNumberFormat="1" applyFont="1" applyFill="1" applyAlignment="1">
      <alignment horizontal="left" vertical="top"/>
    </xf>
    <xf numFmtId="0" fontId="2" fillId="27" borderId="70" xfId="0" applyFont="1" applyFill="1" applyBorder="1" applyAlignment="1">
      <alignment horizontal="left" vertical="top" wrapText="1"/>
    </xf>
    <xf numFmtId="0" fontId="2" fillId="0" borderId="27" xfId="0" applyFont="1" applyBorder="1" applyAlignment="1">
      <alignment horizontal="left" vertical="top" wrapText="1"/>
    </xf>
    <xf numFmtId="49" fontId="4" fillId="25" borderId="0" xfId="0" applyNumberFormat="1" applyFont="1" applyFill="1" applyAlignment="1">
      <alignment horizontal="left" vertical="top" wrapText="1"/>
    </xf>
    <xf numFmtId="49" fontId="4" fillId="25" borderId="18" xfId="0" applyNumberFormat="1" applyFont="1" applyFill="1" applyBorder="1" applyAlignment="1">
      <alignment horizontal="left" vertical="top" wrapText="1"/>
    </xf>
    <xf numFmtId="0" fontId="2" fillId="27" borderId="70" xfId="0" applyFont="1" applyFill="1" applyBorder="1" applyAlignment="1">
      <alignment vertical="top" wrapText="1"/>
    </xf>
    <xf numFmtId="0" fontId="2" fillId="27" borderId="27" xfId="0" applyFont="1" applyFill="1" applyBorder="1" applyAlignment="1">
      <alignment vertical="top" wrapText="1"/>
    </xf>
    <xf numFmtId="0" fontId="4" fillId="25" borderId="57" xfId="0" applyFont="1" applyFill="1" applyBorder="1" applyAlignment="1">
      <alignment vertical="top" wrapText="1"/>
    </xf>
    <xf numFmtId="0" fontId="2" fillId="0" borderId="37" xfId="0" applyFont="1" applyBorder="1" applyAlignment="1">
      <alignment vertical="top" wrapText="1"/>
    </xf>
    <xf numFmtId="0" fontId="36" fillId="50" borderId="84" xfId="60" applyFont="1" applyFill="1" applyBorder="1" applyAlignment="1" applyProtection="1">
      <alignment horizontal="center" vertical="center" wrapText="1"/>
    </xf>
    <xf numFmtId="0" fontId="36" fillId="50" borderId="85" xfId="60" applyFont="1" applyFill="1" applyBorder="1" applyAlignment="1" applyProtection="1">
      <alignment horizontal="center" vertical="center" wrapText="1"/>
    </xf>
    <xf numFmtId="0" fontId="36" fillId="50" borderId="86" xfId="60" applyFont="1" applyFill="1" applyBorder="1" applyAlignment="1" applyProtection="1">
      <alignment horizontal="center" vertical="center" wrapText="1"/>
    </xf>
    <xf numFmtId="0" fontId="2" fillId="0" borderId="39" xfId="0" applyFont="1" applyBorder="1" applyAlignment="1">
      <alignment vertical="top" wrapText="1"/>
    </xf>
    <xf numFmtId="0" fontId="2" fillId="41" borderId="0" xfId="0" applyFont="1" applyFill="1" applyAlignment="1">
      <alignment horizontal="left" vertical="top" wrapText="1"/>
    </xf>
    <xf numFmtId="0" fontId="67" fillId="41" borderId="0" xfId="0" applyFont="1" applyFill="1" applyAlignment="1">
      <alignment vertical="top" wrapText="1"/>
    </xf>
    <xf numFmtId="0" fontId="2" fillId="40" borderId="14" xfId="0" applyFont="1" applyFill="1" applyBorder="1" applyAlignment="1">
      <alignment vertical="top" wrapText="1"/>
    </xf>
    <xf numFmtId="0" fontId="4" fillId="50" borderId="69" xfId="0" applyFont="1" applyFill="1" applyBorder="1" applyAlignment="1">
      <alignment horizontal="center" vertical="top" wrapText="1"/>
    </xf>
    <xf numFmtId="0" fontId="4" fillId="25" borderId="103" xfId="0" applyFont="1" applyFill="1" applyBorder="1" applyAlignment="1">
      <alignment vertical="top" wrapText="1"/>
    </xf>
    <xf numFmtId="0" fontId="2" fillId="0" borderId="52" xfId="0" applyFont="1" applyBorder="1" applyAlignment="1">
      <alignment vertical="top" wrapText="1"/>
    </xf>
    <xf numFmtId="0" fontId="2" fillId="25" borderId="37" xfId="0" applyFont="1" applyFill="1" applyBorder="1" applyAlignment="1">
      <alignment vertical="top" wrapText="1"/>
    </xf>
    <xf numFmtId="0" fontId="4" fillId="25" borderId="52" xfId="0" applyFont="1" applyFill="1" applyBorder="1" applyAlignment="1">
      <alignment vertical="top" wrapText="1"/>
    </xf>
    <xf numFmtId="0" fontId="4" fillId="25" borderId="26" xfId="0" applyFont="1" applyFill="1" applyBorder="1" applyAlignment="1">
      <alignment vertical="top" wrapText="1"/>
    </xf>
    <xf numFmtId="0" fontId="4" fillId="25" borderId="37" xfId="0" applyFont="1" applyFill="1" applyBorder="1" applyAlignment="1">
      <alignment vertical="top" wrapText="1"/>
    </xf>
    <xf numFmtId="0" fontId="33" fillId="40" borderId="70" xfId="0" applyFont="1" applyFill="1" applyBorder="1" applyAlignment="1">
      <alignment horizontal="left"/>
    </xf>
    <xf numFmtId="0" fontId="33" fillId="40" borderId="26" xfId="0" applyFont="1" applyFill="1" applyBorder="1" applyAlignment="1">
      <alignment horizontal="left"/>
    </xf>
    <xf numFmtId="0" fontId="33" fillId="40" borderId="27" xfId="0" applyFont="1" applyFill="1" applyBorder="1" applyAlignment="1">
      <alignment horizontal="left"/>
    </xf>
    <xf numFmtId="0" fontId="2" fillId="41" borderId="12" xfId="0" applyFont="1" applyFill="1" applyBorder="1" applyAlignment="1">
      <alignment horizontal="left" vertical="top" wrapText="1"/>
    </xf>
    <xf numFmtId="0" fontId="2" fillId="0" borderId="15" xfId="0" applyFont="1" applyBorder="1" applyAlignment="1">
      <alignment vertical="top"/>
    </xf>
    <xf numFmtId="0" fontId="62" fillId="41" borderId="0" xfId="0" applyFont="1" applyFill="1" applyAlignment="1">
      <alignment vertical="top" wrapText="1"/>
    </xf>
    <xf numFmtId="0" fontId="2" fillId="40" borderId="17" xfId="0" applyFont="1" applyFill="1" applyBorder="1" applyAlignment="1">
      <alignment horizontal="left" vertical="top"/>
    </xf>
    <xf numFmtId="0" fontId="2" fillId="25" borderId="11" xfId="0" applyFont="1" applyFill="1" applyBorder="1" applyAlignment="1">
      <alignment horizontal="left" vertical="top"/>
    </xf>
    <xf numFmtId="0" fontId="2" fillId="25" borderId="63" xfId="0" applyFont="1" applyFill="1" applyBorder="1" applyAlignment="1">
      <alignment horizontal="left" vertical="top"/>
    </xf>
    <xf numFmtId="0" fontId="2" fillId="25" borderId="13" xfId="0" applyFont="1" applyFill="1" applyBorder="1" applyAlignment="1">
      <alignment horizontal="left" vertical="top"/>
    </xf>
    <xf numFmtId="0" fontId="2" fillId="25" borderId="70" xfId="0" applyFont="1" applyFill="1" applyBorder="1" applyAlignment="1">
      <alignment horizontal="left" vertical="top"/>
    </xf>
    <xf numFmtId="0" fontId="2" fillId="25" borderId="61" xfId="0" applyFont="1" applyFill="1" applyBorder="1" applyAlignment="1">
      <alignment horizontal="left" vertical="top"/>
    </xf>
    <xf numFmtId="0" fontId="2" fillId="25" borderId="121" xfId="0" applyFont="1" applyFill="1" applyBorder="1" applyAlignment="1">
      <alignment horizontal="left" vertical="top"/>
    </xf>
    <xf numFmtId="0" fontId="2" fillId="25" borderId="10" xfId="0" applyFont="1" applyFill="1" applyBorder="1" applyAlignment="1">
      <alignment horizontal="left" vertical="top"/>
    </xf>
    <xf numFmtId="0" fontId="2" fillId="25" borderId="107" xfId="0" applyFont="1" applyFill="1" applyBorder="1" applyAlignment="1">
      <alignment horizontal="left" vertical="top"/>
    </xf>
    <xf numFmtId="0" fontId="2" fillId="25" borderId="75" xfId="0" applyFont="1" applyFill="1" applyBorder="1" applyAlignment="1">
      <alignment horizontal="left" vertical="top"/>
    </xf>
    <xf numFmtId="0" fontId="2" fillId="25" borderId="102" xfId="0" applyFont="1" applyFill="1" applyBorder="1" applyAlignment="1">
      <alignment horizontal="left" vertical="top"/>
    </xf>
    <xf numFmtId="0" fontId="4" fillId="25" borderId="0" xfId="0" applyFont="1" applyFill="1" applyAlignment="1">
      <alignment horizontal="left" vertical="top"/>
    </xf>
    <xf numFmtId="0" fontId="4" fillId="25" borderId="18" xfId="0" applyFont="1" applyFill="1" applyBorder="1" applyAlignment="1">
      <alignment horizontal="left" vertical="top"/>
    </xf>
    <xf numFmtId="0" fontId="2" fillId="42" borderId="58" xfId="0" applyFont="1" applyFill="1" applyBorder="1" applyAlignment="1">
      <alignment horizontal="center" vertical="center" wrapText="1"/>
    </xf>
    <xf numFmtId="0" fontId="2" fillId="42" borderId="29" xfId="0" applyFont="1" applyFill="1" applyBorder="1" applyAlignment="1">
      <alignment horizontal="center" vertical="center" wrapText="1"/>
    </xf>
    <xf numFmtId="0" fontId="2" fillId="42" borderId="31" xfId="0" applyFont="1" applyFill="1" applyBorder="1" applyAlignment="1">
      <alignment horizontal="center" vertical="center" wrapText="1"/>
    </xf>
    <xf numFmtId="0" fontId="2" fillId="42" borderId="68" xfId="0" applyFont="1" applyFill="1" applyBorder="1" applyAlignment="1">
      <alignment horizontal="center" vertical="center" wrapText="1"/>
    </xf>
    <xf numFmtId="0" fontId="2" fillId="42" borderId="0" xfId="0" applyFont="1" applyFill="1" applyAlignment="1">
      <alignment horizontal="center" vertical="center" wrapText="1"/>
    </xf>
    <xf numFmtId="0" fontId="2" fillId="42" borderId="39" xfId="0" applyFont="1" applyFill="1" applyBorder="1" applyAlignment="1">
      <alignment horizontal="center" vertical="center" wrapText="1"/>
    </xf>
    <xf numFmtId="0" fontId="2" fillId="42" borderId="67" xfId="0" applyFont="1" applyFill="1" applyBorder="1" applyAlignment="1">
      <alignment horizontal="center" vertical="center" wrapText="1"/>
    </xf>
    <xf numFmtId="0" fontId="2" fillId="42" borderId="40" xfId="0" applyFont="1" applyFill="1" applyBorder="1" applyAlignment="1">
      <alignment horizontal="center" vertical="center" wrapText="1"/>
    </xf>
    <xf numFmtId="0" fontId="2" fillId="42" borderId="41" xfId="0" applyFont="1" applyFill="1" applyBorder="1" applyAlignment="1">
      <alignment horizontal="center" vertical="center" wrapText="1"/>
    </xf>
    <xf numFmtId="0" fontId="6" fillId="50" borderId="13" xfId="0" applyFont="1" applyFill="1" applyBorder="1" applyAlignment="1">
      <alignment horizontal="left" vertical="top" wrapText="1"/>
    </xf>
    <xf numFmtId="0" fontId="2" fillId="27" borderId="13" xfId="0" applyFont="1" applyFill="1" applyBorder="1" applyAlignment="1">
      <alignment horizontal="center" vertical="top"/>
    </xf>
    <xf numFmtId="0" fontId="64" fillId="41" borderId="0" xfId="0" applyFont="1" applyFill="1" applyAlignment="1">
      <alignment horizontal="left" vertical="top" wrapText="1"/>
    </xf>
    <xf numFmtId="0" fontId="4" fillId="50" borderId="29" xfId="0" applyFont="1" applyFill="1" applyBorder="1" applyAlignment="1">
      <alignment horizontal="center" vertical="center" wrapText="1"/>
    </xf>
    <xf numFmtId="0" fontId="4" fillId="50" borderId="31" xfId="0" applyFont="1" applyFill="1" applyBorder="1" applyAlignment="1">
      <alignment horizontal="center" vertical="center" wrapText="1"/>
    </xf>
    <xf numFmtId="0" fontId="4" fillId="50" borderId="68" xfId="0" applyFont="1" applyFill="1" applyBorder="1" applyAlignment="1">
      <alignment horizontal="center" vertical="center" wrapText="1"/>
    </xf>
    <xf numFmtId="0" fontId="4" fillId="50" borderId="0" xfId="0" applyFont="1" applyFill="1" applyAlignment="1">
      <alignment horizontal="center" vertical="center" wrapText="1"/>
    </xf>
    <xf numFmtId="0" fontId="4" fillId="50" borderId="39" xfId="0" applyFont="1" applyFill="1" applyBorder="1" applyAlignment="1">
      <alignment horizontal="center" vertical="center" wrapText="1"/>
    </xf>
    <xf numFmtId="0" fontId="4" fillId="50" borderId="84" xfId="0" applyFont="1" applyFill="1" applyBorder="1" applyAlignment="1">
      <alignment horizontal="center" vertical="top"/>
    </xf>
    <xf numFmtId="0" fontId="4" fillId="50" borderId="85" xfId="0" applyFont="1" applyFill="1" applyBorder="1" applyAlignment="1">
      <alignment horizontal="center" vertical="top"/>
    </xf>
    <xf numFmtId="0" fontId="4" fillId="50"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50" borderId="57" xfId="60" applyFill="1" applyBorder="1" applyAlignment="1" applyProtection="1">
      <alignment vertical="top" wrapText="1"/>
    </xf>
    <xf numFmtId="0" fontId="2" fillId="50" borderId="135" xfId="0" applyFont="1" applyFill="1" applyBorder="1" applyAlignment="1">
      <alignment vertical="top" wrapText="1"/>
    </xf>
    <xf numFmtId="0" fontId="6" fillId="50" borderId="136" xfId="60" applyFill="1" applyBorder="1" applyAlignment="1" applyProtection="1">
      <alignment horizontal="center" vertical="top" wrapText="1"/>
    </xf>
    <xf numFmtId="0" fontId="3" fillId="26" borderId="0" xfId="0" applyFont="1" applyFill="1" applyAlignment="1">
      <alignment horizontal="left" vertical="top" wrapText="1"/>
    </xf>
    <xf numFmtId="0" fontId="6" fillId="50" borderId="137" xfId="60" applyFill="1" applyBorder="1" applyAlignment="1" applyProtection="1">
      <alignment horizontal="center" vertical="top" wrapText="1"/>
    </xf>
    <xf numFmtId="0" fontId="6" fillId="50" borderId="138" xfId="60" applyFill="1" applyBorder="1" applyAlignment="1" applyProtection="1">
      <alignment horizontal="center" vertical="top" wrapText="1"/>
    </xf>
    <xf numFmtId="0" fontId="8" fillId="25" borderId="0" xfId="0" applyFont="1" applyFill="1" applyAlignment="1">
      <alignment horizontal="left" vertical="top" wrapText="1"/>
    </xf>
    <xf numFmtId="0" fontId="8" fillId="25" borderId="18" xfId="0" applyFont="1" applyFill="1" applyBorder="1" applyAlignment="1">
      <alignment horizontal="left" vertical="top" wrapText="1"/>
    </xf>
    <xf numFmtId="0" fontId="6" fillId="50" borderId="90" xfId="60" applyFill="1" applyBorder="1" applyAlignment="1" applyProtection="1">
      <alignment horizontal="center" vertical="top" wrapText="1"/>
    </xf>
    <xf numFmtId="0" fontId="36" fillId="0" borderId="69" xfId="60" applyFont="1" applyBorder="1" applyAlignment="1" applyProtection="1">
      <alignment horizontal="center" vertical="top" wrapText="1"/>
    </xf>
    <xf numFmtId="0" fontId="2" fillId="0" borderId="135" xfId="0" applyFont="1" applyBorder="1" applyAlignment="1">
      <alignment vertical="top" wrapText="1"/>
    </xf>
    <xf numFmtId="0" fontId="6" fillId="51" borderId="13" xfId="0" applyFont="1" applyFill="1" applyBorder="1" applyAlignment="1">
      <alignment horizontal="left" vertical="top" wrapText="1"/>
    </xf>
  </cellXfs>
  <cellStyles count="83">
    <cellStyle name="20% - Accent1 2" xfId="1" xr:uid="{162A497B-3C47-46C7-8E92-F60C1A94FB8D}"/>
    <cellStyle name="20% - Accent2 2" xfId="2" xr:uid="{57A78DDE-8A4D-4D86-A1C3-A4E9927EB5B7}"/>
    <cellStyle name="20% - Accent3 2" xfId="3" xr:uid="{F46CC15C-BC02-492A-AC46-4E3630902AE8}"/>
    <cellStyle name="20% - Accent4 2" xfId="4" xr:uid="{F78F98D7-DF89-425E-9996-534237860A3C}"/>
    <cellStyle name="20% - Accent5 2" xfId="5" xr:uid="{308FBB24-081B-4E9E-9CBE-A9F815509138}"/>
    <cellStyle name="20% - Accent6 2" xfId="6" xr:uid="{EC810F5B-4C9F-48FD-8D46-6DEEE7AEA1CF}"/>
    <cellStyle name="20% - Akzent1" xfId="7" xr:uid="{FDD2909D-FCF1-494C-A546-126A88CCA0DC}"/>
    <cellStyle name="20% - Akzent2" xfId="8" xr:uid="{B7CBEB70-C642-4FEB-8C70-7DA8B6C49112}"/>
    <cellStyle name="20% - Akzent3" xfId="9" xr:uid="{227E1FD3-C793-484E-823B-720854A09EB4}"/>
    <cellStyle name="20% - Akzent4" xfId="10" xr:uid="{12531C6A-3D95-49B7-9F2A-C0744E101C15}"/>
    <cellStyle name="20% - Akzent5" xfId="11" xr:uid="{41092412-083B-4673-89AE-04DC3A34BB75}"/>
    <cellStyle name="20% - Akzent6" xfId="12" xr:uid="{6D0FC0F3-C9EB-4802-BB60-97AB7BA13747}"/>
    <cellStyle name="40% - Accent1 2" xfId="13" xr:uid="{7981EDE5-B98F-488C-85CA-AEC662B919D4}"/>
    <cellStyle name="40% - Accent2 2" xfId="14" xr:uid="{C49E3154-BDDE-4F22-BE0B-A3E30BE60D7A}"/>
    <cellStyle name="40% - Accent3 2" xfId="15" xr:uid="{8E01F807-8729-45E6-BED8-BEA4FA149BE9}"/>
    <cellStyle name="40% - Accent4 2" xfId="16" xr:uid="{FB4F2797-5A13-4B35-B908-43AEA12B4F50}"/>
    <cellStyle name="40% - Accent5 2" xfId="17" xr:uid="{B119CEB9-78E4-4D28-98F1-8E6316835D53}"/>
    <cellStyle name="40% - Accent6 2" xfId="18" xr:uid="{D161E4A5-A47E-4B9A-889B-33B9CEF8C706}"/>
    <cellStyle name="40% - Akzent1" xfId="19" xr:uid="{FEA6EDFF-7A9C-4428-9061-6CCB31903C91}"/>
    <cellStyle name="40% - Akzent2" xfId="20" xr:uid="{25A26939-F5C3-41BB-BEEA-F02BC3E321D8}"/>
    <cellStyle name="40% - Akzent3" xfId="21" xr:uid="{B5769AB4-47CC-4B41-A40A-E8745CC6D04F}"/>
    <cellStyle name="40% - Akzent4" xfId="22" xr:uid="{E897863B-41AD-4E39-A453-42310188F430}"/>
    <cellStyle name="40% - Akzent5" xfId="23" xr:uid="{E10B84E7-B35C-4C3E-92F5-688C114F5D13}"/>
    <cellStyle name="40% - Akzent6" xfId="24" xr:uid="{C4F96E35-CC06-4817-A4E5-B08E0EF943E9}"/>
    <cellStyle name="5x indented GHG Textfiels" xfId="25" xr:uid="{4623D17F-8E13-4B2E-848E-0EFDD4D3764F}"/>
    <cellStyle name="60% - Akzent1" xfId="26" xr:uid="{5FE1CC51-ED84-4AE3-9EF6-793DF29AF050}"/>
    <cellStyle name="60% - Akzent2" xfId="27" xr:uid="{4B066C8B-303A-43FB-865B-3ADF5E0F9038}"/>
    <cellStyle name="60% - Akzent3" xfId="28" xr:uid="{C54E94F0-5303-49B7-820B-B9711654D26C}"/>
    <cellStyle name="60% - Akzent4" xfId="29" xr:uid="{96EFFDC3-953F-4F14-BBD3-DB8EB0A6B272}"/>
    <cellStyle name="60% - Akzent5" xfId="30" xr:uid="{1DFED067-94CD-44F5-8E59-A5D3E13676A2}"/>
    <cellStyle name="60% - Akzent6" xfId="31" xr:uid="{2C741A1C-7484-438E-BCAC-954D9EB415C7}"/>
    <cellStyle name="Accent1" xfId="32" xr:uid="{D8FF5EED-A4AF-4D1A-BF78-D846D5D78FF9}"/>
    <cellStyle name="Accent2" xfId="33" xr:uid="{229E82AF-141F-40CE-9753-FE069180849D}"/>
    <cellStyle name="Accent3" xfId="34" xr:uid="{7BF3BC9E-F51E-4AE7-886B-4287B7DDBD73}"/>
    <cellStyle name="Accent4" xfId="35" xr:uid="{1D6E284C-E90A-4B73-94BC-BDB1F792970A}"/>
    <cellStyle name="Accent5" xfId="36" xr:uid="{DCDDBFFD-9D47-4855-A941-209794B014F3}"/>
    <cellStyle name="Accent6" xfId="37" xr:uid="{FDE8ED35-5F3F-49B5-829E-F90FD2A1C62D}"/>
    <cellStyle name="Akzent1" xfId="38" xr:uid="{A0D78FD7-60BD-4197-86A4-A3E4328D099F}"/>
    <cellStyle name="Akzent2" xfId="39" xr:uid="{19C061AE-11B4-42BB-BE1B-5CB7F0338B41}"/>
    <cellStyle name="Akzent3" xfId="40" xr:uid="{6E72B3AB-3ADF-4AD1-B43C-365B71DF7845}"/>
    <cellStyle name="Akzent4" xfId="41" xr:uid="{DD6D73BF-2CC8-4A3D-BE26-E94A6BD32B64}"/>
    <cellStyle name="Akzent5" xfId="42" xr:uid="{689E6537-A5A6-4409-8227-DEF2FC522D60}"/>
    <cellStyle name="Akzent6" xfId="43" xr:uid="{D207CF3C-E871-4138-BDF6-FCBE99E5EB38}"/>
    <cellStyle name="Ausgabe" xfId="44" xr:uid="{35BE2A7F-F5AA-47BC-96AE-DE3FE0B58A18}"/>
    <cellStyle name="Bad" xfId="45" xr:uid="{F88C3221-9C1C-499C-8485-B9113D057BE7}"/>
    <cellStyle name="Berechnung" xfId="46" xr:uid="{643B550C-3849-441D-A1FC-6E6A22C2A2DA}"/>
    <cellStyle name="Calculation" xfId="47" xr:uid="{0DDAD935-C360-4B3B-A202-6B5DE0D9431C}"/>
    <cellStyle name="Check Cell" xfId="48" xr:uid="{CD84BEB3-4342-4374-87D1-1A6DC25DD8D8}"/>
    <cellStyle name="Eingabe" xfId="49" xr:uid="{54E30502-3901-4FC2-AE8F-3296C84B1816}"/>
    <cellStyle name="Ergebnis" xfId="50" xr:uid="{1126E8D0-D7B5-4AAA-B943-E655FF9F6BE6}"/>
    <cellStyle name="Erklärender Text" xfId="51" xr:uid="{CA721993-0725-4196-917C-AEE8E94D5E88}"/>
    <cellStyle name="Explanatory Text" xfId="52" xr:uid="{8D28438B-68C9-4CD5-B2D7-4E74956956F2}"/>
    <cellStyle name="Good" xfId="53" xr:uid="{FEA9EB72-DC02-4F3A-B8E1-9CAA7D6E56FE}"/>
    <cellStyle name="Gut" xfId="54" xr:uid="{36E7EB01-EC16-4265-AEF2-A6ABE3C8A00A}"/>
    <cellStyle name="Heading 1" xfId="55" xr:uid="{8771B12D-F74F-4360-8BCB-40A361322D88}"/>
    <cellStyle name="Heading 2" xfId="56" xr:uid="{FFA34157-ECCD-48F4-B5E4-A74CC7F52381}"/>
    <cellStyle name="Heading 3" xfId="57" xr:uid="{C103B0A7-FFDA-4CDA-909C-A181F8062034}"/>
    <cellStyle name="Heading 4" xfId="58" xr:uid="{681A719F-0F93-4860-9667-87EAEA93275B}"/>
    <cellStyle name="Hyperlink" xfId="60" builtinId="8"/>
    <cellStyle name="Input" xfId="59" xr:uid="{92DE1321-7735-461B-8AC4-1156ADE639C7}"/>
    <cellStyle name="Linked Cell" xfId="61" xr:uid="{6395E0C2-B3BA-4C6D-A28C-D0B4D243BEA8}"/>
    <cellStyle name="Neutral" xfId="62" xr:uid="{4A6C2827-4012-4D05-97FC-F7F70DAD4FD3}"/>
    <cellStyle name="Normal" xfId="0" builtinId="0"/>
    <cellStyle name="Note" xfId="63" xr:uid="{CF9CCB14-BFCB-424B-8481-2DA99B9A62A7}"/>
    <cellStyle name="Notiz" xfId="64" xr:uid="{DB9D3132-EB25-41F4-9E50-2C9FEE83B8E1}"/>
    <cellStyle name="Output" xfId="65" xr:uid="{BADC2C50-45F2-49DF-A300-936391C7F3F6}"/>
    <cellStyle name="Per cent" xfId="66" builtinId="5"/>
    <cellStyle name="Schlecht" xfId="67" xr:uid="{64B05641-5A62-423F-97F8-31A63377A694}"/>
    <cellStyle name="Standard 2" xfId="68" xr:uid="{D4A76B4C-9C23-4AD5-8DAC-D94F2B6A147E}"/>
    <cellStyle name="Standard 3" xfId="69" xr:uid="{F43530B9-7881-472E-B204-0CEC0F9A98EF}"/>
    <cellStyle name="Standard_Outline NIMs template 10-09-30" xfId="70" xr:uid="{79598A4A-F388-401B-9165-BEF635A51AA6}"/>
    <cellStyle name="Title" xfId="71" xr:uid="{5AAB9489-E615-4000-AFEA-3FA09323E5A9}"/>
    <cellStyle name="Total" xfId="72" xr:uid="{5A7CC9DC-8343-4E52-89FF-59EF9DEA6F7B}"/>
    <cellStyle name="Überschrift" xfId="73" xr:uid="{6BF9C600-A926-4DF7-AE7C-722E04E5F89F}"/>
    <cellStyle name="Überschrift 1" xfId="74" xr:uid="{148E367F-B5A8-4F97-AEA4-A6534C2CD27D}"/>
    <cellStyle name="Überschrift 2" xfId="75" xr:uid="{859ABDC7-1AD1-4CF2-B4A3-A0745FA3DDE9}"/>
    <cellStyle name="Überschrift 3" xfId="76" xr:uid="{0874819B-37BF-4FBD-8BC9-1487DD058B19}"/>
    <cellStyle name="Überschrift 4" xfId="77" xr:uid="{12B18092-51B7-477F-9020-2EE83DD17849}"/>
    <cellStyle name="Verknüpfte Zelle" xfId="78" xr:uid="{42FA3055-7FC8-425E-B935-A2172E75101A}"/>
    <cellStyle name="Warnender Text" xfId="79" xr:uid="{23FCF94C-308B-473F-8EDF-340948D9DC12}"/>
    <cellStyle name="Warning Text" xfId="80" xr:uid="{1E6EE197-58FC-4E81-96EA-EE77A22E5224}"/>
    <cellStyle name="Zelle überprüfen" xfId="81" xr:uid="{6DC339EA-27E3-4262-84EA-009974373BBF}"/>
    <cellStyle name="Обычный_CRF2002 (1)" xfId="82" xr:uid="{AF185F5D-D711-420A-8342-BA8B2AF4A0EB}"/>
  </cellStyles>
  <dxfs count="27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53"/>
        </patternFill>
      </fill>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ont>
        <b/>
        <i val="0"/>
      </font>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ont>
        <b/>
        <i val="0"/>
        <condense val="0"/>
        <extend val="0"/>
        <color indexed="10"/>
      </font>
    </dxf>
    <dxf>
      <font>
        <b/>
        <i val="0"/>
        <condense val="0"/>
        <extend val="0"/>
        <color indexed="10"/>
      </font>
    </dxf>
    <dxf>
      <fill>
        <patternFill patternType="lightUp">
          <fgColor indexed="64"/>
          <bgColor indexed="65"/>
        </patternFill>
      </fill>
    </dxf>
    <dxf>
      <fill>
        <patternFill>
          <bgColor rgb="FFFFFF00"/>
        </patternFill>
      </fill>
    </dxf>
    <dxf>
      <fill>
        <patternFill>
          <bgColor rgb="FFFFFF00"/>
        </patternFill>
      </fill>
    </dxf>
    <dxf>
      <fill>
        <patternFill>
          <bgColor indexed="10"/>
        </patternFill>
      </fill>
    </dxf>
    <dxf>
      <fill>
        <patternFill>
          <bgColor indexed="26"/>
        </patternFill>
      </fill>
    </dxf>
    <dxf>
      <fill>
        <patternFill patternType="lightUp">
          <bgColor indexed="65"/>
        </patternFill>
      </fill>
    </dxf>
    <dxf>
      <fill>
        <patternFill>
          <bgColor indexed="26"/>
        </patternFill>
      </fill>
    </dxf>
    <dxf>
      <fill>
        <patternFill>
          <bgColor indexed="10"/>
        </patternFill>
      </fill>
    </dxf>
    <dxf>
      <fill>
        <patternFill>
          <bgColor indexed="13"/>
        </patternFill>
      </fill>
    </dxf>
    <dxf>
      <fill>
        <patternFill>
          <bgColor indexed="10"/>
        </patternFill>
      </fill>
    </dxf>
    <dxf>
      <fill>
        <patternFill patternType="lightUp">
          <fgColor indexed="64"/>
          <bgColor indexed="9"/>
        </patternFill>
      </fill>
    </dxf>
    <dxf>
      <fill>
        <patternFill>
          <bgColor indexed="26"/>
        </patternFill>
      </fill>
    </dxf>
    <dxf>
      <fill>
        <patternFill>
          <bgColor indexed="10"/>
        </patternFill>
      </fill>
    </dxf>
    <dxf>
      <fill>
        <patternFill patternType="solid">
          <fgColor indexed="64"/>
          <bgColor indexed="9"/>
        </patternFill>
      </fill>
      <alignment horizontal="left" vertical="top" textRotation="0" wrapText="0" indent="0" justifyLastLine="0" shrinkToFit="0" readingOrder="0"/>
    </dxf>
    <dxf>
      <fill>
        <patternFill patternType="solid">
          <fgColor indexed="64"/>
          <bgColor indexed="9"/>
        </patternFill>
      </fill>
    </dxf>
    <dxf>
      <fill>
        <patternFill patternType="solid">
          <fgColor indexed="64"/>
          <bgColor indexed="9"/>
        </patternFill>
      </fill>
    </dxf>
    <dxf>
      <fill>
        <patternFill patternType="solid">
          <fgColor indexed="64"/>
          <bgColor indexed="9"/>
        </patternFill>
      </fill>
    </dxf>
    <dxf>
      <font>
        <b val="0"/>
        <i val="0"/>
        <strike val="0"/>
        <condense val="0"/>
        <extend val="0"/>
        <outline val="0"/>
        <shadow val="0"/>
        <u val="none"/>
        <vertAlign val="baseline"/>
        <sz val="10"/>
        <color auto="1"/>
        <name val="Arial"/>
        <family val="2"/>
        <scheme val="none"/>
      </font>
      <fill>
        <patternFill patternType="solid">
          <fgColor indexed="64"/>
          <bgColor indexed="9"/>
        </patternFill>
      </fill>
    </dxf>
    <dxf>
      <fill>
        <patternFill patternType="solid">
          <fgColor indexed="64"/>
          <bgColor indexed="9"/>
        </patternFill>
      </fill>
    </dxf>
    <dxf>
      <font>
        <b/>
        <i val="0"/>
        <strike val="0"/>
        <condense val="0"/>
        <extend val="0"/>
        <outline val="0"/>
        <shadow val="0"/>
        <u val="none"/>
        <vertAlign val="baseline"/>
        <sz val="10"/>
        <color auto="1"/>
        <name val="Arial"/>
        <family val="2"/>
        <scheme val="none"/>
      </font>
      <fill>
        <patternFill patternType="solid">
          <fgColor indexed="64"/>
          <bgColor indexed="9"/>
        </patternFill>
      </fill>
    </dxf>
  </dxfs>
  <tableStyles count="0" defaultTableStyle="TableStyleMedium9" defaultPivotStyle="PivotStyleLight16"/>
  <colors>
    <mruColors>
      <color rgb="FFCCFFCC"/>
      <color rgb="FFCCFFFF"/>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C70991-BF12-4A47-852A-C9E471D0BAE5}" name="DataExtract" displayName="DataExtract" comment="For UK ETS Authority aggregation tool" ref="P100:T166" totalsRowShown="0" headerRowDxfId="270" dataDxfId="269">
  <autoFilter ref="P100:T166" xr:uid="{8CC70991-BF12-4A47-852A-C9E471D0BAE5}">
    <filterColumn colId="0" hiddenButton="1"/>
    <filterColumn colId="1" hiddenButton="1"/>
    <filterColumn colId="2" hiddenButton="1"/>
    <filterColumn colId="3" hiddenButton="1"/>
    <filterColumn colId="4" hiddenButton="1"/>
  </autoFilter>
  <tableColumns count="5">
    <tableColumn id="1" xr3:uid="{3EE31601-175B-4D1F-9143-21DF9E5A8F5A}" name="Sheet" dataDxfId="268"/>
    <tableColumn id="2" xr3:uid="{A193B4BB-C0F4-46B9-9DF9-F085AC9C2283}" name="Section" dataDxfId="267"/>
    <tableColumn id="3" xr3:uid="{CE482C28-20DA-4A31-A7B0-9AB24FC2CA38}" name="Reference" dataDxfId="266"/>
    <tableColumn id="4" xr3:uid="{D44FC6D3-DD8F-4542-9D9A-E7E844E5A2F5}" name="FieldName" dataDxfId="265"/>
    <tableColumn id="5" xr3:uid="{604866B9-F78D-4EEE-8C99-7CFBBBF2705A}" name="Value" dataDxfId="264"/>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egislation.gov.uk/uksi/2020/1265/introduction" TargetMode="External"/><Relationship Id="rId7" Type="http://schemas.openxmlformats.org/officeDocument/2006/relationships/printerSettings" Target="../printerSettings/printerSettings2.bin"/><Relationship Id="rId2" Type="http://schemas.openxmlformats.org/officeDocument/2006/relationships/hyperlink" Target="https://www.legislation.gov.uk/eur/2019/331/contents" TargetMode="External"/><Relationship Id="rId1" Type="http://schemas.openxmlformats.org/officeDocument/2006/relationships/hyperlink" Target="https://www.legislation.gov.uk/eur/2019/331/contents" TargetMode="External"/><Relationship Id="rId6" Type="http://schemas.openxmlformats.org/officeDocument/2006/relationships/hyperlink" Target="https://www.gov.uk/guidance/opt-out-of-the-uk-ets-if-your-installation-is-an-ultra-small-emitter" TargetMode="External"/><Relationship Id="rId5" Type="http://schemas.openxmlformats.org/officeDocument/2006/relationships/hyperlink" Target="https://www.gov.uk/government/consultations/uk-emissions-trading-scheme-free-allocation-review" TargetMode="External"/><Relationship Id="rId4" Type="http://schemas.openxmlformats.org/officeDocument/2006/relationships/hyperlink" Target="https://www.gov.uk/government/publications/participating-in-the-uk-ets/participating-in-the-uk-et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legislation.gov.uk/eur/2006/1893/pdfs/eur_20061893_2019-07-26_en.pdf" TargetMode="External"/><Relationship Id="rId1" Type="http://schemas.openxmlformats.org/officeDocument/2006/relationships/hyperlink" Target="https://www.gov.uk/government/publications/pollution-inventory-reporting-guidance-notes/reporting-codes-list-pollution-inventor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legislation.gov.uk/eur/2015/2402/annex/II"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egislation.gov.uk/eudn/2019/708/annex" TargetMode="External"/><Relationship Id="rId13" Type="http://schemas.openxmlformats.org/officeDocument/2006/relationships/hyperlink" Target="https://www.legislation.gov.uk/eur/2019/1933" TargetMode="External"/><Relationship Id="rId18" Type="http://schemas.openxmlformats.org/officeDocument/2006/relationships/hyperlink" Target="https://www.legislation.gov.uk/eudn/2019/708/annex" TargetMode="External"/><Relationship Id="rId3" Type="http://schemas.openxmlformats.org/officeDocument/2006/relationships/hyperlink" Target="https://www.legislation.gov.uk/eur/2019/1933" TargetMode="External"/><Relationship Id="rId7" Type="http://schemas.openxmlformats.org/officeDocument/2006/relationships/hyperlink" Target="https://www.legislation.gov.uk/eur/2019/1933" TargetMode="External"/><Relationship Id="rId12" Type="http://schemas.openxmlformats.org/officeDocument/2006/relationships/hyperlink" Target="https://www.legislation.gov.uk/eudn/2019/708/annex" TargetMode="External"/><Relationship Id="rId17" Type="http://schemas.openxmlformats.org/officeDocument/2006/relationships/hyperlink" Target="https://www.legislation.gov.uk/eur/2019/1933" TargetMode="External"/><Relationship Id="rId2" Type="http://schemas.openxmlformats.org/officeDocument/2006/relationships/hyperlink" Target="https://www.legislation.gov.uk/eudn/2019/708/annex" TargetMode="External"/><Relationship Id="rId16" Type="http://schemas.openxmlformats.org/officeDocument/2006/relationships/hyperlink" Target="https://www.legislation.gov.uk/eudn/2019/708/annex" TargetMode="External"/><Relationship Id="rId20" Type="http://schemas.openxmlformats.org/officeDocument/2006/relationships/printerSettings" Target="../printerSettings/printerSettings6.bin"/><Relationship Id="rId1" Type="http://schemas.openxmlformats.org/officeDocument/2006/relationships/hyperlink" Target="https://www.legislation.gov.uk/eur/2019/1933" TargetMode="External"/><Relationship Id="rId6" Type="http://schemas.openxmlformats.org/officeDocument/2006/relationships/hyperlink" Target="https://www.legislation.gov.uk/eudn/2019/708/annex" TargetMode="External"/><Relationship Id="rId11" Type="http://schemas.openxmlformats.org/officeDocument/2006/relationships/hyperlink" Target="https://www.legislation.gov.uk/eur/2019/1933" TargetMode="External"/><Relationship Id="rId5" Type="http://schemas.openxmlformats.org/officeDocument/2006/relationships/hyperlink" Target="https://www.legislation.gov.uk/eur/2019/1933" TargetMode="External"/><Relationship Id="rId15" Type="http://schemas.openxmlformats.org/officeDocument/2006/relationships/hyperlink" Target="https://www.legislation.gov.uk/eur/2019/1933" TargetMode="External"/><Relationship Id="rId10" Type="http://schemas.openxmlformats.org/officeDocument/2006/relationships/hyperlink" Target="https://www.legislation.gov.uk/eudn/2019/708/annex" TargetMode="External"/><Relationship Id="rId19" Type="http://schemas.openxmlformats.org/officeDocument/2006/relationships/hyperlink" Target="https://www.legislation.gov.uk/eur/2019/1933" TargetMode="External"/><Relationship Id="rId4" Type="http://schemas.openxmlformats.org/officeDocument/2006/relationships/hyperlink" Target="https://www.legislation.gov.uk/eudn/2019/708/annex" TargetMode="External"/><Relationship Id="rId9" Type="http://schemas.openxmlformats.org/officeDocument/2006/relationships/hyperlink" Target="https://www.legislation.gov.uk/eur/2019/1933" TargetMode="External"/><Relationship Id="rId14" Type="http://schemas.openxmlformats.org/officeDocument/2006/relationships/hyperlink" Target="https://www.legislation.gov.uk/eudn/2019/708/annex"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legislation.gov.uk/eur/2019/193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130A-1F30-47ED-B527-F00424EE6A5E}">
  <sheetPr codeName="Tabelle1">
    <pageSetUpPr fitToPage="1"/>
  </sheetPr>
  <dimension ref="A1:T166"/>
  <sheetViews>
    <sheetView tabSelected="1" zoomScaleNormal="100" workbookViewId="0">
      <pane ySplit="3" topLeftCell="A4" activePane="bottomLeft" state="frozen"/>
      <selection pane="bottomLeft" activeCell="M1" sqref="M1"/>
    </sheetView>
  </sheetViews>
  <sheetFormatPr defaultColWidth="0" defaultRowHeight="13.2" zeroHeight="1" x14ac:dyDescent="0.25"/>
  <cols>
    <col min="1" max="1" width="4.6640625" style="7" customWidth="1"/>
    <col min="2" max="3" width="4.6640625" style="5" customWidth="1"/>
    <col min="4" max="12" width="12.6640625" style="5" customWidth="1"/>
    <col min="13" max="13" width="12.5546875" style="5" customWidth="1"/>
    <col min="14" max="15" width="9.109375" style="5" hidden="1" customWidth="1"/>
    <col min="16" max="16" width="18.33203125" style="5" hidden="1" customWidth="1"/>
    <col min="17" max="17" width="35.88671875" style="5" hidden="1" customWidth="1"/>
    <col min="18" max="18" width="14.33203125" style="5" hidden="1" customWidth="1"/>
    <col min="19" max="19" width="28.5546875" style="5" hidden="1" customWidth="1"/>
    <col min="20" max="20" width="57.44140625" style="1094" hidden="1" customWidth="1"/>
    <col min="21" max="16384" width="9.109375" style="5" hidden="1"/>
  </cols>
  <sheetData>
    <row r="1" spans="1:13" ht="13.5" customHeight="1" thickBot="1" x14ac:dyDescent="0.3">
      <c r="A1" s="1144" t="s">
        <v>0</v>
      </c>
      <c r="B1" s="320" t="str">
        <f>Translations!$B$2</f>
        <v>Navigation area:</v>
      </c>
      <c r="C1" s="319"/>
      <c r="D1" s="319"/>
      <c r="E1" s="1147"/>
      <c r="F1" s="1147"/>
      <c r="G1" s="1147"/>
      <c r="H1" s="1147"/>
      <c r="I1" s="1147" t="str">
        <f>Translations!$B$3</f>
        <v>Next sheet</v>
      </c>
      <c r="J1" s="1147"/>
      <c r="K1" s="1147" t="str">
        <f>Translations!$B$4</f>
        <v>Summary</v>
      </c>
      <c r="L1" s="1147"/>
    </row>
    <row r="2" spans="1:13" x14ac:dyDescent="0.25">
      <c r="A2" s="1145"/>
      <c r="B2" s="1150" t="str">
        <f>Translations!$B$5</f>
        <v>Top of sheet</v>
      </c>
      <c r="C2" s="1151"/>
      <c r="D2" s="1152"/>
      <c r="E2" s="1161"/>
      <c r="F2" s="1162"/>
      <c r="G2" s="1162"/>
      <c r="H2" s="1162"/>
      <c r="I2" s="1162"/>
      <c r="J2" s="1162"/>
      <c r="K2" s="1162"/>
      <c r="L2" s="1162"/>
      <c r="M2" s="8"/>
    </row>
    <row r="3" spans="1:13" ht="13.8" thickBot="1" x14ac:dyDescent="0.3">
      <c r="A3" s="1146"/>
      <c r="B3" s="1153" t="str">
        <f>Translations!$B$6</f>
        <v>End of sheet</v>
      </c>
      <c r="C3" s="1154"/>
      <c r="D3" s="1155"/>
      <c r="E3" s="1148"/>
      <c r="F3" s="1149"/>
      <c r="G3" s="1149"/>
      <c r="H3" s="1149"/>
      <c r="I3" s="1149"/>
      <c r="J3" s="1149"/>
      <c r="K3" s="1149"/>
      <c r="L3" s="1149"/>
    </row>
    <row r="4" spans="1:13" x14ac:dyDescent="0.25">
      <c r="B4" s="119"/>
      <c r="E4" s="119"/>
    </row>
    <row r="5" spans="1:13" ht="35.25" customHeight="1" x14ac:dyDescent="0.4">
      <c r="B5" s="120" t="s">
        <v>1</v>
      </c>
      <c r="E5" s="120"/>
      <c r="M5" s="8"/>
    </row>
    <row r="6" spans="1:13" ht="16.95" customHeight="1" x14ac:dyDescent="0.25">
      <c r="B6" s="119"/>
      <c r="E6" s="119"/>
    </row>
    <row r="7" spans="1:13" ht="29.25" customHeight="1" x14ac:dyDescent="0.25">
      <c r="A7" s="123"/>
      <c r="B7" s="10" t="str">
        <f>Translations!$B$8</f>
        <v>CONTENTS</v>
      </c>
      <c r="C7" s="74"/>
      <c r="D7" s="74"/>
      <c r="E7" s="10"/>
      <c r="F7" s="10"/>
      <c r="G7" s="10"/>
      <c r="H7" s="10"/>
      <c r="I7" s="10"/>
      <c r="J7" s="10"/>
      <c r="K7" s="10"/>
      <c r="L7" s="10"/>
    </row>
    <row r="8" spans="1:13" x14ac:dyDescent="0.25">
      <c r="A8" s="132"/>
      <c r="B8" s="3"/>
      <c r="C8" s="1139" t="str">
        <f>'b_Guidelines &amp; conditions'!B5</f>
        <v>Read me first: Guidelines and conditions</v>
      </c>
      <c r="D8" s="1139"/>
      <c r="E8" s="1163"/>
      <c r="F8" s="1163"/>
      <c r="G8" s="1163"/>
      <c r="H8" s="1163"/>
      <c r="I8" s="1163"/>
      <c r="J8" s="1163"/>
      <c r="K8" s="1163"/>
      <c r="L8" s="8"/>
    </row>
    <row r="9" spans="1:13" x14ac:dyDescent="0.25">
      <c r="A9" s="15"/>
      <c r="B9" s="15" t="s">
        <v>2</v>
      </c>
      <c r="C9" s="1142" t="str">
        <f>A_InstallationData!D6</f>
        <v>Sheet "InstallationData" - GENERAL INFORMATION ON THIS REPORT</v>
      </c>
      <c r="D9" s="1142"/>
      <c r="E9" s="1143"/>
      <c r="F9" s="1143"/>
      <c r="G9" s="1143"/>
      <c r="H9" s="1143"/>
      <c r="I9" s="1143"/>
      <c r="J9" s="1143"/>
      <c r="K9" s="1143"/>
      <c r="L9" s="8"/>
    </row>
    <row r="10" spans="1:13" x14ac:dyDescent="0.25">
      <c r="A10" s="80"/>
      <c r="B10" s="133" t="s">
        <v>3</v>
      </c>
      <c r="C10" s="1139" t="str">
        <f>A_InstallationData!D8</f>
        <v>Identification of the Installation</v>
      </c>
      <c r="D10" s="1139"/>
      <c r="E10" s="1158"/>
      <c r="F10" s="1158"/>
      <c r="G10" s="1158"/>
      <c r="H10" s="1158"/>
      <c r="I10" s="1158"/>
      <c r="J10" s="1158"/>
      <c r="K10" s="17"/>
    </row>
    <row r="11" spans="1:13" x14ac:dyDescent="0.25">
      <c r="A11" s="80"/>
      <c r="B11" s="133" t="s">
        <v>4</v>
      </c>
      <c r="C11" s="1139" t="str">
        <f>A_InstallationData!D166</f>
        <v>Information on this baseline data report</v>
      </c>
      <c r="D11" s="1139"/>
      <c r="E11" s="1158"/>
      <c r="F11" s="1158"/>
      <c r="G11" s="1158"/>
      <c r="H11" s="1158"/>
      <c r="I11" s="1158"/>
      <c r="J11" s="1158"/>
      <c r="K11" s="17"/>
    </row>
    <row r="12" spans="1:13" x14ac:dyDescent="0.25">
      <c r="A12" s="80"/>
      <c r="B12" s="133" t="s">
        <v>5</v>
      </c>
      <c r="C12" s="1139" t="str">
        <f>A_InstallationData!D222</f>
        <v>List of sub-installations</v>
      </c>
      <c r="D12" s="1139"/>
      <c r="E12" s="1158"/>
      <c r="F12" s="1158"/>
      <c r="G12" s="1158"/>
      <c r="H12" s="1158"/>
      <c r="I12" s="1158"/>
      <c r="J12" s="1158"/>
      <c r="K12" s="17"/>
    </row>
    <row r="13" spans="1:13" x14ac:dyDescent="0.25">
      <c r="A13" s="80"/>
      <c r="B13" s="133" t="s">
        <v>6</v>
      </c>
      <c r="C13" s="1139" t="str">
        <f>A_InstallationData!D270</f>
        <v>List of technical connections</v>
      </c>
      <c r="D13" s="1139"/>
      <c r="E13" s="1158"/>
      <c r="F13" s="1158"/>
      <c r="G13" s="1158"/>
      <c r="H13" s="1158"/>
      <c r="I13" s="1158"/>
      <c r="J13" s="1158"/>
      <c r="K13" s="17"/>
    </row>
    <row r="14" spans="1:13" x14ac:dyDescent="0.25">
      <c r="A14" s="15"/>
      <c r="B14" s="15" t="s">
        <v>7</v>
      </c>
      <c r="C14" s="1142" t="str">
        <f>D_Emissions!D6</f>
        <v>Sheet "Emissions" - ATTRIBUTION OF EMISSIONS</v>
      </c>
      <c r="D14" s="1142"/>
      <c r="E14" s="1143"/>
      <c r="F14" s="1143"/>
      <c r="G14" s="1143"/>
      <c r="H14" s="1143"/>
      <c r="I14" s="1143"/>
      <c r="J14" s="1143"/>
      <c r="K14" s="1143"/>
      <c r="L14" s="8"/>
    </row>
    <row r="15" spans="1:13" x14ac:dyDescent="0.25">
      <c r="A15" s="80"/>
      <c r="B15" s="133" t="s">
        <v>3</v>
      </c>
      <c r="C15" s="1139" t="str">
        <f>D_Emissions!D8</f>
        <v>Total Direct Greenhouse Gas Emissions and Energy Input from Fuels</v>
      </c>
      <c r="D15" s="1139"/>
      <c r="E15" s="1140"/>
      <c r="F15" s="1140"/>
      <c r="G15" s="1140"/>
      <c r="H15" s="1140"/>
      <c r="I15" s="1140"/>
      <c r="J15" s="1140"/>
      <c r="K15" s="17"/>
    </row>
    <row r="16" spans="1:13" x14ac:dyDescent="0.25">
      <c r="A16" s="80"/>
      <c r="B16" s="133" t="s">
        <v>4</v>
      </c>
      <c r="C16" s="1139" t="str">
        <f>D_Emissions!D61</f>
        <v>Attribution of emissions to sub-installations</v>
      </c>
      <c r="D16" s="1139"/>
      <c r="E16" s="1140"/>
      <c r="F16" s="1140"/>
      <c r="G16" s="1140"/>
      <c r="H16" s="1140"/>
      <c r="I16" s="1140"/>
      <c r="J16" s="1140"/>
      <c r="K16" s="17"/>
    </row>
    <row r="17" spans="1:12" x14ac:dyDescent="0.25">
      <c r="A17" s="80"/>
      <c r="B17" s="133" t="s">
        <v>5</v>
      </c>
      <c r="C17" s="1139" t="str">
        <f>D_Emissions!D74</f>
        <v>Cogeneration tool</v>
      </c>
      <c r="D17" s="1139"/>
      <c r="E17" s="1140"/>
      <c r="F17" s="1140"/>
      <c r="G17" s="1140"/>
      <c r="H17" s="1140"/>
      <c r="I17" s="1140"/>
      <c r="J17" s="1140"/>
      <c r="K17" s="17"/>
    </row>
    <row r="18" spans="1:12" x14ac:dyDescent="0.25">
      <c r="A18" s="80"/>
      <c r="B18" s="133" t="s">
        <v>6</v>
      </c>
      <c r="C18" s="1139" t="str">
        <f>D_Emissions!D185</f>
        <v>Waste gas tool</v>
      </c>
      <c r="D18" s="1139"/>
      <c r="E18" s="1140"/>
      <c r="F18" s="1140"/>
      <c r="G18" s="1140"/>
      <c r="H18" s="1140"/>
      <c r="I18" s="1140"/>
      <c r="J18" s="1140"/>
      <c r="K18" s="17"/>
    </row>
    <row r="19" spans="1:12" x14ac:dyDescent="0.25">
      <c r="A19" s="15"/>
      <c r="B19" s="15" t="s">
        <v>8</v>
      </c>
      <c r="C19" s="1142" t="str">
        <f>E_EnergyFlows!D6</f>
        <v>Sheet "EnergyFlows" - DATA ON ENERGY INPUT, MEASURABLE HEAT AND ELECTRICITY</v>
      </c>
      <c r="D19" s="1142"/>
      <c r="E19" s="1143"/>
      <c r="F19" s="1143"/>
      <c r="G19" s="1143"/>
      <c r="H19" s="1143"/>
      <c r="I19" s="1143"/>
      <c r="J19" s="1143"/>
      <c r="K19" s="1143"/>
      <c r="L19" s="8"/>
    </row>
    <row r="20" spans="1:12" x14ac:dyDescent="0.25">
      <c r="A20" s="80"/>
      <c r="B20" s="133" t="s">
        <v>3</v>
      </c>
      <c r="C20" s="1139" t="str">
        <f>E_EnergyFlows!D8</f>
        <v>Energy input from fuels</v>
      </c>
      <c r="D20" s="1139"/>
      <c r="E20" s="1140"/>
      <c r="F20" s="1140"/>
      <c r="G20" s="1140"/>
      <c r="H20" s="1140"/>
      <c r="I20" s="1140"/>
      <c r="J20" s="1140"/>
      <c r="K20" s="17"/>
    </row>
    <row r="21" spans="1:12" x14ac:dyDescent="0.25">
      <c r="A21" s="80"/>
      <c r="B21" s="133" t="s">
        <v>4</v>
      </c>
      <c r="C21" s="1139" t="str">
        <f>E_EnergyFlows!D51</f>
        <v>Measurable heat</v>
      </c>
      <c r="D21" s="1139"/>
      <c r="E21" s="1140"/>
      <c r="F21" s="1140"/>
      <c r="G21" s="1140"/>
      <c r="H21" s="1140"/>
      <c r="I21" s="1140"/>
      <c r="J21" s="1140"/>
      <c r="K21" s="17"/>
    </row>
    <row r="22" spans="1:12" x14ac:dyDescent="0.25">
      <c r="A22" s="80"/>
      <c r="B22" s="133" t="s">
        <v>5</v>
      </c>
      <c r="C22" s="1139" t="str">
        <f>E_EnergyFlows!D235</f>
        <v>Waste gas balance</v>
      </c>
      <c r="D22" s="1139"/>
      <c r="E22" s="1140"/>
      <c r="F22" s="1140"/>
      <c r="G22" s="1140"/>
      <c r="H22" s="1140"/>
      <c r="I22" s="1140"/>
      <c r="J22" s="1140"/>
      <c r="K22" s="17"/>
    </row>
    <row r="23" spans="1:12" x14ac:dyDescent="0.25">
      <c r="A23" s="80"/>
      <c r="B23" s="133" t="s">
        <v>6</v>
      </c>
      <c r="C23" s="1139" t="str">
        <f>E_EnergyFlows!D341</f>
        <v>Electricity</v>
      </c>
      <c r="D23" s="1139"/>
      <c r="E23" s="1140"/>
      <c r="F23" s="1140"/>
      <c r="G23" s="1140"/>
      <c r="H23" s="1140"/>
      <c r="I23" s="1140"/>
      <c r="J23" s="1140"/>
      <c r="K23" s="17"/>
    </row>
    <row r="24" spans="1:12" x14ac:dyDescent="0.25">
      <c r="A24" s="15"/>
      <c r="B24" s="15" t="s">
        <v>9</v>
      </c>
      <c r="C24" s="1142" t="str">
        <f>F_ProductBM!D7</f>
        <v>Sheet "ProductBM" - SUB-INSTALLATION DATA RELATING TO PRODUCT BENCHMARKS</v>
      </c>
      <c r="D24" s="1142"/>
      <c r="E24" s="1143"/>
      <c r="F24" s="1143"/>
      <c r="G24" s="1143"/>
      <c r="H24" s="1143"/>
      <c r="I24" s="1143"/>
      <c r="J24" s="1143"/>
      <c r="K24" s="1143"/>
      <c r="L24" s="8"/>
    </row>
    <row r="25" spans="1:12" x14ac:dyDescent="0.25">
      <c r="A25" s="80"/>
      <c r="B25" s="133" t="s">
        <v>3</v>
      </c>
      <c r="C25" s="1139" t="str">
        <f>F_ProductBM!D11</f>
        <v>Historic Activity levels and disaggregated production details</v>
      </c>
      <c r="D25" s="1139"/>
      <c r="E25" s="1140"/>
      <c r="F25" s="1140"/>
      <c r="G25" s="1140"/>
      <c r="H25" s="1140"/>
      <c r="I25" s="1140"/>
      <c r="J25" s="1140"/>
      <c r="K25" s="17"/>
    </row>
    <row r="26" spans="1:12" x14ac:dyDescent="0.25">
      <c r="A26" s="15"/>
      <c r="B26" s="15" t="s">
        <v>10</v>
      </c>
      <c r="C26" s="1142" t="str">
        <f>'G_Fall-back'!D6</f>
        <v>Sheet "Fall-back" - SUB-INSTALLATION DATA RELATING TO FALL-BACK SUB-INSTALLATIONS</v>
      </c>
      <c r="D26" s="1142"/>
      <c r="E26" s="1143"/>
      <c r="F26" s="1143"/>
      <c r="G26" s="1143"/>
      <c r="H26" s="1143"/>
      <c r="I26" s="1143"/>
      <c r="J26" s="1143"/>
      <c r="K26" s="1143"/>
      <c r="L26" s="8"/>
    </row>
    <row r="27" spans="1:12" x14ac:dyDescent="0.25">
      <c r="A27" s="80"/>
      <c r="B27" s="133" t="s">
        <v>3</v>
      </c>
      <c r="C27" s="1139" t="str">
        <f>'G_Fall-back'!D10</f>
        <v>Historic Activity levels and disaggregated production details</v>
      </c>
      <c r="D27" s="1139"/>
      <c r="E27" s="1140"/>
      <c r="F27" s="1140"/>
      <c r="G27" s="1140"/>
      <c r="H27" s="1140"/>
      <c r="I27" s="1140"/>
      <c r="J27" s="1140"/>
      <c r="K27" s="17"/>
    </row>
    <row r="28" spans="1:12" x14ac:dyDescent="0.25">
      <c r="A28" s="15"/>
      <c r="B28" s="15" t="s">
        <v>11</v>
      </c>
      <c r="C28" s="1142" t="s">
        <v>12</v>
      </c>
      <c r="D28" s="1142"/>
      <c r="E28" s="1158"/>
      <c r="F28" s="1158"/>
      <c r="G28" s="1158"/>
      <c r="H28" s="1158"/>
      <c r="I28" s="1158"/>
      <c r="J28" s="1158"/>
      <c r="K28" s="1158"/>
      <c r="L28" s="8"/>
    </row>
    <row r="29" spans="1:12" x14ac:dyDescent="0.25">
      <c r="A29" s="80"/>
      <c r="B29" s="133" t="s">
        <v>3</v>
      </c>
      <c r="C29" s="1139" t="str">
        <f>H_SpecialBM!D9</f>
        <v>CWT (Refinery products)</v>
      </c>
      <c r="D29" s="1139"/>
      <c r="E29" s="1140"/>
      <c r="F29" s="1140"/>
      <c r="G29" s="1140"/>
      <c r="H29" s="1140"/>
      <c r="I29" s="1140"/>
      <c r="J29" s="1140"/>
      <c r="K29" s="17"/>
    </row>
    <row r="30" spans="1:12" x14ac:dyDescent="0.25">
      <c r="A30" s="80"/>
      <c r="B30" s="133" t="s">
        <v>4</v>
      </c>
      <c r="C30" s="1139" t="str">
        <f>H_SpecialBM!D99</f>
        <v>Lime</v>
      </c>
      <c r="D30" s="1139"/>
      <c r="E30" s="1140"/>
      <c r="F30" s="1140"/>
      <c r="G30" s="1140"/>
      <c r="H30" s="1140"/>
      <c r="I30" s="1140"/>
      <c r="J30" s="1140"/>
      <c r="K30" s="17"/>
    </row>
    <row r="31" spans="1:12" x14ac:dyDescent="0.25">
      <c r="A31" s="80"/>
      <c r="B31" s="133" t="s">
        <v>5</v>
      </c>
      <c r="C31" s="1139" t="str">
        <f>H_SpecialBM!D133</f>
        <v>Dolime</v>
      </c>
      <c r="D31" s="1139"/>
      <c r="E31" s="1140"/>
      <c r="F31" s="1140"/>
      <c r="G31" s="1140"/>
      <c r="H31" s="1140"/>
      <c r="I31" s="1140"/>
      <c r="J31" s="1140"/>
      <c r="K31" s="17"/>
    </row>
    <row r="32" spans="1:12" x14ac:dyDescent="0.25">
      <c r="A32" s="80"/>
      <c r="B32" s="133" t="s">
        <v>6</v>
      </c>
      <c r="C32" s="1139" t="str">
        <f>H_SpecialBM!D167</f>
        <v>Steam cracking</v>
      </c>
      <c r="D32" s="1139"/>
      <c r="E32" s="1140"/>
      <c r="F32" s="1140"/>
      <c r="G32" s="1140"/>
      <c r="H32" s="1140"/>
      <c r="I32" s="1140"/>
      <c r="J32" s="1140"/>
      <c r="K32" s="17"/>
    </row>
    <row r="33" spans="1:12" x14ac:dyDescent="0.25">
      <c r="A33" s="80"/>
      <c r="B33" s="133" t="s">
        <v>13</v>
      </c>
      <c r="C33" s="1139" t="str">
        <f>H_SpecialBM!D219</f>
        <v>CWT (Aromatics)</v>
      </c>
      <c r="D33" s="1139"/>
      <c r="E33" s="1140"/>
      <c r="F33" s="1140"/>
      <c r="G33" s="1140"/>
      <c r="H33" s="1140"/>
      <c r="I33" s="1140"/>
      <c r="J33" s="1140"/>
      <c r="K33" s="17"/>
    </row>
    <row r="34" spans="1:12" x14ac:dyDescent="0.25">
      <c r="A34" s="80"/>
      <c r="B34" s="133" t="s">
        <v>14</v>
      </c>
      <c r="C34" s="1139" t="str">
        <f>H_SpecialBM!D259</f>
        <v>Hydrogen</v>
      </c>
      <c r="D34" s="1139"/>
      <c r="E34" s="1140"/>
      <c r="F34" s="1140"/>
      <c r="G34" s="1140"/>
      <c r="H34" s="1140"/>
      <c r="I34" s="1140"/>
      <c r="J34" s="1140"/>
      <c r="K34" s="17"/>
    </row>
    <row r="35" spans="1:12" x14ac:dyDescent="0.25">
      <c r="A35" s="80"/>
      <c r="B35" s="133" t="s">
        <v>15</v>
      </c>
      <c r="C35" s="1139" t="str">
        <f>H_SpecialBM!D292</f>
        <v>Synthesis gas</v>
      </c>
      <c r="D35" s="1139"/>
      <c r="E35" s="1140"/>
      <c r="F35" s="1140"/>
      <c r="G35" s="1140"/>
      <c r="H35" s="1140"/>
      <c r="I35" s="1140"/>
      <c r="J35" s="1140"/>
      <c r="K35" s="17"/>
    </row>
    <row r="36" spans="1:12" x14ac:dyDescent="0.25">
      <c r="A36" s="80"/>
      <c r="B36" s="133" t="s">
        <v>16</v>
      </c>
      <c r="C36" s="1139" t="str">
        <f>H_SpecialBM!D325</f>
        <v>Ethylene oxide / glycols</v>
      </c>
      <c r="D36" s="1139"/>
      <c r="E36" s="1140"/>
      <c r="F36" s="1140"/>
      <c r="G36" s="1140"/>
      <c r="H36" s="1140"/>
      <c r="I36" s="1140"/>
      <c r="J36" s="1140"/>
      <c r="K36" s="17"/>
    </row>
    <row r="37" spans="1:12" x14ac:dyDescent="0.25">
      <c r="A37" s="80"/>
      <c r="B37" s="133" t="s">
        <v>17</v>
      </c>
      <c r="C37" s="1139" t="str">
        <f>H_SpecialBM!D354</f>
        <v>Vinyl chloride monomer (VCM)</v>
      </c>
      <c r="D37" s="1139"/>
      <c r="E37" s="1140"/>
      <c r="F37" s="1140"/>
      <c r="G37" s="1140"/>
      <c r="H37" s="1140"/>
      <c r="I37" s="1140"/>
      <c r="J37" s="1140"/>
      <c r="K37" s="17"/>
    </row>
    <row r="38" spans="1:12" x14ac:dyDescent="0.25">
      <c r="A38" s="15"/>
      <c r="B38" s="15" t="s">
        <v>18</v>
      </c>
      <c r="C38" s="1142" t="s">
        <v>19</v>
      </c>
      <c r="D38" s="1142"/>
      <c r="E38" s="1143"/>
      <c r="F38" s="1143"/>
      <c r="G38" s="1143"/>
      <c r="H38" s="1143"/>
      <c r="I38" s="1143"/>
      <c r="J38" s="1143"/>
      <c r="K38" s="1143"/>
      <c r="L38" s="8"/>
    </row>
    <row r="39" spans="1:12" x14ac:dyDescent="0.25">
      <c r="A39" s="80"/>
      <c r="B39" s="133" t="s">
        <v>3</v>
      </c>
      <c r="C39" s="1139" t="str">
        <f>I_Specific!C16</f>
        <v>HSE applicants' supporting evidence</v>
      </c>
      <c r="D39" s="1139"/>
      <c r="E39" s="1140"/>
      <c r="F39" s="1140"/>
      <c r="G39" s="1140"/>
      <c r="H39" s="1140"/>
      <c r="I39" s="1140"/>
      <c r="J39" s="1140"/>
      <c r="K39" s="17"/>
    </row>
    <row r="40" spans="1:12" x14ac:dyDescent="0.25">
      <c r="A40" s="15"/>
      <c r="B40" s="15" t="s">
        <v>20</v>
      </c>
      <c r="C40" s="1142" t="str">
        <f>J_Comments!C5</f>
        <v>Sheet "Comments" -  COMMENTS AND FURTHER INFORMATION</v>
      </c>
      <c r="D40" s="1142"/>
      <c r="E40" s="1143"/>
      <c r="F40" s="1143"/>
      <c r="G40" s="1143"/>
      <c r="H40" s="1143"/>
      <c r="I40" s="1143"/>
      <c r="J40" s="1143"/>
      <c r="K40" s="1143"/>
      <c r="L40" s="8"/>
    </row>
    <row r="41" spans="1:12" x14ac:dyDescent="0.25">
      <c r="A41" s="80"/>
      <c r="B41" s="133" t="s">
        <v>3</v>
      </c>
      <c r="C41" s="1139" t="str">
        <f>J_Comments!C7</f>
        <v>Documents supporting this report</v>
      </c>
      <c r="D41" s="1139"/>
      <c r="E41" s="1140"/>
      <c r="F41" s="1140"/>
      <c r="G41" s="1140"/>
      <c r="H41" s="1140"/>
      <c r="I41" s="1140"/>
      <c r="J41" s="1140"/>
      <c r="K41" s="17"/>
    </row>
    <row r="42" spans="1:12" x14ac:dyDescent="0.25">
      <c r="A42" s="80"/>
      <c r="B42" s="133" t="s">
        <v>4</v>
      </c>
      <c r="C42" s="1139" t="str">
        <f>J_Comments!C57</f>
        <v>Free space for all kinds of supplemental information</v>
      </c>
      <c r="D42" s="1139"/>
      <c r="E42" s="1140"/>
      <c r="F42" s="1140"/>
      <c r="G42" s="1140"/>
      <c r="H42" s="1140"/>
      <c r="I42" s="1140"/>
      <c r="J42" s="1140"/>
      <c r="K42" s="17"/>
    </row>
    <row r="43" spans="1:12" x14ac:dyDescent="0.25">
      <c r="A43" s="15"/>
      <c r="B43" s="15" t="s">
        <v>21</v>
      </c>
      <c r="C43" s="1142" t="str">
        <f>K_Summary!D6</f>
        <v>Sheet "Summary" - OVERVIEW OF MOST IMPORTANT DATA</v>
      </c>
      <c r="D43" s="1142"/>
      <c r="E43" s="1143"/>
      <c r="F43" s="1143"/>
      <c r="G43" s="1143"/>
      <c r="H43" s="1143"/>
      <c r="I43" s="1143"/>
      <c r="J43" s="1143"/>
      <c r="K43" s="1143"/>
      <c r="L43" s="8"/>
    </row>
    <row r="44" spans="1:12" x14ac:dyDescent="0.25">
      <c r="A44" s="80"/>
      <c r="B44" s="133" t="s">
        <v>3</v>
      </c>
      <c r="C44" s="1139" t="str">
        <f>K_Summary!D8</f>
        <v>Installation data</v>
      </c>
      <c r="D44" s="1139"/>
      <c r="E44" s="1139"/>
      <c r="F44" s="1139"/>
      <c r="G44" s="1139"/>
      <c r="H44" s="1139"/>
      <c r="I44" s="1139"/>
      <c r="J44" s="1139"/>
      <c r="K44" s="17"/>
    </row>
    <row r="45" spans="1:12" x14ac:dyDescent="0.25">
      <c r="A45" s="80"/>
      <c r="B45" s="133" t="s">
        <v>4</v>
      </c>
      <c r="C45" s="1141" t="str">
        <f>K_Summary!D44</f>
        <v>Baseline period and eligibility</v>
      </c>
      <c r="D45" s="1141"/>
      <c r="E45" s="1141"/>
      <c r="F45" s="1141"/>
      <c r="G45" s="1141"/>
      <c r="H45" s="1141"/>
      <c r="I45" s="1141"/>
      <c r="J45" s="1141"/>
      <c r="K45" s="17"/>
    </row>
    <row r="46" spans="1:12" x14ac:dyDescent="0.25">
      <c r="A46" s="80"/>
      <c r="B46" s="133" t="s">
        <v>5</v>
      </c>
      <c r="C46" s="1141" t="str">
        <f>K_Summary!D60</f>
        <v>Emissions and Energy Flows</v>
      </c>
      <c r="D46" s="1141"/>
      <c r="E46" s="1141"/>
      <c r="F46" s="1141"/>
      <c r="G46" s="1141"/>
      <c r="H46" s="1141"/>
      <c r="I46" s="1141"/>
      <c r="J46" s="1141"/>
      <c r="K46" s="17"/>
    </row>
    <row r="47" spans="1:12" x14ac:dyDescent="0.25">
      <c r="A47" s="80"/>
      <c r="B47" s="133" t="s">
        <v>6</v>
      </c>
      <c r="C47" s="1141" t="str">
        <f>K_Summary!D444</f>
        <v>Sub-installation data relevant for allocation and benchmark update purposes</v>
      </c>
      <c r="D47" s="1141"/>
      <c r="E47" s="1141"/>
      <c r="F47" s="1141"/>
      <c r="G47" s="1141"/>
      <c r="H47" s="1141"/>
      <c r="I47" s="1141"/>
      <c r="J47" s="1141"/>
      <c r="K47" s="17"/>
    </row>
    <row r="48" spans="1:12" x14ac:dyDescent="0.25">
      <c r="A48" s="80"/>
      <c r="B48" s="133" t="s">
        <v>13</v>
      </c>
      <c r="C48" s="1141" t="str">
        <f>K_Summary!D1290</f>
        <v>Calculation of preliminary annual amount of allowances allocated free of charge</v>
      </c>
      <c r="D48" s="1141"/>
      <c r="E48" s="1141"/>
      <c r="F48" s="1141"/>
      <c r="G48" s="1141"/>
      <c r="H48" s="1141"/>
      <c r="I48" s="1141"/>
      <c r="J48" s="1141"/>
      <c r="K48" s="17"/>
    </row>
    <row r="49" spans="1:12" ht="26.4" customHeight="1" x14ac:dyDescent="0.25">
      <c r="A49" s="15"/>
      <c r="B49" s="15" t="s">
        <v>22</v>
      </c>
      <c r="C49" s="1167" t="str">
        <f>'B+C_Emissions_Y1'!D6</f>
        <v>"Annual Emissions Data" for the year. To be eligible for FA in the next allocation period, you should complete Y1-Y5 tabs or the aggregated data in tab 'D_Emissions'.</v>
      </c>
      <c r="D49" s="1167"/>
      <c r="E49" s="1168"/>
      <c r="F49" s="1168"/>
      <c r="G49" s="1168"/>
      <c r="H49" s="1168"/>
      <c r="I49" s="1168"/>
      <c r="J49" s="1168"/>
      <c r="K49" s="1168"/>
      <c r="L49" s="8"/>
    </row>
    <row r="50" spans="1:12" x14ac:dyDescent="0.25">
      <c r="A50" s="80"/>
      <c r="B50" s="133"/>
      <c r="C50" s="1159">
        <f>A_InstallationData!I218</f>
        <v>2019</v>
      </c>
      <c r="D50" s="1159"/>
      <c r="E50" s="1160"/>
      <c r="F50" s="1160"/>
      <c r="G50" s="1160"/>
      <c r="H50" s="1160"/>
      <c r="I50" s="1160"/>
      <c r="J50" s="1160"/>
      <c r="K50" s="17"/>
    </row>
    <row r="51" spans="1:12" x14ac:dyDescent="0.25">
      <c r="A51" s="80"/>
      <c r="B51" s="133"/>
      <c r="C51" s="1159">
        <f>A_InstallationData!J218</f>
        <v>2020</v>
      </c>
      <c r="D51" s="1159"/>
      <c r="E51" s="1160"/>
      <c r="F51" s="1160"/>
      <c r="G51" s="1160"/>
      <c r="H51" s="1160"/>
      <c r="I51" s="1160"/>
      <c r="J51" s="1160"/>
      <c r="K51" s="17"/>
    </row>
    <row r="52" spans="1:12" x14ac:dyDescent="0.25">
      <c r="A52" s="80"/>
      <c r="B52" s="133"/>
      <c r="C52" s="1159">
        <f>A_InstallationData!K218</f>
        <v>2021</v>
      </c>
      <c r="D52" s="1159"/>
      <c r="E52" s="1160"/>
      <c r="F52" s="1160"/>
      <c r="G52" s="1160"/>
      <c r="H52" s="1160"/>
      <c r="I52" s="1160"/>
      <c r="J52" s="1160"/>
      <c r="K52" s="17"/>
    </row>
    <row r="53" spans="1:12" x14ac:dyDescent="0.25">
      <c r="A53" s="80"/>
      <c r="B53" s="133"/>
      <c r="C53" s="1159">
        <f>A_InstallationData!L218</f>
        <v>2022</v>
      </c>
      <c r="D53" s="1159"/>
      <c r="E53" s="1160"/>
      <c r="F53" s="1160"/>
      <c r="G53" s="1160"/>
      <c r="H53" s="1160"/>
      <c r="I53" s="1160"/>
      <c r="J53" s="1160"/>
      <c r="K53" s="17"/>
    </row>
    <row r="54" spans="1:12" x14ac:dyDescent="0.25">
      <c r="A54" s="80"/>
      <c r="B54" s="133"/>
      <c r="C54" s="1159">
        <f>A_InstallationData!M218</f>
        <v>2023</v>
      </c>
      <c r="D54" s="1159"/>
      <c r="E54" s="1160"/>
      <c r="F54" s="1160"/>
      <c r="G54" s="1160"/>
      <c r="H54" s="1160"/>
      <c r="I54" s="1160"/>
      <c r="J54" s="1160"/>
      <c r="K54" s="17"/>
    </row>
    <row r="55" spans="1:12" ht="25.5" customHeight="1" thickBot="1" x14ac:dyDescent="0.3">
      <c r="A55" s="80"/>
      <c r="B55" s="80"/>
      <c r="C55" s="80"/>
      <c r="D55" s="80"/>
      <c r="E55" s="17"/>
      <c r="F55" s="17"/>
      <c r="G55" s="17"/>
      <c r="H55" s="17"/>
      <c r="I55" s="17"/>
      <c r="J55" s="17"/>
      <c r="K55" s="17"/>
      <c r="L55" s="8"/>
    </row>
    <row r="56" spans="1:12" x14ac:dyDescent="0.25">
      <c r="A56" s="123"/>
      <c r="B56" s="74"/>
      <c r="C56" s="134" t="str">
        <f>Translations!$B$9</f>
        <v>Language version:</v>
      </c>
      <c r="D56" s="135"/>
      <c r="E56" s="135"/>
      <c r="F56" s="136"/>
      <c r="G56" s="137" t="str">
        <f>VersionDocumentation!B5</f>
        <v>English</v>
      </c>
      <c r="H56" s="137"/>
      <c r="I56" s="137"/>
      <c r="J56" s="138"/>
      <c r="K56" s="74"/>
    </row>
    <row r="57" spans="1:12" ht="13.8" thickBot="1" x14ac:dyDescent="0.3">
      <c r="A57" s="123"/>
      <c r="B57" s="74"/>
      <c r="C57" s="139" t="str">
        <f>Translations!$B$10</f>
        <v>Reference filename:</v>
      </c>
      <c r="D57" s="140"/>
      <c r="E57" s="140"/>
      <c r="F57" s="141"/>
      <c r="G57" s="142" t="str">
        <f>VersionDocumentation!C3</f>
        <v>BDC_P4_baseline_UK_en_250409.xls</v>
      </c>
      <c r="H57" s="142"/>
      <c r="I57" s="142"/>
      <c r="J57" s="143"/>
      <c r="K57" s="74"/>
    </row>
    <row r="58" spans="1:12" x14ac:dyDescent="0.25">
      <c r="A58" s="123"/>
      <c r="B58" s="74"/>
      <c r="C58" s="74"/>
      <c r="D58" s="74"/>
      <c r="E58" s="74"/>
      <c r="F58" s="74"/>
      <c r="G58" s="74"/>
      <c r="H58" s="74"/>
      <c r="I58" s="74"/>
      <c r="J58" s="74"/>
      <c r="K58" s="74"/>
    </row>
    <row r="59" spans="1:12" ht="13.8" thickBot="1" x14ac:dyDescent="0.3">
      <c r="A59" s="123"/>
      <c r="B59" s="74"/>
      <c r="C59" s="27" t="str">
        <f>Translations!$B$11</f>
        <v>Information about this file:</v>
      </c>
      <c r="D59" s="27"/>
      <c r="E59" s="27"/>
      <c r="F59" s="74"/>
      <c r="G59" s="74"/>
      <c r="H59" s="74"/>
      <c r="I59" s="74"/>
      <c r="J59" s="74"/>
      <c r="K59" s="74"/>
    </row>
    <row r="60" spans="1:12" x14ac:dyDescent="0.25">
      <c r="A60" s="123"/>
      <c r="B60" s="74"/>
      <c r="C60" s="134" t="str">
        <f>Translations!$B$12</f>
        <v>Installation name:</v>
      </c>
      <c r="D60" s="135"/>
      <c r="E60" s="135"/>
      <c r="F60" s="136"/>
      <c r="G60" s="137" t="str">
        <f>IF(ISBLANK(A_InstallationData!J12),"",A_InstallationData!J12)</f>
        <v/>
      </c>
      <c r="H60" s="137"/>
      <c r="I60" s="137"/>
      <c r="J60" s="138"/>
      <c r="K60" s="74"/>
    </row>
    <row r="61" spans="1:12" x14ac:dyDescent="0.25">
      <c r="A61" s="123"/>
      <c r="B61" s="74"/>
      <c r="C61" s="237" t="s">
        <v>23</v>
      </c>
      <c r="D61" s="238"/>
      <c r="E61" s="238"/>
      <c r="F61" s="239"/>
      <c r="G61" s="240" t="str">
        <f>IF(A_InstallationData!J29="","",A_InstallationData!J29)</f>
        <v/>
      </c>
      <c r="H61" s="240"/>
      <c r="I61" s="240"/>
      <c r="J61" s="241"/>
      <c r="K61" s="74"/>
    </row>
    <row r="62" spans="1:12" ht="13.8" thickBot="1" x14ac:dyDescent="0.3">
      <c r="A62" s="123"/>
      <c r="B62" s="74"/>
      <c r="C62" s="247" t="str">
        <f>Translations!$B$14</f>
        <v>Relevant baseline period</v>
      </c>
      <c r="D62" s="242"/>
      <c r="E62" s="242"/>
      <c r="F62" s="243"/>
      <c r="G62" s="244" t="str">
        <f>IF(ISBLANK(A_InstallationData!J212),"",A_InstallationData!J212)</f>
        <v>2019-2023</v>
      </c>
      <c r="H62" s="245"/>
      <c r="I62" s="245"/>
      <c r="J62" s="246"/>
      <c r="K62" s="74"/>
    </row>
    <row r="63" spans="1:12" x14ac:dyDescent="0.25">
      <c r="A63" s="123"/>
      <c r="B63" s="74"/>
      <c r="C63" s="74"/>
      <c r="D63" s="74"/>
      <c r="E63" s="74"/>
      <c r="F63" s="74"/>
      <c r="G63" s="74"/>
      <c r="H63" s="74"/>
      <c r="I63" s="74"/>
      <c r="J63" s="74"/>
      <c r="K63" s="74"/>
    </row>
    <row r="64" spans="1:12" hidden="1" x14ac:dyDescent="0.25">
      <c r="A64" s="123"/>
      <c r="B64" s="74"/>
      <c r="C64" s="1165"/>
      <c r="D64" s="1165"/>
      <c r="E64" s="1165"/>
      <c r="F64" s="1166"/>
      <c r="G64" s="1166"/>
      <c r="H64" s="1166"/>
      <c r="I64" s="1166"/>
      <c r="J64" s="1166"/>
      <c r="K64" s="74"/>
    </row>
    <row r="65" spans="1:12" hidden="1" x14ac:dyDescent="0.25">
      <c r="A65" s="123"/>
      <c r="B65" s="74"/>
      <c r="C65" s="74"/>
      <c r="D65" s="74"/>
      <c r="E65" s="74"/>
      <c r="F65" s="123"/>
      <c r="G65" s="74"/>
      <c r="H65" s="74"/>
      <c r="I65" s="74"/>
      <c r="J65" s="74"/>
      <c r="K65" s="74"/>
    </row>
    <row r="66" spans="1:12" hidden="1" x14ac:dyDescent="0.25">
      <c r="A66" s="123"/>
      <c r="B66" s="74"/>
      <c r="C66" s="74"/>
      <c r="D66" s="74"/>
      <c r="E66" s="74"/>
      <c r="F66" s="74"/>
      <c r="G66" s="74"/>
      <c r="H66" s="74"/>
      <c r="I66" s="74"/>
      <c r="J66" s="74"/>
      <c r="K66" s="74"/>
    </row>
    <row r="67" spans="1:12" hidden="1" x14ac:dyDescent="0.25">
      <c r="A67" s="123"/>
      <c r="B67" s="74"/>
      <c r="C67" s="74"/>
      <c r="D67" s="74"/>
      <c r="E67" s="74"/>
      <c r="F67" s="74"/>
      <c r="G67" s="74"/>
      <c r="H67" s="74"/>
      <c r="I67" s="74"/>
      <c r="J67" s="74"/>
      <c r="K67" s="74"/>
    </row>
    <row r="68" spans="1:12" hidden="1" x14ac:dyDescent="0.25">
      <c r="A68" s="123"/>
      <c r="B68" s="74"/>
      <c r="C68" s="74"/>
      <c r="D68" s="74"/>
      <c r="E68" s="74"/>
      <c r="F68" s="74"/>
      <c r="G68" s="74"/>
      <c r="H68" s="74"/>
      <c r="I68" s="74"/>
      <c r="J68" s="74"/>
      <c r="K68" s="74"/>
    </row>
    <row r="69" spans="1:12" hidden="1" x14ac:dyDescent="0.25">
      <c r="A69" s="123"/>
      <c r="B69" s="74"/>
      <c r="C69" s="123"/>
      <c r="D69" s="123"/>
      <c r="E69" s="123"/>
      <c r="F69" s="74"/>
      <c r="G69" s="123"/>
      <c r="H69" s="123"/>
      <c r="I69" s="123"/>
      <c r="J69" s="123"/>
      <c r="K69" s="74"/>
    </row>
    <row r="70" spans="1:12" hidden="1" x14ac:dyDescent="0.25">
      <c r="A70" s="123"/>
      <c r="B70" s="74"/>
      <c r="C70" s="1156"/>
      <c r="D70" s="1156"/>
      <c r="E70" s="1156"/>
      <c r="F70" s="123"/>
      <c r="G70" s="1156"/>
      <c r="H70" s="1157"/>
      <c r="I70" s="1157"/>
      <c r="J70" s="1157"/>
      <c r="K70" s="74"/>
    </row>
    <row r="71" spans="1:12" hidden="1" x14ac:dyDescent="0.25">
      <c r="H71" s="118"/>
      <c r="I71" s="118"/>
      <c r="J71" s="118"/>
      <c r="K71" s="118"/>
    </row>
    <row r="73" spans="1:12" ht="22.95" hidden="1" customHeight="1" x14ac:dyDescent="0.25">
      <c r="A73" s="1164" t="s">
        <v>24</v>
      </c>
      <c r="B73" s="1164"/>
      <c r="C73" s="1164"/>
      <c r="D73" s="1164"/>
      <c r="E73" s="1164"/>
      <c r="F73" s="1164"/>
      <c r="G73" s="1164"/>
      <c r="H73" s="1164"/>
      <c r="I73" s="1164"/>
      <c r="J73" s="1164"/>
      <c r="K73" s="1164"/>
      <c r="L73" s="1164"/>
    </row>
    <row r="100" spans="16:20" hidden="1" x14ac:dyDescent="0.25">
      <c r="P100" s="71" t="s">
        <v>25</v>
      </c>
      <c r="Q100" s="71" t="s">
        <v>26</v>
      </c>
      <c r="R100" s="71" t="s">
        <v>27</v>
      </c>
      <c r="S100" s="71" t="s">
        <v>28</v>
      </c>
      <c r="T100" s="71" t="s">
        <v>29</v>
      </c>
    </row>
    <row r="101" spans="16:20" hidden="1" x14ac:dyDescent="0.25">
      <c r="P101" s="8" t="s">
        <v>30</v>
      </c>
      <c r="Q101" s="8" t="s">
        <v>31</v>
      </c>
      <c r="R101" s="8" t="s">
        <v>31</v>
      </c>
      <c r="S101" s="8" t="s">
        <v>32</v>
      </c>
      <c r="T101" s="77" t="str">
        <f>CNTR_TemplateVersion</f>
        <v>BDC_P4_baseline_UK_en_250409.xls</v>
      </c>
    </row>
    <row r="102" spans="16:20" hidden="1" x14ac:dyDescent="0.25">
      <c r="P102" s="8" t="s">
        <v>33</v>
      </c>
      <c r="Q102" s="5" t="s">
        <v>34</v>
      </c>
      <c r="R102" s="5" t="s">
        <v>35</v>
      </c>
      <c r="S102" s="5" t="s">
        <v>36</v>
      </c>
      <c r="T102" s="1095">
        <f>A_InstallationData!J20</f>
        <v>0</v>
      </c>
    </row>
    <row r="103" spans="16:20" hidden="1" x14ac:dyDescent="0.25">
      <c r="P103" s="8" t="s">
        <v>33</v>
      </c>
      <c r="Q103" s="5" t="s">
        <v>34</v>
      </c>
      <c r="R103" s="5" t="s">
        <v>37</v>
      </c>
      <c r="S103" s="5" t="s">
        <v>38</v>
      </c>
      <c r="T103" s="1094">
        <f>A_InstallationData!J25</f>
        <v>0</v>
      </c>
    </row>
    <row r="104" spans="16:20" hidden="1" x14ac:dyDescent="0.25">
      <c r="P104" s="8" t="s">
        <v>33</v>
      </c>
      <c r="Q104" s="5" t="s">
        <v>34</v>
      </c>
      <c r="R104" s="5" t="s">
        <v>39</v>
      </c>
      <c r="S104" s="5" t="s">
        <v>40</v>
      </c>
      <c r="T104" s="1095">
        <f>A_InstallationData!J57</f>
        <v>0</v>
      </c>
    </row>
    <row r="105" spans="16:20" hidden="1" x14ac:dyDescent="0.25">
      <c r="P105" s="8" t="s">
        <v>33</v>
      </c>
      <c r="Q105" s="5" t="s">
        <v>34</v>
      </c>
      <c r="R105" s="5" t="s">
        <v>41</v>
      </c>
      <c r="S105" s="5" t="s">
        <v>42</v>
      </c>
      <c r="T105" s="1095">
        <f>A_InstallationData!J12</f>
        <v>0</v>
      </c>
    </row>
    <row r="106" spans="16:20" hidden="1" x14ac:dyDescent="0.25">
      <c r="P106" s="8" t="s">
        <v>43</v>
      </c>
      <c r="Q106" s="5" t="s">
        <v>44</v>
      </c>
      <c r="R106" s="5" t="s">
        <v>45</v>
      </c>
      <c r="S106" s="5" t="s">
        <v>46</v>
      </c>
      <c r="T106" s="1094">
        <f>I_Specific!E10</f>
        <v>0</v>
      </c>
    </row>
    <row r="107" spans="16:20" hidden="1" x14ac:dyDescent="0.25">
      <c r="P107" s="8" t="s">
        <v>43</v>
      </c>
      <c r="Q107" s="5" t="s">
        <v>44</v>
      </c>
      <c r="R107" s="5" t="s">
        <v>47</v>
      </c>
      <c r="S107" s="5" t="s">
        <v>48</v>
      </c>
      <c r="T107" s="1094">
        <f>I_Specific!E14</f>
        <v>0</v>
      </c>
    </row>
    <row r="108" spans="16:20" hidden="1" x14ac:dyDescent="0.25">
      <c r="P108" s="8" t="s">
        <v>43</v>
      </c>
      <c r="Q108" s="5" t="s">
        <v>49</v>
      </c>
      <c r="R108" s="5" t="s">
        <v>50</v>
      </c>
      <c r="S108" s="5" t="s">
        <v>51</v>
      </c>
      <c r="T108" s="1094">
        <f>I_Specific!K21</f>
        <v>0</v>
      </c>
    </row>
    <row r="109" spans="16:20" hidden="1" x14ac:dyDescent="0.25">
      <c r="P109" s="8" t="s">
        <v>43</v>
      </c>
      <c r="Q109" s="5" t="s">
        <v>49</v>
      </c>
      <c r="R109" s="5" t="s">
        <v>52</v>
      </c>
      <c r="S109" s="5" t="s">
        <v>53</v>
      </c>
      <c r="T109" s="1094">
        <f>I_Specific!E28</f>
        <v>0</v>
      </c>
    </row>
    <row r="110" spans="16:20" hidden="1" x14ac:dyDescent="0.25">
      <c r="P110" s="8" t="s">
        <v>43</v>
      </c>
      <c r="Q110" s="5" t="s">
        <v>49</v>
      </c>
      <c r="R110" s="5" t="s">
        <v>52</v>
      </c>
      <c r="S110" s="5" t="s">
        <v>54</v>
      </c>
      <c r="T110" s="1094">
        <f>I_Specific!F28</f>
        <v>0</v>
      </c>
    </row>
    <row r="111" spans="16:20" hidden="1" x14ac:dyDescent="0.25">
      <c r="P111" s="8" t="s">
        <v>43</v>
      </c>
      <c r="Q111" s="5" t="s">
        <v>49</v>
      </c>
      <c r="R111" s="5" t="s">
        <v>52</v>
      </c>
      <c r="S111" s="5" t="s">
        <v>55</v>
      </c>
      <c r="T111" s="1094">
        <f>I_Specific!G28</f>
        <v>0</v>
      </c>
    </row>
    <row r="112" spans="16:20" hidden="1" x14ac:dyDescent="0.25">
      <c r="P112" s="8" t="s">
        <v>43</v>
      </c>
      <c r="Q112" s="5" t="s">
        <v>49</v>
      </c>
      <c r="R112" s="5" t="s">
        <v>56</v>
      </c>
      <c r="S112" s="5" t="s">
        <v>57</v>
      </c>
      <c r="T112" s="1094">
        <f>I_Specific!E32</f>
        <v>0</v>
      </c>
    </row>
    <row r="113" spans="16:20" hidden="1" x14ac:dyDescent="0.25">
      <c r="P113" s="8" t="s">
        <v>43</v>
      </c>
      <c r="Q113" s="5" t="s">
        <v>49</v>
      </c>
      <c r="R113" s="5" t="s">
        <v>58</v>
      </c>
      <c r="S113" s="5" t="s">
        <v>59</v>
      </c>
      <c r="T113" s="1094">
        <f>I_Specific!E38</f>
        <v>0</v>
      </c>
    </row>
    <row r="114" spans="16:20" hidden="1" x14ac:dyDescent="0.25">
      <c r="P114" s="8" t="s">
        <v>43</v>
      </c>
      <c r="Q114" s="5" t="s">
        <v>49</v>
      </c>
      <c r="R114" s="5" t="s">
        <v>58</v>
      </c>
      <c r="S114" s="5" t="s">
        <v>60</v>
      </c>
      <c r="T114" s="1094">
        <f>I_Specific!F38</f>
        <v>0</v>
      </c>
    </row>
    <row r="115" spans="16:20" hidden="1" x14ac:dyDescent="0.25">
      <c r="P115" s="8" t="s">
        <v>43</v>
      </c>
      <c r="Q115" s="5" t="s">
        <v>49</v>
      </c>
      <c r="R115" s="5" t="s">
        <v>58</v>
      </c>
      <c r="S115" s="5" t="s">
        <v>61</v>
      </c>
      <c r="T115" s="1094">
        <f>I_Specific!G38</f>
        <v>0</v>
      </c>
    </row>
    <row r="116" spans="16:20" hidden="1" x14ac:dyDescent="0.25">
      <c r="P116" s="8" t="s">
        <v>43</v>
      </c>
      <c r="Q116" s="5" t="s">
        <v>49</v>
      </c>
      <c r="R116" s="5" t="s">
        <v>62</v>
      </c>
      <c r="S116" s="5" t="s">
        <v>63</v>
      </c>
      <c r="T116" s="1094">
        <f>I_Specific!E44</f>
        <v>0</v>
      </c>
    </row>
    <row r="117" spans="16:20" hidden="1" x14ac:dyDescent="0.25">
      <c r="P117" s="8" t="s">
        <v>43</v>
      </c>
      <c r="Q117" s="5" t="s">
        <v>49</v>
      </c>
      <c r="R117" s="5" t="s">
        <v>62</v>
      </c>
      <c r="S117" s="5" t="s">
        <v>64</v>
      </c>
      <c r="T117" s="1094">
        <f>I_Specific!F44</f>
        <v>0</v>
      </c>
    </row>
    <row r="118" spans="16:20" hidden="1" x14ac:dyDescent="0.25">
      <c r="P118" s="8" t="s">
        <v>43</v>
      </c>
      <c r="Q118" s="5" t="s">
        <v>49</v>
      </c>
      <c r="R118" s="5" t="s">
        <v>62</v>
      </c>
      <c r="S118" s="5" t="s">
        <v>65</v>
      </c>
      <c r="T118" s="1094">
        <f>I_Specific!G44</f>
        <v>0</v>
      </c>
    </row>
    <row r="119" spans="16:20" hidden="1" x14ac:dyDescent="0.25">
      <c r="P119" s="8" t="s">
        <v>43</v>
      </c>
      <c r="Q119" s="5" t="s">
        <v>49</v>
      </c>
      <c r="R119" s="5" t="s">
        <v>62</v>
      </c>
      <c r="S119" s="5" t="s">
        <v>66</v>
      </c>
      <c r="T119" s="1094">
        <f>I_Specific!H44</f>
        <v>0</v>
      </c>
    </row>
    <row r="120" spans="16:20" hidden="1" x14ac:dyDescent="0.25">
      <c r="P120" s="8" t="s">
        <v>43</v>
      </c>
      <c r="Q120" s="5" t="s">
        <v>49</v>
      </c>
      <c r="R120" s="5" t="s">
        <v>67</v>
      </c>
      <c r="S120" s="5" t="s">
        <v>68</v>
      </c>
      <c r="T120" s="1094">
        <f>I_Specific!E48</f>
        <v>0</v>
      </c>
    </row>
    <row r="121" spans="16:20" hidden="1" x14ac:dyDescent="0.25">
      <c r="P121" s="8" t="s">
        <v>43</v>
      </c>
      <c r="Q121" s="5" t="s">
        <v>49</v>
      </c>
      <c r="R121" s="5" t="s">
        <v>69</v>
      </c>
      <c r="S121" s="5" t="s">
        <v>70</v>
      </c>
      <c r="T121" s="1094">
        <f>I_Specific!E53</f>
        <v>0</v>
      </c>
    </row>
    <row r="122" spans="16:20" hidden="1" x14ac:dyDescent="0.25">
      <c r="P122" s="8" t="s">
        <v>43</v>
      </c>
      <c r="Q122" s="5" t="s">
        <v>49</v>
      </c>
      <c r="R122" s="5" t="s">
        <v>71</v>
      </c>
      <c r="S122" s="5" t="s">
        <v>72</v>
      </c>
      <c r="T122" s="1094">
        <f>I_Specific!E57</f>
        <v>0</v>
      </c>
    </row>
    <row r="123" spans="16:20" hidden="1" x14ac:dyDescent="0.25">
      <c r="P123" s="8" t="s">
        <v>43</v>
      </c>
      <c r="Q123" s="5" t="s">
        <v>49</v>
      </c>
      <c r="R123" s="5" t="s">
        <v>73</v>
      </c>
      <c r="S123" s="5" t="s">
        <v>74</v>
      </c>
      <c r="T123" s="1094">
        <f>I_Specific!E62</f>
        <v>0</v>
      </c>
    </row>
    <row r="124" spans="16:20" hidden="1" x14ac:dyDescent="0.25">
      <c r="P124" s="8" t="s">
        <v>43</v>
      </c>
      <c r="Q124" s="5" t="s">
        <v>49</v>
      </c>
      <c r="R124" s="5" t="s">
        <v>73</v>
      </c>
      <c r="S124" s="5" t="s">
        <v>75</v>
      </c>
      <c r="T124" s="1094">
        <f>I_Specific!F62</f>
        <v>0</v>
      </c>
    </row>
    <row r="125" spans="16:20" hidden="1" x14ac:dyDescent="0.25">
      <c r="P125" s="8" t="s">
        <v>43</v>
      </c>
      <c r="Q125" s="5" t="s">
        <v>49</v>
      </c>
      <c r="R125" s="5" t="s">
        <v>73</v>
      </c>
      <c r="S125" s="5" t="s">
        <v>76</v>
      </c>
      <c r="T125" s="1094">
        <f>I_Specific!G62</f>
        <v>0</v>
      </c>
    </row>
    <row r="126" spans="16:20" hidden="1" x14ac:dyDescent="0.25">
      <c r="P126" s="8" t="s">
        <v>43</v>
      </c>
      <c r="Q126" s="5" t="s">
        <v>49</v>
      </c>
      <c r="R126" s="5" t="s">
        <v>73</v>
      </c>
      <c r="S126" s="5" t="s">
        <v>77</v>
      </c>
      <c r="T126" s="1094">
        <f>I_Specific!H62</f>
        <v>0</v>
      </c>
    </row>
    <row r="127" spans="16:20" hidden="1" x14ac:dyDescent="0.25">
      <c r="P127" s="8" t="s">
        <v>43</v>
      </c>
      <c r="Q127" s="5" t="s">
        <v>49</v>
      </c>
      <c r="R127" s="5" t="s">
        <v>78</v>
      </c>
      <c r="S127" s="5" t="s">
        <v>79</v>
      </c>
      <c r="T127" s="1094">
        <f>I_Specific!D65</f>
        <v>0</v>
      </c>
    </row>
    <row r="128" spans="16:20" hidden="1" x14ac:dyDescent="0.25">
      <c r="P128" s="8" t="s">
        <v>43</v>
      </c>
      <c r="Q128" s="5" t="s">
        <v>49</v>
      </c>
      <c r="R128" s="5" t="s">
        <v>80</v>
      </c>
      <c r="S128" s="5" t="s">
        <v>81</v>
      </c>
      <c r="T128" s="1094">
        <f>I_Specific!D68</f>
        <v>0</v>
      </c>
    </row>
    <row r="129" spans="16:20" hidden="1" x14ac:dyDescent="0.25">
      <c r="P129" s="8" t="s">
        <v>43</v>
      </c>
      <c r="Q129" s="5" t="s">
        <v>82</v>
      </c>
      <c r="R129" s="5" t="s">
        <v>83</v>
      </c>
      <c r="S129" s="5" t="s">
        <v>84</v>
      </c>
      <c r="T129" s="1094">
        <f>I_Specific!K73</f>
        <v>0</v>
      </c>
    </row>
    <row r="130" spans="16:20" hidden="1" x14ac:dyDescent="0.25">
      <c r="P130" s="8" t="s">
        <v>43</v>
      </c>
      <c r="Q130" s="5" t="s">
        <v>82</v>
      </c>
      <c r="R130" s="5" t="s">
        <v>85</v>
      </c>
      <c r="S130" s="5" t="s">
        <v>86</v>
      </c>
      <c r="T130" s="1094">
        <f>I_Specific!K77</f>
        <v>0</v>
      </c>
    </row>
    <row r="131" spans="16:20" hidden="1" x14ac:dyDescent="0.25">
      <c r="P131" s="8" t="s">
        <v>43</v>
      </c>
      <c r="Q131" s="5" t="s">
        <v>82</v>
      </c>
      <c r="R131" s="5" t="s">
        <v>87</v>
      </c>
      <c r="S131" s="5" t="s">
        <v>88</v>
      </c>
      <c r="T131" s="1094">
        <f>I_Specific!K85</f>
        <v>0</v>
      </c>
    </row>
    <row r="132" spans="16:20" hidden="1" x14ac:dyDescent="0.25">
      <c r="P132" s="8" t="s">
        <v>43</v>
      </c>
      <c r="Q132" s="5" t="s">
        <v>82</v>
      </c>
      <c r="R132" s="5" t="s">
        <v>89</v>
      </c>
      <c r="S132" s="5" t="s">
        <v>90</v>
      </c>
      <c r="T132" s="1094">
        <f>I_Specific!C88</f>
        <v>0</v>
      </c>
    </row>
    <row r="133" spans="16:20" hidden="1" x14ac:dyDescent="0.25">
      <c r="P133" s="8" t="s">
        <v>43</v>
      </c>
      <c r="Q133" s="5" t="s">
        <v>82</v>
      </c>
      <c r="R133" s="5" t="s">
        <v>91</v>
      </c>
      <c r="S133" s="5" t="s">
        <v>92</v>
      </c>
      <c r="T133" s="1094">
        <f>I_Specific!C91</f>
        <v>0</v>
      </c>
    </row>
    <row r="134" spans="16:20" hidden="1" x14ac:dyDescent="0.25">
      <c r="P134" s="8" t="s">
        <v>43</v>
      </c>
      <c r="Q134" s="5" t="s">
        <v>82</v>
      </c>
      <c r="R134" s="5" t="s">
        <v>93</v>
      </c>
      <c r="S134" s="5" t="s">
        <v>94</v>
      </c>
      <c r="T134" s="1094" t="str">
        <f>I_Specific!H97</f>
        <v/>
      </c>
    </row>
    <row r="135" spans="16:20" hidden="1" x14ac:dyDescent="0.25">
      <c r="P135" s="8" t="s">
        <v>43</v>
      </c>
      <c r="Q135" s="5" t="s">
        <v>82</v>
      </c>
      <c r="R135" s="5" t="s">
        <v>93</v>
      </c>
      <c r="S135" s="5" t="s">
        <v>95</v>
      </c>
      <c r="T135" s="1094" t="str">
        <f>I_Specific!I97</f>
        <v/>
      </c>
    </row>
    <row r="136" spans="16:20" hidden="1" x14ac:dyDescent="0.25">
      <c r="P136" s="8" t="s">
        <v>43</v>
      </c>
      <c r="Q136" s="5" t="s">
        <v>82</v>
      </c>
      <c r="R136" s="5" t="s">
        <v>93</v>
      </c>
      <c r="S136" s="5" t="s">
        <v>96</v>
      </c>
      <c r="T136" s="1094" t="str">
        <f>I_Specific!J97</f>
        <v/>
      </c>
    </row>
    <row r="137" spans="16:20" hidden="1" x14ac:dyDescent="0.25">
      <c r="P137" s="8" t="s">
        <v>43</v>
      </c>
      <c r="Q137" s="5" t="s">
        <v>82</v>
      </c>
      <c r="R137" s="5" t="s">
        <v>93</v>
      </c>
      <c r="S137" s="5" t="s">
        <v>97</v>
      </c>
      <c r="T137" s="1094" t="str">
        <f>I_Specific!K97</f>
        <v/>
      </c>
    </row>
    <row r="138" spans="16:20" hidden="1" x14ac:dyDescent="0.25">
      <c r="P138" s="8" t="s">
        <v>43</v>
      </c>
      <c r="Q138" s="5" t="s">
        <v>82</v>
      </c>
      <c r="R138" s="5" t="s">
        <v>93</v>
      </c>
      <c r="S138" s="5" t="s">
        <v>98</v>
      </c>
      <c r="T138" s="1094" t="str">
        <f>I_Specific!L97</f>
        <v/>
      </c>
    </row>
    <row r="139" spans="16:20" hidden="1" x14ac:dyDescent="0.25">
      <c r="P139" s="8" t="s">
        <v>43</v>
      </c>
      <c r="Q139" s="5" t="s">
        <v>82</v>
      </c>
      <c r="R139" s="5" t="s">
        <v>99</v>
      </c>
      <c r="S139" s="5" t="s">
        <v>100</v>
      </c>
      <c r="T139" s="1094" t="str">
        <f>I_Specific!H98</f>
        <v/>
      </c>
    </row>
    <row r="140" spans="16:20" hidden="1" x14ac:dyDescent="0.25">
      <c r="P140" s="8" t="s">
        <v>43</v>
      </c>
      <c r="Q140" s="5" t="s">
        <v>82</v>
      </c>
      <c r="R140" s="5" t="s">
        <v>99</v>
      </c>
      <c r="S140" s="5" t="s">
        <v>101</v>
      </c>
      <c r="T140" s="1094" t="str">
        <f>I_Specific!I98</f>
        <v/>
      </c>
    </row>
    <row r="141" spans="16:20" hidden="1" x14ac:dyDescent="0.25">
      <c r="P141" s="8" t="s">
        <v>43</v>
      </c>
      <c r="Q141" s="5" t="s">
        <v>82</v>
      </c>
      <c r="R141" s="5" t="s">
        <v>99</v>
      </c>
      <c r="S141" s="5" t="s">
        <v>102</v>
      </c>
      <c r="T141" s="1094" t="str">
        <f>I_Specific!J98</f>
        <v/>
      </c>
    </row>
    <row r="142" spans="16:20" hidden="1" x14ac:dyDescent="0.25">
      <c r="P142" s="8" t="s">
        <v>43</v>
      </c>
      <c r="Q142" s="5" t="s">
        <v>82</v>
      </c>
      <c r="R142" s="5" t="s">
        <v>99</v>
      </c>
      <c r="S142" s="5" t="s">
        <v>103</v>
      </c>
      <c r="T142" s="1094" t="str">
        <f>I_Specific!K98</f>
        <v/>
      </c>
    </row>
    <row r="143" spans="16:20" hidden="1" x14ac:dyDescent="0.25">
      <c r="P143" s="8" t="s">
        <v>43</v>
      </c>
      <c r="Q143" s="5" t="s">
        <v>82</v>
      </c>
      <c r="R143" s="5" t="s">
        <v>99</v>
      </c>
      <c r="S143" s="5" t="s">
        <v>104</v>
      </c>
      <c r="T143" s="1094" t="str">
        <f>I_Specific!L98</f>
        <v/>
      </c>
    </row>
    <row r="144" spans="16:20" hidden="1" x14ac:dyDescent="0.25">
      <c r="P144" s="8" t="s">
        <v>43</v>
      </c>
      <c r="Q144" s="5" t="s">
        <v>82</v>
      </c>
      <c r="R144" s="5" t="s">
        <v>105</v>
      </c>
      <c r="S144" s="5" t="s">
        <v>106</v>
      </c>
      <c r="T144" s="1094" t="str">
        <f>I_Specific!H99</f>
        <v/>
      </c>
    </row>
    <row r="145" spans="16:20" hidden="1" x14ac:dyDescent="0.25">
      <c r="P145" s="8" t="s">
        <v>43</v>
      </c>
      <c r="Q145" s="5" t="s">
        <v>82</v>
      </c>
      <c r="R145" s="5" t="s">
        <v>105</v>
      </c>
      <c r="S145" s="5" t="s">
        <v>107</v>
      </c>
      <c r="T145" s="1094" t="str">
        <f>I_Specific!I99</f>
        <v/>
      </c>
    </row>
    <row r="146" spans="16:20" hidden="1" x14ac:dyDescent="0.25">
      <c r="P146" s="8" t="s">
        <v>43</v>
      </c>
      <c r="Q146" s="5" t="s">
        <v>82</v>
      </c>
      <c r="R146" s="5" t="s">
        <v>105</v>
      </c>
      <c r="S146" s="5" t="s">
        <v>108</v>
      </c>
      <c r="T146" s="1094" t="str">
        <f>I_Specific!J99</f>
        <v/>
      </c>
    </row>
    <row r="147" spans="16:20" hidden="1" x14ac:dyDescent="0.25">
      <c r="P147" s="8" t="s">
        <v>43</v>
      </c>
      <c r="Q147" s="5" t="s">
        <v>82</v>
      </c>
      <c r="R147" s="5" t="s">
        <v>105</v>
      </c>
      <c r="S147" s="5" t="s">
        <v>109</v>
      </c>
      <c r="T147" s="1094" t="str">
        <f>I_Specific!K99</f>
        <v/>
      </c>
    </row>
    <row r="148" spans="16:20" hidden="1" x14ac:dyDescent="0.25">
      <c r="P148" s="8" t="s">
        <v>43</v>
      </c>
      <c r="Q148" s="5" t="s">
        <v>82</v>
      </c>
      <c r="R148" s="5" t="s">
        <v>105</v>
      </c>
      <c r="S148" s="5" t="s">
        <v>110</v>
      </c>
      <c r="T148" s="1094" t="str">
        <f>I_Specific!L99</f>
        <v/>
      </c>
    </row>
    <row r="149" spans="16:20" hidden="1" x14ac:dyDescent="0.25">
      <c r="P149" s="8" t="s">
        <v>43</v>
      </c>
      <c r="Q149" s="8" t="s">
        <v>82</v>
      </c>
      <c r="R149" s="5" t="s">
        <v>93</v>
      </c>
      <c r="S149" s="5" t="s">
        <v>111</v>
      </c>
      <c r="T149" s="1094">
        <f>I_Specific!M97</f>
        <v>0</v>
      </c>
    </row>
    <row r="150" spans="16:20" hidden="1" x14ac:dyDescent="0.25">
      <c r="P150" s="8" t="s">
        <v>43</v>
      </c>
      <c r="Q150" s="5" t="s">
        <v>82</v>
      </c>
      <c r="R150" s="5" t="s">
        <v>99</v>
      </c>
      <c r="S150" s="5" t="s">
        <v>112</v>
      </c>
      <c r="T150" s="1094">
        <f>I_Specific!M98</f>
        <v>0</v>
      </c>
    </row>
    <row r="151" spans="16:20" hidden="1" x14ac:dyDescent="0.25">
      <c r="P151" s="8" t="s">
        <v>43</v>
      </c>
      <c r="Q151" s="5" t="s">
        <v>82</v>
      </c>
      <c r="R151" s="5" t="s">
        <v>105</v>
      </c>
      <c r="S151" s="5" t="s">
        <v>113</v>
      </c>
      <c r="T151" s="1094">
        <f>I_Specific!M99</f>
        <v>0</v>
      </c>
    </row>
    <row r="152" spans="16:20" hidden="1" x14ac:dyDescent="0.25">
      <c r="P152" s="8" t="s">
        <v>43</v>
      </c>
      <c r="Q152" s="5" t="s">
        <v>82</v>
      </c>
      <c r="R152" s="5" t="s">
        <v>114</v>
      </c>
      <c r="S152" s="8" t="s">
        <v>115</v>
      </c>
      <c r="T152" s="1094" t="b">
        <f>I_Specific!K101</f>
        <v>0</v>
      </c>
    </row>
    <row r="153" spans="16:20" hidden="1" x14ac:dyDescent="0.25">
      <c r="P153" s="8" t="s">
        <v>43</v>
      </c>
      <c r="Q153" s="5" t="s">
        <v>82</v>
      </c>
      <c r="R153" s="5" t="s">
        <v>116</v>
      </c>
      <c r="S153" s="8" t="s">
        <v>117</v>
      </c>
      <c r="T153" s="1094" t="b">
        <f>I_Specific!K102</f>
        <v>0</v>
      </c>
    </row>
    <row r="154" spans="16:20" hidden="1" x14ac:dyDescent="0.25">
      <c r="P154" s="8" t="s">
        <v>43</v>
      </c>
      <c r="Q154" s="5" t="s">
        <v>82</v>
      </c>
      <c r="R154" s="8" t="s">
        <v>118</v>
      </c>
      <c r="S154" s="5" t="s">
        <v>119</v>
      </c>
      <c r="T154" s="1094">
        <f>I_Specific!K105</f>
        <v>0</v>
      </c>
    </row>
    <row r="155" spans="16:20" hidden="1" x14ac:dyDescent="0.25">
      <c r="P155" s="8" t="s">
        <v>43</v>
      </c>
      <c r="Q155" s="5" t="s">
        <v>82</v>
      </c>
      <c r="R155" s="8" t="s">
        <v>120</v>
      </c>
      <c r="S155" s="5" t="s">
        <v>121</v>
      </c>
      <c r="T155" s="1094">
        <f>I_Specific!C108</f>
        <v>0</v>
      </c>
    </row>
    <row r="156" spans="16:20" hidden="1" x14ac:dyDescent="0.25">
      <c r="P156" s="8" t="s">
        <v>43</v>
      </c>
      <c r="Q156" s="5" t="s">
        <v>82</v>
      </c>
      <c r="R156" s="8" t="s">
        <v>122</v>
      </c>
      <c r="S156" s="5" t="s">
        <v>123</v>
      </c>
      <c r="T156" s="1094">
        <f>I_Specific!C111</f>
        <v>0</v>
      </c>
    </row>
    <row r="157" spans="16:20" hidden="1" x14ac:dyDescent="0.25">
      <c r="P157" s="8" t="s">
        <v>43</v>
      </c>
      <c r="Q157" s="5" t="s">
        <v>82</v>
      </c>
      <c r="R157" s="8" t="s">
        <v>124</v>
      </c>
      <c r="S157" s="5" t="s">
        <v>125</v>
      </c>
      <c r="T157" s="1094">
        <f>I_Specific!K115</f>
        <v>0</v>
      </c>
    </row>
    <row r="158" spans="16:20" hidden="1" x14ac:dyDescent="0.25">
      <c r="P158" s="8" t="s">
        <v>43</v>
      </c>
      <c r="Q158" s="5" t="s">
        <v>82</v>
      </c>
      <c r="R158" s="5" t="s">
        <v>126</v>
      </c>
      <c r="S158" s="5" t="s">
        <v>127</v>
      </c>
      <c r="T158" s="1094" t="str">
        <f>I_Specific!D123</f>
        <v/>
      </c>
    </row>
    <row r="159" spans="16:20" hidden="1" x14ac:dyDescent="0.25">
      <c r="P159" s="8" t="s">
        <v>43</v>
      </c>
      <c r="Q159" s="5" t="s">
        <v>82</v>
      </c>
      <c r="R159" s="5" t="s">
        <v>126</v>
      </c>
      <c r="S159" s="5" t="s">
        <v>128</v>
      </c>
      <c r="T159" s="1094" t="str">
        <f>I_Specific!E123</f>
        <v/>
      </c>
    </row>
    <row r="160" spans="16:20" hidden="1" x14ac:dyDescent="0.25">
      <c r="P160" s="8" t="s">
        <v>43</v>
      </c>
      <c r="Q160" s="5" t="s">
        <v>82</v>
      </c>
      <c r="R160" s="5" t="s">
        <v>126</v>
      </c>
      <c r="S160" s="5" t="s">
        <v>129</v>
      </c>
      <c r="T160" s="1094" t="str">
        <f>I_Specific!F123</f>
        <v/>
      </c>
    </row>
    <row r="161" spans="16:20" hidden="1" x14ac:dyDescent="0.25">
      <c r="P161" s="8" t="s">
        <v>43</v>
      </c>
      <c r="Q161" s="5" t="s">
        <v>82</v>
      </c>
      <c r="R161" s="5" t="s">
        <v>126</v>
      </c>
      <c r="S161" s="5" t="s">
        <v>130</v>
      </c>
      <c r="T161" s="1094" t="str">
        <f>I_Specific!G123</f>
        <v/>
      </c>
    </row>
    <row r="162" spans="16:20" hidden="1" x14ac:dyDescent="0.25">
      <c r="P162" s="8" t="s">
        <v>43</v>
      </c>
      <c r="Q162" s="5" t="s">
        <v>82</v>
      </c>
      <c r="R162" s="5" t="s">
        <v>126</v>
      </c>
      <c r="S162" s="5" t="s">
        <v>131</v>
      </c>
      <c r="T162" s="1094" t="str">
        <f>I_Specific!H123</f>
        <v/>
      </c>
    </row>
    <row r="163" spans="16:20" hidden="1" x14ac:dyDescent="0.25">
      <c r="P163" s="8" t="s">
        <v>43</v>
      </c>
      <c r="Q163" s="5" t="s">
        <v>82</v>
      </c>
      <c r="R163" s="8" t="s">
        <v>126</v>
      </c>
      <c r="S163" s="5" t="s">
        <v>132</v>
      </c>
      <c r="T163" s="1094">
        <f>I_Specific!C126</f>
        <v>0</v>
      </c>
    </row>
    <row r="164" spans="16:20" hidden="1" x14ac:dyDescent="0.25">
      <c r="P164" s="8" t="s">
        <v>43</v>
      </c>
      <c r="Q164" s="5" t="s">
        <v>82</v>
      </c>
      <c r="R164" s="8" t="s">
        <v>133</v>
      </c>
      <c r="S164" s="5" t="s">
        <v>134</v>
      </c>
      <c r="T164" s="1094">
        <f>I_Specific!C129</f>
        <v>0</v>
      </c>
    </row>
    <row r="165" spans="16:20" hidden="1" x14ac:dyDescent="0.25">
      <c r="P165" s="8" t="s">
        <v>43</v>
      </c>
      <c r="Q165" s="5" t="s">
        <v>82</v>
      </c>
      <c r="R165" s="8" t="s">
        <v>135</v>
      </c>
      <c r="S165" s="5" t="s">
        <v>136</v>
      </c>
      <c r="T165" s="1094">
        <f>I_Specific!K132</f>
        <v>0</v>
      </c>
    </row>
    <row r="166" spans="16:20" hidden="1" x14ac:dyDescent="0.25">
      <c r="P166" s="8" t="s">
        <v>43</v>
      </c>
      <c r="Q166" s="5" t="s">
        <v>82</v>
      </c>
      <c r="R166" s="8" t="s">
        <v>135</v>
      </c>
      <c r="S166" s="5" t="s">
        <v>137</v>
      </c>
      <c r="T166" s="1094">
        <f>I_Specific!C135</f>
        <v>0</v>
      </c>
    </row>
  </sheetData>
  <sheetProtection algorithmName="SHA-512" hashValue="W6rX5rEaMQLkBH/CZ9lnmjfxMjmA2vORkqqnYOopYWp/G+OnBTRga358uuCo0aGM8BQR9qGLSyniSwSXcoypPA==" saltValue="JRcXVBMVoRrSMIVx2h0n/g==" spinCount="100000" sheet="1" objects="1" scenarios="1" formatColumns="0" formatRows="0"/>
  <mergeCells count="66">
    <mergeCell ref="A73:L73"/>
    <mergeCell ref="C64:J64"/>
    <mergeCell ref="C49:K49"/>
    <mergeCell ref="C50:J50"/>
    <mergeCell ref="G3:H3"/>
    <mergeCell ref="I3:J3"/>
    <mergeCell ref="C26:K26"/>
    <mergeCell ref="C27:J27"/>
    <mergeCell ref="C24:K24"/>
    <mergeCell ref="C25:J25"/>
    <mergeCell ref="C17:J17"/>
    <mergeCell ref="C18:J18"/>
    <mergeCell ref="C34:J34"/>
    <mergeCell ref="C35:J35"/>
    <mergeCell ref="C52:J52"/>
    <mergeCell ref="C53:J53"/>
    <mergeCell ref="C54:J54"/>
    <mergeCell ref="K1:L1"/>
    <mergeCell ref="E2:F2"/>
    <mergeCell ref="G2:H2"/>
    <mergeCell ref="I2:J2"/>
    <mergeCell ref="C8:K8"/>
    <mergeCell ref="K2:L2"/>
    <mergeCell ref="K3:L3"/>
    <mergeCell ref="C30:J30"/>
    <mergeCell ref="C31:J31"/>
    <mergeCell ref="C32:J32"/>
    <mergeCell ref="C33:J33"/>
    <mergeCell ref="C20:J20"/>
    <mergeCell ref="C28:K28"/>
    <mergeCell ref="C29:J29"/>
    <mergeCell ref="C23:J23"/>
    <mergeCell ref="G70:J70"/>
    <mergeCell ref="C70:E70"/>
    <mergeCell ref="C9:K9"/>
    <mergeCell ref="C10:J10"/>
    <mergeCell ref="C11:J11"/>
    <mergeCell ref="C51:J51"/>
    <mergeCell ref="C13:J13"/>
    <mergeCell ref="C12:J12"/>
    <mergeCell ref="C14:K14"/>
    <mergeCell ref="C15:J15"/>
    <mergeCell ref="C16:J16"/>
    <mergeCell ref="C19:K19"/>
    <mergeCell ref="C46:J46"/>
    <mergeCell ref="C47:J47"/>
    <mergeCell ref="C21:J21"/>
    <mergeCell ref="C22:J22"/>
    <mergeCell ref="A1:A3"/>
    <mergeCell ref="E1:F1"/>
    <mergeCell ref="G1:H1"/>
    <mergeCell ref="I1:J1"/>
    <mergeCell ref="E3:F3"/>
    <mergeCell ref="B2:D2"/>
    <mergeCell ref="B3:D3"/>
    <mergeCell ref="C36:J36"/>
    <mergeCell ref="C37:J37"/>
    <mergeCell ref="C44:J44"/>
    <mergeCell ref="C45:J45"/>
    <mergeCell ref="C48:J48"/>
    <mergeCell ref="C40:K40"/>
    <mergeCell ref="C41:J41"/>
    <mergeCell ref="C42:J42"/>
    <mergeCell ref="C43:K43"/>
    <mergeCell ref="C38:K38"/>
    <mergeCell ref="C39:J39"/>
  </mergeCells>
  <phoneticPr fontId="7" type="noConversion"/>
  <hyperlinks>
    <hyperlink ref="C10" location="JUMP_A_I" display="I" xr:uid="{86901375-0C87-4EFF-9317-FCA41558E51C}"/>
    <hyperlink ref="C11" location="JUMP_A_II" display="II" xr:uid="{ECF1ACDF-343D-4E3A-BAC0-688B60AA6235}"/>
    <hyperlink ref="C12" location="JUMP_A_III" display="III" xr:uid="{A0E6A3F5-767A-45AC-8C71-A224EF5E1A0E}"/>
    <hyperlink ref="C13" location="JUMP_A_IV" display="IV" xr:uid="{2BEFC5BF-439A-411B-BC50-398233CF3B8C}"/>
    <hyperlink ref="B10" location="JUMP_A_I" display="I" xr:uid="{47653CC9-C049-4534-8052-788A7854A96D}"/>
    <hyperlink ref="B11" location="JUMP_A_II" display="II" xr:uid="{29741204-E831-40D1-9188-772EACC14C18}"/>
    <hyperlink ref="B12" location="JUMP_A_III" display="III" xr:uid="{6C635D2A-AFF2-4EE7-8AEC-A161165B853B}"/>
    <hyperlink ref="B13" location="JUMP_A_IV" display="IV" xr:uid="{49332A98-E4A6-4E6C-9C57-F145D6158F0F}"/>
    <hyperlink ref="C8:K8" location="JUMP_Guidelines_Home" display="GUIDELINES AND CONDITIONS" xr:uid="{5DD03A1C-2911-45F0-942B-808F1E920584}"/>
    <hyperlink ref="K1:L1" location="JUMP_K_I" display="Summary" xr:uid="{CD8539F5-4A14-4FCB-B09A-54DE765E804C}"/>
    <hyperlink ref="B2:C2" location="JUMP_Guidelines_Home" display="Top of sheet" xr:uid="{D3092437-1C22-4CA9-A34F-792F73CC6BBB}"/>
    <hyperlink ref="B3:C3" location="JUMP_Guidelines_Bottom" display="End of sheet" xr:uid="{69875BC6-7E5E-4EE2-AD1B-A47CAE35D54B}"/>
    <hyperlink ref="I1:J1" location="JUMP_Guidelines_Home" display="Next sheet" xr:uid="{69FA206C-5954-4DAB-8022-40D7B8749FFF}"/>
    <hyperlink ref="B2:D2" location="JUMP_Coverpage_Top" display="Top of sheet" xr:uid="{1BA38E62-E73F-4CCD-89F0-69E160265121}"/>
    <hyperlink ref="B3:D3" location="JUMP_Coverpage_Bottom" display="End of sheet" xr:uid="{8557D0E9-08DD-46B3-8488-E5D12786DC23}"/>
    <hyperlink ref="C50" location="JUMP_A_I" display="I" xr:uid="{D07AD66B-B755-4EC1-B57A-A9DF96F62D4E}"/>
    <hyperlink ref="C15" location="JUMP_A_I" display="I" xr:uid="{AD78500C-B390-4C8F-A805-B5E92C4D3554}"/>
    <hyperlink ref="C16" location="JUMP_A_II" display="II" xr:uid="{4395AE0E-CB9F-4B09-8024-A46AAF310CD8}"/>
    <hyperlink ref="B15" location="JUMP_D_I" display="I" xr:uid="{5B232598-612B-445D-973D-0C08D690F20A}"/>
    <hyperlink ref="B16" location="JUMP_D_II" display="II" xr:uid="{916887CA-8CDF-47B1-964B-73306772DFCD}"/>
    <hyperlink ref="C25" location="JUMP_A_I" display="I" xr:uid="{836188AF-FF76-40A4-96E3-C6CAE0DF587C}"/>
    <hyperlink ref="B25" location="JUMP_F_I" display="I" xr:uid="{A46CA181-04A4-4972-B01E-0FF739AECF60}"/>
    <hyperlink ref="C17" location="JUMP_A_II" display="II" xr:uid="{57C63E26-62C1-4D0A-B628-4C4A2133C7E0}"/>
    <hyperlink ref="C18" location="JUMP_A_II" display="II" xr:uid="{49FD7BC3-A965-4A14-9464-422476C3F286}"/>
    <hyperlink ref="C15:J15" location="JUMP_D_I" display="JUMP_D_I" xr:uid="{A2DB6F71-C22F-4F47-914D-FB01011636C7}"/>
    <hyperlink ref="C16:J16" location="JUMP_D_II" display="JUMP_D_II" xr:uid="{A0F8FDA6-FFB4-4F3B-A34D-50723A801CD1}"/>
    <hyperlink ref="B17" location="JUMP_D_III" display="III" xr:uid="{A5FE4860-5C2A-4A2A-AFA8-49F779B183B4}"/>
    <hyperlink ref="C17:J17" location="JUMP_D_III" display="JUMP_D_III" xr:uid="{FA2F2F69-9ADA-4454-BDA2-07813FD69CDB}"/>
    <hyperlink ref="B18" location="JUMP_D_IV" display="IV" xr:uid="{EFD94728-4E73-43EA-9F48-3FE91D3ADCAB}"/>
    <hyperlink ref="C18:J18" location="JUMP_D_IV" display="JUMP_D_IV" xr:uid="{BBFBDE4D-77CF-4D26-836A-EB37F505CDB0}"/>
    <hyperlink ref="C20" location="JUMP_A_I" display="I" xr:uid="{52BE6CE2-92B1-49B8-A8AB-EBD4B2DAEB71}"/>
    <hyperlink ref="C21" location="JUMP_A_II" display="II" xr:uid="{9CA1ADE7-55A3-4093-B367-6F10E92FC252}"/>
    <hyperlink ref="B20" location="JUMP_E_I" display="I" xr:uid="{65068992-379A-48C3-B093-14992D1C7B84}"/>
    <hyperlink ref="B21" location="JUMP_E_II" display="II" xr:uid="{05F977EB-E4EA-4141-B804-DAA875D2FB82}"/>
    <hyperlink ref="C22" location="JUMP_A_II" display="II" xr:uid="{22CB53E9-61B3-4B8C-9826-0B63A99FD5E5}"/>
    <hyperlink ref="C23" location="JUMP_A_II" display="II" xr:uid="{A76FC677-73A1-4FE1-8CDE-95A343DC1202}"/>
    <hyperlink ref="C20:J20" location="JUMP_E_I" display="JUMP_E_I" xr:uid="{356F9CFA-A1EE-426B-8898-ECE2D50D715E}"/>
    <hyperlink ref="C21:J21" location="JUMP_E_II" display="JUMP_E_II" xr:uid="{A21E03AF-5447-458C-9D36-F17F45FE0CF6}"/>
    <hyperlink ref="B22" location="JUMP_E_III" display="III" xr:uid="{58CD8488-BAE6-40D2-915A-7F7162A00FA9}"/>
    <hyperlink ref="C22:J22" location="JUMP_E_III" display="JUMP_E_III" xr:uid="{798E466D-BC85-4AE7-A4C2-69B2D338DDB5}"/>
    <hyperlink ref="B23" location="JUMP_E_IV" display="IV" xr:uid="{1AC03C66-861D-4450-A17D-789DA4267026}"/>
    <hyperlink ref="C23:J23" location="JUMP_E_IV" display="JUMP_E_IV" xr:uid="{A47FFE5B-9E34-43C6-B6C1-D2B56678F7A9}"/>
    <hyperlink ref="C27" location="JUMP_A_I" display="I" xr:uid="{FD9758E2-170F-47CA-B984-9A91FBAD932C}"/>
    <hyperlink ref="B27" location="JUMP_G_I" display="I" xr:uid="{6AE7968B-E750-4ED5-9485-9355ABECE86F}"/>
    <hyperlink ref="C25:J25" location="JUMP_F_I" display="JUMP_F_I" xr:uid="{83355EAD-A269-44E7-9668-0E6981E49E30}"/>
    <hyperlink ref="C27:J27" location="JUMP_G_I" display="JUMP_G_I" xr:uid="{7106657B-9C95-4BAD-B3E5-C2061D8EB662}"/>
    <hyperlink ref="C29:J29" location="JUMP_H_I" display="I" xr:uid="{A0B63DDE-5D8A-4E25-AF7D-B932B28CC2C0}"/>
    <hyperlink ref="C30:J30" location="JUMP_H_II" display="II" xr:uid="{E9BF72BF-EBFF-4722-AD08-30E8CB8FC4BD}"/>
    <hyperlink ref="C31:J31" location="JUMP_H_III" display="III" xr:uid="{2BD6C62E-3001-4C65-8792-03B5FEBCCF47}"/>
    <hyperlink ref="C32:J32" location="JUMP_H_IV" display="IV" xr:uid="{0EF79692-9C89-4967-9371-060D0575EEE9}"/>
    <hyperlink ref="C33:J33" location="JUMP_H_V" display="V" xr:uid="{AAA497D3-11C5-4945-A32D-0789D32609BF}"/>
    <hyperlink ref="C34:J34" location="JUMP_H_VI" display="VI" xr:uid="{151A7A56-CC57-4004-9D33-1940F0C7D9C2}"/>
    <hyperlink ref="C35:J35" location="JUMP_H_VII" display="VII" xr:uid="{31DF0815-920B-4C6E-AE36-4CED5D52FF9D}"/>
    <hyperlink ref="C36:J36" location="JUMP_H_VIII" display="VIII" xr:uid="{E353C396-724F-47D5-92BC-1607A57FBFDC}"/>
    <hyperlink ref="C37:J37" location="JUMP_H_IX" display="IX" xr:uid="{41F102C1-5EBB-467B-9A89-BB16B62F41A8}"/>
    <hyperlink ref="B29" location="JUMP_H_I" display="I" xr:uid="{22ACC930-27D2-4D70-8AC5-3215A9D70384}"/>
    <hyperlink ref="B30" location="JUMP_H_II" display="II" xr:uid="{88E42264-643A-4C8F-B4CF-23A70DEB7155}"/>
    <hyperlink ref="B31" location="JUMP_H_III" display="III" xr:uid="{733924F1-B6D1-4372-AE88-768652EBB171}"/>
    <hyperlink ref="B32" location="JUMP_H_IV" display="IV" xr:uid="{2F671D77-D048-4D1B-989C-96B852D9120D}"/>
    <hyperlink ref="B33" location="JUMP_H_V" display="V" xr:uid="{7815EA43-9ACF-4444-8A3C-08547B673C42}"/>
    <hyperlink ref="B34" location="JUMP_H_VI" display="VI" xr:uid="{F36ABC1F-4DE7-4D97-BBD9-F66B68DD3406}"/>
    <hyperlink ref="B35" location="JUMP_H_VII" display="VII" xr:uid="{CC9E3852-F637-493F-B555-EE82EC43DD84}"/>
    <hyperlink ref="B36" location="JUMP_H_VIII" display="VIII" xr:uid="{8D1D6DF1-8BD3-4EBF-914D-147C935582CE}"/>
    <hyperlink ref="B37" location="JUMP_H_IX" display="IX" xr:uid="{2818D4A4-FEC7-4E85-9A1B-FAFDB3D5E84D}"/>
    <hyperlink ref="C41:J41" location="JUMP_J_I" display="I" xr:uid="{1D2E961B-7379-4173-83F7-E587DC4C8566}"/>
    <hyperlink ref="C42:J42" location="JUMP_J_II" display="II" xr:uid="{ED36A565-27CF-4BB0-A24C-9D93D7286DA6}"/>
    <hyperlink ref="C39:J39" location="JUMP_I_MSspecific" display="I" xr:uid="{2B48AEC9-126C-4875-AA87-8BDAF9D5E110}"/>
    <hyperlink ref="B39" location="JUMP_I_MSspecific" display="I" xr:uid="{E05B0603-8244-4AD3-A0E3-DB66A64D5ED5}"/>
    <hyperlink ref="B41" location="JUMP_J_I" display="I" xr:uid="{77CDFF6A-43C2-41F0-836F-61129559AA36}"/>
    <hyperlink ref="B42" location="JUMP_J_II" display="II" xr:uid="{831DF1C3-44AA-49D7-BFB1-DF3EB7C417D3}"/>
    <hyperlink ref="C44:J44" location="JUMP_K_I" display="I" xr:uid="{D1322937-E80B-41DF-A823-20F2F83B7A83}"/>
    <hyperlink ref="B44" location="JUMP_K_I" display="I" xr:uid="{B3BBE169-0C65-4C02-B12F-9AB60A2A0AFA}"/>
    <hyperlink ref="B45:J45" location="JUMP_K_II" display="II" xr:uid="{A70572C3-9BD8-4F96-A077-1094EF472731}"/>
    <hyperlink ref="B46:J46" location="JUMP_K_III" display="III" xr:uid="{F05E1431-ADD2-4CF9-8ADF-72E2F1237BFC}"/>
    <hyperlink ref="B47:J47" location="JUMP_K_IV" display="IV" xr:uid="{F2FA7C20-5992-4F6D-A33F-B92C37B0EB78}"/>
    <hyperlink ref="B48:J48" location="JUMP_K_V" display="V" xr:uid="{262BF47B-35CA-4E3F-9C24-1C5EBAC04931}"/>
    <hyperlink ref="C51" location="JUMP_A_I" display="I" xr:uid="{C2E128E3-5D1B-4621-847A-FE30C378537D}"/>
    <hyperlink ref="C52" location="JUMP_A_I" display="I" xr:uid="{BF780FFB-79A1-4E75-B5CF-D1A7E79D9A68}"/>
    <hyperlink ref="C53" location="JUMP_A_I" display="I" xr:uid="{BC506510-EF03-427B-9750-4D11F772D737}"/>
    <hyperlink ref="C54" location="JUMP_A_I" display="I" xr:uid="{8DA60953-6F29-4B12-88FA-E053834E376F}"/>
    <hyperlink ref="C50:J50" location="JUMP_BY1_Top" display="JUMP_BY1_Top" xr:uid="{1AE7E2F0-9E5F-4B58-AF86-F6F7951E1EFD}"/>
    <hyperlink ref="C51:J51" location="JUMP_BY2_Top" display="JUMP_BY2_Top" xr:uid="{6827274C-7B04-4D4D-9820-834706A5D4AD}"/>
    <hyperlink ref="C52:J52" location="JUMP_BY3_Top" display="JUMP_BY3_Top" xr:uid="{A78DAAFD-5F91-499A-9A59-8B0D1C7B2080}"/>
    <hyperlink ref="C53:J53" location="JUMP_BY4_Top" display="JUMP_BY4_Top" xr:uid="{A5454FA7-774A-4E51-9B35-5FBA5D035E4B}"/>
    <hyperlink ref="C54:J54" location="JUMP_BY5_Top" display="JUMP_BY5_Top" xr:uid="{ECCF81E3-2963-481D-B12D-99E3F9528A9E}"/>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E3D43-B5FC-4B05-A59F-5FADEE7CE2B3}">
  <sheetPr codeName="Tabelle17">
    <tabColor indexed="9"/>
    <pageSetUpPr fitToPage="1"/>
  </sheetPr>
  <dimension ref="A1:N210"/>
  <sheetViews>
    <sheetView zoomScaleNormal="100" workbookViewId="0">
      <pane ySplit="3" topLeftCell="A4" activePane="bottomLeft" state="frozen"/>
      <selection pane="bottomLeft" activeCell="A4" sqref="A4"/>
    </sheetView>
  </sheetViews>
  <sheetFormatPr defaultColWidth="0" defaultRowHeight="13.2" x14ac:dyDescent="0.25"/>
  <cols>
    <col min="1" max="1" width="2.6640625" style="1092" customWidth="1"/>
    <col min="2" max="3" width="4.6640625" style="1132" customWidth="1"/>
    <col min="4" max="13" width="12.6640625" style="1132" customWidth="1"/>
    <col min="14" max="14" width="12.6640625" style="1092" customWidth="1"/>
    <col min="15" max="16384" width="11.44140625" style="117" hidden="1"/>
  </cols>
  <sheetData>
    <row r="1" spans="1:14" s="21" customFormat="1" ht="13.8" thickBot="1" x14ac:dyDescent="0.3">
      <c r="A1" s="1282" t="str">
        <f>Translations!$B$1111</f>
        <v>J. 
Comments</v>
      </c>
      <c r="B1" s="1283"/>
      <c r="C1" s="1284"/>
      <c r="D1" s="318" t="str">
        <f>Translations!$B$2</f>
        <v>Navigation area:</v>
      </c>
      <c r="E1" s="319"/>
      <c r="F1" s="1291" t="str">
        <f>Translations!$B$18</f>
        <v>Table of contents</v>
      </c>
      <c r="G1" s="1147"/>
      <c r="H1" s="1147" t="str">
        <f>Translations!$B$19</f>
        <v>Previous sheet</v>
      </c>
      <c r="I1" s="1147"/>
      <c r="J1" s="1147" t="str">
        <f>Translations!$B$3</f>
        <v>Next sheet</v>
      </c>
      <c r="K1" s="1147"/>
      <c r="L1" s="1147" t="str">
        <f>Translations!$B$4</f>
        <v>Summary</v>
      </c>
      <c r="M1" s="1147"/>
      <c r="N1" s="753"/>
    </row>
    <row r="2" spans="1:14" s="21" customFormat="1" ht="13.8" thickBot="1" x14ac:dyDescent="0.3">
      <c r="A2" s="1665"/>
      <c r="B2" s="1666"/>
      <c r="C2" s="1667"/>
      <c r="D2" s="1147" t="str">
        <f>Translations!$B$5</f>
        <v>Top of sheet</v>
      </c>
      <c r="E2" s="1276"/>
      <c r="F2" s="1149"/>
      <c r="G2" s="1149"/>
      <c r="H2" s="1149"/>
      <c r="I2" s="1149"/>
      <c r="J2" s="1149"/>
      <c r="K2" s="1149"/>
      <c r="L2" s="1149"/>
      <c r="M2" s="1149"/>
      <c r="N2" s="753"/>
    </row>
    <row r="3" spans="1:14" s="21" customFormat="1" ht="13.8" thickBot="1" x14ac:dyDescent="0.3">
      <c r="A3" s="1668"/>
      <c r="B3" s="1669"/>
      <c r="C3" s="1670"/>
      <c r="D3" s="1147" t="str">
        <f>Translations!$B$6</f>
        <v>End of sheet</v>
      </c>
      <c r="E3" s="1147"/>
      <c r="F3" s="1149"/>
      <c r="G3" s="1149"/>
      <c r="H3" s="1149"/>
      <c r="I3" s="1149"/>
      <c r="J3" s="1149"/>
      <c r="K3" s="1149"/>
      <c r="L3" s="1149"/>
      <c r="M3" s="1149"/>
      <c r="N3" s="753"/>
    </row>
    <row r="4" spans="1:14" s="21" customFormat="1" x14ac:dyDescent="0.25">
      <c r="A4" s="5"/>
      <c r="B4" s="6"/>
      <c r="C4" s="5"/>
      <c r="D4" s="5"/>
      <c r="E4" s="7"/>
      <c r="F4" s="7"/>
      <c r="G4" s="7"/>
      <c r="H4" s="5"/>
      <c r="I4" s="5"/>
      <c r="J4" s="5"/>
      <c r="K4" s="5"/>
      <c r="L4" s="8"/>
      <c r="M4" s="8"/>
      <c r="N4" s="753"/>
    </row>
    <row r="5" spans="1:14" s="21" customFormat="1" ht="23.25" customHeight="1" x14ac:dyDescent="0.25">
      <c r="A5" s="5"/>
      <c r="B5" s="10" t="s">
        <v>20</v>
      </c>
      <c r="C5" s="1207" t="str">
        <f>Translations!$B$1112</f>
        <v>Sheet "Comments" -  COMMENTS AND FURTHER INFORMATION</v>
      </c>
      <c r="D5" s="1157"/>
      <c r="E5" s="1157"/>
      <c r="F5" s="1157"/>
      <c r="G5" s="1157"/>
      <c r="H5" s="1157"/>
      <c r="I5" s="1157"/>
      <c r="J5" s="1157"/>
      <c r="K5" s="1157"/>
      <c r="L5" s="1157"/>
      <c r="M5" s="1157"/>
      <c r="N5" s="753"/>
    </row>
    <row r="6" spans="1:14" s="21" customFormat="1" x14ac:dyDescent="0.25">
      <c r="A6" s="5"/>
      <c r="B6" s="5"/>
      <c r="C6" s="5"/>
      <c r="D6" s="5"/>
      <c r="E6" s="5"/>
      <c r="F6" s="5"/>
      <c r="G6" s="5"/>
      <c r="H6" s="5"/>
      <c r="I6" s="5"/>
      <c r="J6" s="5"/>
      <c r="K6" s="5"/>
      <c r="L6" s="8"/>
      <c r="M6" s="8"/>
      <c r="N6" s="753"/>
    </row>
    <row r="7" spans="1:14" s="21" customFormat="1" ht="15.6" x14ac:dyDescent="0.3">
      <c r="A7" s="5"/>
      <c r="B7" s="13" t="s">
        <v>3</v>
      </c>
      <c r="C7" s="1175" t="str">
        <f>Translations!$B$1113</f>
        <v>Documents supporting this report</v>
      </c>
      <c r="D7" s="1175"/>
      <c r="E7" s="1175"/>
      <c r="F7" s="1175"/>
      <c r="G7" s="1175"/>
      <c r="H7" s="1175"/>
      <c r="I7" s="1175"/>
      <c r="J7" s="1175"/>
      <c r="K7" s="1175"/>
      <c r="L7" s="1175"/>
      <c r="M7" s="1175"/>
      <c r="N7" s="753"/>
    </row>
    <row r="8" spans="1:14" s="21" customFormat="1" ht="5.0999999999999996" customHeight="1" x14ac:dyDescent="0.25">
      <c r="A8" s="5"/>
      <c r="B8" s="5"/>
      <c r="C8" s="5"/>
      <c r="D8" s="5"/>
      <c r="E8" s="5"/>
      <c r="F8" s="5"/>
      <c r="G8" s="5"/>
      <c r="H8" s="5"/>
      <c r="I8" s="5"/>
      <c r="J8" s="5"/>
      <c r="K8" s="5"/>
      <c r="L8" s="8"/>
      <c r="M8" s="8"/>
      <c r="N8" s="753"/>
    </row>
    <row r="9" spans="1:14" s="21" customFormat="1" ht="13.8" x14ac:dyDescent="0.25">
      <c r="A9" s="5"/>
      <c r="B9" s="19"/>
      <c r="C9" s="1234" t="str">
        <f>Translations!$B$1114</f>
        <v>Please list here all relevant documents which are submitted together with this report</v>
      </c>
      <c r="D9" s="1157"/>
      <c r="E9" s="1157"/>
      <c r="F9" s="1157"/>
      <c r="G9" s="1157"/>
      <c r="H9" s="1157"/>
      <c r="I9" s="1157"/>
      <c r="J9" s="1157"/>
      <c r="K9" s="1157"/>
      <c r="L9" s="1157"/>
      <c r="M9" s="1157"/>
      <c r="N9" s="753"/>
    </row>
    <row r="10" spans="1:14" s="21" customFormat="1" x14ac:dyDescent="0.25">
      <c r="A10" s="5"/>
      <c r="B10" s="17"/>
      <c r="C10" s="1694" t="str">
        <f>Translations!$B$1115</f>
        <v>Additional documents will be needed to support this report. Please provide this information in an electronic format wherever possible.</v>
      </c>
      <c r="D10" s="1157"/>
      <c r="E10" s="1157"/>
      <c r="F10" s="1157"/>
      <c r="G10" s="1157"/>
      <c r="H10" s="1157"/>
      <c r="I10" s="1157"/>
      <c r="J10" s="1157"/>
      <c r="K10" s="1157"/>
      <c r="L10" s="1157"/>
      <c r="M10" s="1157"/>
      <c r="N10" s="276"/>
    </row>
    <row r="11" spans="1:14" s="21" customFormat="1" x14ac:dyDescent="0.25">
      <c r="A11" s="5"/>
      <c r="B11" s="17"/>
      <c r="C11" s="1694" t="str">
        <f>Translations!$B$1116</f>
        <v>You can provide information as Microsoft Word, Excel, or Adobe Acrobat formats.</v>
      </c>
      <c r="D11" s="1157"/>
      <c r="E11" s="1157"/>
      <c r="F11" s="1157"/>
      <c r="G11" s="1157"/>
      <c r="H11" s="1157"/>
      <c r="I11" s="1157"/>
      <c r="J11" s="1157"/>
      <c r="K11" s="1157"/>
      <c r="L11" s="1157"/>
      <c r="M11" s="1157"/>
      <c r="N11" s="276"/>
    </row>
    <row r="12" spans="1:14" s="21" customFormat="1" x14ac:dyDescent="0.25">
      <c r="A12" s="5"/>
      <c r="B12" s="17"/>
      <c r="C12" s="1694" t="s">
        <v>602</v>
      </c>
      <c r="D12" s="1157"/>
      <c r="E12" s="1157"/>
      <c r="F12" s="1157"/>
      <c r="G12" s="1157"/>
      <c r="H12" s="1157"/>
      <c r="I12" s="1157"/>
      <c r="J12" s="1157"/>
      <c r="K12" s="1157"/>
      <c r="L12" s="1157"/>
      <c r="M12" s="1157"/>
      <c r="N12" s="276"/>
    </row>
    <row r="13" spans="1:14" s="21" customFormat="1" x14ac:dyDescent="0.25">
      <c r="A13" s="5"/>
      <c r="B13" s="17"/>
      <c r="C13" s="1694" t="str">
        <f>Translations!$B$1118</f>
        <v xml:space="preserve">Additional documentation provided should be clearly referenced, and the file name / reference number provided below. </v>
      </c>
      <c r="D13" s="1157"/>
      <c r="E13" s="1157"/>
      <c r="F13" s="1157"/>
      <c r="G13" s="1157"/>
      <c r="H13" s="1157"/>
      <c r="I13" s="1157"/>
      <c r="J13" s="1157"/>
      <c r="K13" s="1157"/>
      <c r="L13" s="1157"/>
      <c r="M13" s="1157"/>
      <c r="N13" s="276"/>
    </row>
    <row r="14" spans="1:14" s="21" customFormat="1" x14ac:dyDescent="0.25">
      <c r="A14" s="5"/>
      <c r="B14" s="17"/>
      <c r="C14" s="1694" t="str">
        <f>Translations!$B$1119</f>
        <v xml:space="preserve">You are advised to avoid supplying non-relevant information as it can slow down the approval of this report. </v>
      </c>
      <c r="D14" s="1157"/>
      <c r="E14" s="1157"/>
      <c r="F14" s="1157"/>
      <c r="G14" s="1157"/>
      <c r="H14" s="1157"/>
      <c r="I14" s="1157"/>
      <c r="J14" s="1157"/>
      <c r="K14" s="1157"/>
      <c r="L14" s="1157"/>
      <c r="M14" s="1157"/>
      <c r="N14" s="276"/>
    </row>
    <row r="15" spans="1:14" s="21" customFormat="1" ht="5.0999999999999996" customHeight="1" x14ac:dyDescent="0.25">
      <c r="A15" s="5"/>
      <c r="B15" s="5"/>
      <c r="C15" s="5"/>
      <c r="D15" s="5"/>
      <c r="E15" s="5"/>
      <c r="F15" s="5"/>
      <c r="G15" s="5"/>
      <c r="H15" s="5"/>
      <c r="I15" s="5"/>
      <c r="J15" s="5"/>
      <c r="K15" s="5"/>
      <c r="L15" s="8"/>
      <c r="M15" s="8"/>
      <c r="N15" s="753"/>
    </row>
    <row r="16" spans="1:14" s="21" customFormat="1" x14ac:dyDescent="0.25">
      <c r="A16" s="5"/>
      <c r="B16" s="15" t="s">
        <v>190</v>
      </c>
      <c r="C16" s="1165" t="str">
        <f>Translations!$B$1120</f>
        <v>Monitoring methodology plan as required by Article 4(2)(b) of the FAR (mandatory):</v>
      </c>
      <c r="D16" s="1157"/>
      <c r="E16" s="1157"/>
      <c r="F16" s="1157"/>
      <c r="G16" s="1157"/>
      <c r="H16" s="1157"/>
      <c r="I16" s="1157"/>
      <c r="J16" s="1157"/>
      <c r="K16" s="1157"/>
      <c r="L16" s="1157"/>
      <c r="M16" s="1157"/>
      <c r="N16" s="276"/>
    </row>
    <row r="17" spans="1:14" s="21" customFormat="1" x14ac:dyDescent="0.25">
      <c r="A17" s="17"/>
      <c r="B17" s="17"/>
      <c r="C17" s="1678" t="str">
        <f>Translations!$B$1121</f>
        <v>Please provide file name(s) (if in an electronic format) or document reference number(s) (if hard copy) below:</v>
      </c>
      <c r="D17" s="1157"/>
      <c r="E17" s="1157"/>
      <c r="F17" s="1157"/>
      <c r="G17" s="1157"/>
      <c r="H17" s="1157"/>
      <c r="I17" s="1157"/>
      <c r="J17" s="1157"/>
      <c r="K17" s="1157"/>
      <c r="L17" s="1157"/>
      <c r="M17" s="1157"/>
      <c r="N17" s="276"/>
    </row>
    <row r="18" spans="1:14" s="21" customFormat="1" ht="5.0999999999999996" customHeight="1" x14ac:dyDescent="0.25">
      <c r="A18" s="5"/>
      <c r="B18" s="5"/>
      <c r="C18" s="5"/>
      <c r="D18" s="5"/>
      <c r="E18" s="5"/>
      <c r="F18" s="5"/>
      <c r="G18" s="5"/>
      <c r="H18" s="5"/>
      <c r="I18" s="5"/>
      <c r="J18" s="5"/>
      <c r="K18" s="5"/>
      <c r="L18" s="8"/>
      <c r="M18" s="8"/>
      <c r="N18" s="753"/>
    </row>
    <row r="19" spans="1:14" s="21" customFormat="1" x14ac:dyDescent="0.25">
      <c r="A19" s="17"/>
      <c r="B19" s="17"/>
      <c r="C19" s="17"/>
      <c r="D19" s="1259" t="str">
        <f>Translations!$B$1122</f>
        <v>File name/Reference</v>
      </c>
      <c r="E19" s="1679"/>
      <c r="F19" s="1616" t="str">
        <f>Translations!$B$1123</f>
        <v>Document description</v>
      </c>
      <c r="G19" s="1680"/>
      <c r="H19" s="1680"/>
      <c r="I19" s="1680"/>
      <c r="J19" s="1680"/>
      <c r="K19" s="1680"/>
      <c r="L19" s="1680"/>
      <c r="M19" s="1680"/>
      <c r="N19" s="276"/>
    </row>
    <row r="20" spans="1:14" s="21" customFormat="1" x14ac:dyDescent="0.25">
      <c r="A20" s="17"/>
      <c r="B20" s="17"/>
      <c r="C20" s="17"/>
      <c r="D20" s="1689"/>
      <c r="E20" s="1690"/>
      <c r="F20" s="1691"/>
      <c r="G20" s="1692"/>
      <c r="H20" s="1692"/>
      <c r="I20" s="1692"/>
      <c r="J20" s="1692"/>
      <c r="K20" s="1692"/>
      <c r="L20" s="1692"/>
      <c r="M20" s="1692"/>
      <c r="N20" s="276"/>
    </row>
    <row r="21" spans="1:14" s="21" customFormat="1" x14ac:dyDescent="0.25">
      <c r="A21" s="17"/>
      <c r="B21" s="17"/>
      <c r="C21" s="17"/>
      <c r="D21" s="1683"/>
      <c r="E21" s="1684"/>
      <c r="F21" s="1681"/>
      <c r="G21" s="1682"/>
      <c r="H21" s="1682"/>
      <c r="I21" s="1682"/>
      <c r="J21" s="1682"/>
      <c r="K21" s="1682"/>
      <c r="L21" s="1682"/>
      <c r="M21" s="1682"/>
      <c r="N21" s="276"/>
    </row>
    <row r="22" spans="1:14" s="21" customFormat="1" x14ac:dyDescent="0.25">
      <c r="A22" s="17"/>
      <c r="B22" s="17"/>
      <c r="C22" s="17"/>
      <c r="D22" s="1685"/>
      <c r="E22" s="1686"/>
      <c r="F22" s="1687"/>
      <c r="G22" s="1688"/>
      <c r="H22" s="1688"/>
      <c r="I22" s="1688"/>
      <c r="J22" s="1688"/>
      <c r="K22" s="1688"/>
      <c r="L22" s="1688"/>
      <c r="M22" s="1688"/>
      <c r="N22" s="276"/>
    </row>
    <row r="23" spans="1:14" s="21" customFormat="1" ht="5.0999999999999996" customHeight="1" x14ac:dyDescent="0.25">
      <c r="A23" s="5"/>
      <c r="B23" s="5"/>
      <c r="C23" s="5"/>
      <c r="D23" s="5"/>
      <c r="E23" s="5"/>
      <c r="F23" s="5"/>
      <c r="G23" s="5"/>
      <c r="H23" s="5"/>
      <c r="I23" s="5"/>
      <c r="J23" s="5"/>
      <c r="K23" s="5"/>
      <c r="L23" s="8"/>
      <c r="M23" s="8"/>
      <c r="N23" s="753"/>
    </row>
    <row r="24" spans="1:14" s="21" customFormat="1" x14ac:dyDescent="0.25">
      <c r="A24" s="5"/>
      <c r="B24" s="15" t="s">
        <v>192</v>
      </c>
      <c r="C24" s="1165" t="str">
        <f>Translations!$B$1124</f>
        <v>Verification report as required by Article 4(2)(c) of the FAR (mandatory):</v>
      </c>
      <c r="D24" s="1157"/>
      <c r="E24" s="1157"/>
      <c r="F24" s="1157"/>
      <c r="G24" s="1157"/>
      <c r="H24" s="1157"/>
      <c r="I24" s="1157"/>
      <c r="J24" s="1157"/>
      <c r="K24" s="1157"/>
      <c r="L24" s="1157"/>
      <c r="M24" s="1157"/>
      <c r="N24" s="276"/>
    </row>
    <row r="25" spans="1:14" s="21" customFormat="1" x14ac:dyDescent="0.25">
      <c r="A25" s="17"/>
      <c r="B25" s="17"/>
      <c r="C25" s="1678" t="str">
        <f>Translations!$B$1121</f>
        <v>Please provide file name(s) (if in an electronic format) or document reference number(s) (if hard copy) below:</v>
      </c>
      <c r="D25" s="1157"/>
      <c r="E25" s="1157"/>
      <c r="F25" s="1157"/>
      <c r="G25" s="1157"/>
      <c r="H25" s="1157"/>
      <c r="I25" s="1157"/>
      <c r="J25" s="1157"/>
      <c r="K25" s="1157"/>
      <c r="L25" s="1157"/>
      <c r="M25" s="1157"/>
      <c r="N25" s="276"/>
    </row>
    <row r="26" spans="1:14" s="21" customFormat="1" ht="5.0999999999999996" customHeight="1" x14ac:dyDescent="0.25">
      <c r="A26" s="5"/>
      <c r="B26" s="5"/>
      <c r="C26" s="5"/>
      <c r="D26" s="5"/>
      <c r="E26" s="5"/>
      <c r="F26" s="5"/>
      <c r="G26" s="5"/>
      <c r="H26" s="5"/>
      <c r="I26" s="5"/>
      <c r="J26" s="5"/>
      <c r="K26" s="5"/>
      <c r="L26" s="8"/>
      <c r="M26" s="8"/>
      <c r="N26" s="753"/>
    </row>
    <row r="27" spans="1:14" s="21" customFormat="1" x14ac:dyDescent="0.25">
      <c r="A27" s="17"/>
      <c r="B27" s="17"/>
      <c r="C27" s="17"/>
      <c r="D27" s="1259" t="str">
        <f>Translations!$B$1122</f>
        <v>File name/Reference</v>
      </c>
      <c r="E27" s="1679"/>
      <c r="F27" s="1616" t="str">
        <f>Translations!$B$1123</f>
        <v>Document description</v>
      </c>
      <c r="G27" s="1680"/>
      <c r="H27" s="1680"/>
      <c r="I27" s="1680"/>
      <c r="J27" s="1680"/>
      <c r="K27" s="1680"/>
      <c r="L27" s="1680"/>
      <c r="M27" s="1680"/>
      <c r="N27" s="276"/>
    </row>
    <row r="28" spans="1:14" s="21" customFormat="1" x14ac:dyDescent="0.25">
      <c r="A28" s="17"/>
      <c r="B28" s="17"/>
      <c r="C28" s="17"/>
      <c r="D28" s="1689"/>
      <c r="E28" s="1690"/>
      <c r="F28" s="1691"/>
      <c r="G28" s="1692"/>
      <c r="H28" s="1692"/>
      <c r="I28" s="1692"/>
      <c r="J28" s="1692"/>
      <c r="K28" s="1692"/>
      <c r="L28" s="1692"/>
      <c r="M28" s="1692"/>
      <c r="N28" s="276"/>
    </row>
    <row r="29" spans="1:14" s="21" customFormat="1" x14ac:dyDescent="0.25">
      <c r="A29" s="17"/>
      <c r="B29" s="17"/>
      <c r="C29" s="17"/>
      <c r="D29" s="1683"/>
      <c r="E29" s="1684"/>
      <c r="F29" s="1681"/>
      <c r="G29" s="1682"/>
      <c r="H29" s="1682"/>
      <c r="I29" s="1682"/>
      <c r="J29" s="1682"/>
      <c r="K29" s="1682"/>
      <c r="L29" s="1682"/>
      <c r="M29" s="1682"/>
      <c r="N29" s="276"/>
    </row>
    <row r="30" spans="1:14" s="21" customFormat="1" x14ac:dyDescent="0.25">
      <c r="A30" s="17"/>
      <c r="B30" s="17"/>
      <c r="C30" s="17"/>
      <c r="D30" s="1685"/>
      <c r="E30" s="1686"/>
      <c r="F30" s="1687"/>
      <c r="G30" s="1688"/>
      <c r="H30" s="1688"/>
      <c r="I30" s="1688"/>
      <c r="J30" s="1688"/>
      <c r="K30" s="1688"/>
      <c r="L30" s="1688"/>
      <c r="M30" s="1688"/>
      <c r="N30" s="276"/>
    </row>
    <row r="31" spans="1:14" s="21" customFormat="1" ht="5.0999999999999996" customHeight="1" x14ac:dyDescent="0.25">
      <c r="A31" s="5"/>
      <c r="B31" s="5"/>
      <c r="C31" s="5"/>
      <c r="D31" s="5"/>
      <c r="E31" s="5"/>
      <c r="F31" s="5"/>
      <c r="G31" s="5"/>
      <c r="H31" s="5"/>
      <c r="I31" s="5"/>
      <c r="J31" s="5"/>
      <c r="K31" s="5"/>
      <c r="L31" s="8"/>
      <c r="M31" s="8"/>
      <c r="N31" s="276"/>
    </row>
    <row r="32" spans="1:14" s="21" customFormat="1" x14ac:dyDescent="0.25">
      <c r="A32" s="5"/>
      <c r="B32" s="15" t="s">
        <v>195</v>
      </c>
      <c r="C32" s="1165" t="str">
        <f>Translations!$B$1125</f>
        <v>Justification for any data gaps</v>
      </c>
      <c r="D32" s="1157"/>
      <c r="E32" s="1157"/>
      <c r="F32" s="1157"/>
      <c r="G32" s="1157"/>
      <c r="H32" s="1157"/>
      <c r="I32" s="1157"/>
      <c r="J32" s="1157"/>
      <c r="K32" s="1157"/>
      <c r="L32" s="1157"/>
      <c r="M32" s="1157"/>
      <c r="N32" s="276"/>
    </row>
    <row r="33" spans="1:14" s="21" customFormat="1" x14ac:dyDescent="0.25">
      <c r="A33" s="17"/>
      <c r="B33" s="17"/>
      <c r="C33" s="1678" t="str">
        <f>Translations!$B$1126</f>
        <v>Article 12(2) of the FAR requires to provide justification for any data gaps and description of the method used to close them.</v>
      </c>
      <c r="D33" s="1157"/>
      <c r="E33" s="1157"/>
      <c r="F33" s="1157"/>
      <c r="G33" s="1157"/>
      <c r="H33" s="1157"/>
      <c r="I33" s="1157"/>
      <c r="J33" s="1157"/>
      <c r="K33" s="1157"/>
      <c r="L33" s="1157"/>
      <c r="M33" s="1157"/>
      <c r="N33" s="276"/>
    </row>
    <row r="34" spans="1:14" s="21" customFormat="1" ht="12.75" customHeight="1" x14ac:dyDescent="0.25">
      <c r="A34" s="5"/>
      <c r="B34" s="5"/>
      <c r="C34" s="5"/>
      <c r="D34" s="5"/>
      <c r="E34" s="5"/>
      <c r="F34" s="5"/>
      <c r="G34" s="5"/>
      <c r="H34" s="5"/>
      <c r="I34" s="5"/>
      <c r="J34" s="5"/>
      <c r="K34" s="5"/>
      <c r="L34" s="8"/>
      <c r="M34" s="8"/>
      <c r="N34" s="276"/>
    </row>
    <row r="35" spans="1:14" s="40" customFormat="1" ht="25.5" customHeight="1" x14ac:dyDescent="0.25">
      <c r="A35" s="414"/>
      <c r="B35" s="414"/>
      <c r="C35" s="486" t="str">
        <f>Translations!$B$220</f>
        <v>No.</v>
      </c>
      <c r="D35" s="1693" t="str">
        <f>Translations!$B$1127</f>
        <v>Affected data set (AD, EF, Heat, electricity,...)</v>
      </c>
      <c r="E35" s="1693"/>
      <c r="F35" s="1693" t="str">
        <f>Translations!$B$614</f>
        <v>Sub-installation</v>
      </c>
      <c r="G35" s="1693"/>
      <c r="H35" s="547" t="str">
        <f>Translations!$B$1541</f>
        <v>Time period</v>
      </c>
      <c r="I35" s="1311" t="str">
        <f>Translations!$B$1128</f>
        <v>Description of the data gap</v>
      </c>
      <c r="J35" s="1313"/>
      <c r="K35" s="1693" t="str">
        <f>Translations!$B$1129</f>
        <v>Justification</v>
      </c>
      <c r="L35" s="1693"/>
      <c r="M35" s="1693"/>
      <c r="N35" s="276"/>
    </row>
    <row r="36" spans="1:14" s="21" customFormat="1" ht="12.75" customHeight="1" x14ac:dyDescent="0.25">
      <c r="A36" s="5"/>
      <c r="B36" s="5"/>
      <c r="C36" s="485" t="str">
        <f>IF(COUNTA(D36:M36)&gt;0,MAX($C$35:C35)+1,"")</f>
        <v/>
      </c>
      <c r="D36" s="1677"/>
      <c r="E36" s="1677"/>
      <c r="F36" s="1677"/>
      <c r="G36" s="1677"/>
      <c r="H36" s="548"/>
      <c r="I36" s="1675"/>
      <c r="J36" s="1676"/>
      <c r="K36" s="1677"/>
      <c r="L36" s="1677"/>
      <c r="M36" s="1677"/>
      <c r="N36" s="276"/>
    </row>
    <row r="37" spans="1:14" s="21" customFormat="1" ht="12.75" customHeight="1" x14ac:dyDescent="0.25">
      <c r="A37" s="5"/>
      <c r="B37" s="5"/>
      <c r="C37" s="485" t="str">
        <f>IF(COUNTA(D37:M37)&gt;0,MAX($C$35:C36)+1,"")</f>
        <v/>
      </c>
      <c r="D37" s="1677"/>
      <c r="E37" s="1677"/>
      <c r="F37" s="1677"/>
      <c r="G37" s="1677"/>
      <c r="H37" s="548"/>
      <c r="I37" s="1675"/>
      <c r="J37" s="1676"/>
      <c r="K37" s="1677"/>
      <c r="L37" s="1677"/>
      <c r="M37" s="1677"/>
      <c r="N37" s="276"/>
    </row>
    <row r="38" spans="1:14" s="21" customFormat="1" ht="12.75" customHeight="1" x14ac:dyDescent="0.25">
      <c r="A38" s="5"/>
      <c r="B38" s="5"/>
      <c r="C38" s="485" t="str">
        <f>IF(COUNTA(D38:M38)&gt;0,MAX($C$35:C37)+1,"")</f>
        <v/>
      </c>
      <c r="D38" s="1677"/>
      <c r="E38" s="1677"/>
      <c r="F38" s="1677"/>
      <c r="G38" s="1677"/>
      <c r="H38" s="548"/>
      <c r="I38" s="1675"/>
      <c r="J38" s="1676"/>
      <c r="K38" s="1677"/>
      <c r="L38" s="1677"/>
      <c r="M38" s="1677"/>
      <c r="N38" s="276"/>
    </row>
    <row r="39" spans="1:14" s="21" customFormat="1" ht="12.75" customHeight="1" x14ac:dyDescent="0.25">
      <c r="A39" s="5"/>
      <c r="B39" s="5"/>
      <c r="C39" s="485" t="str">
        <f>IF(COUNTA(D39:M39)&gt;0,MAX($C$35:C38)+1,"")</f>
        <v/>
      </c>
      <c r="D39" s="1677"/>
      <c r="E39" s="1677"/>
      <c r="F39" s="1677"/>
      <c r="G39" s="1677"/>
      <c r="H39" s="548"/>
      <c r="I39" s="1675"/>
      <c r="J39" s="1676"/>
      <c r="K39" s="1677"/>
      <c r="L39" s="1677"/>
      <c r="M39" s="1677"/>
      <c r="N39" s="276"/>
    </row>
    <row r="40" spans="1:14" s="21" customFormat="1" ht="12.75" customHeight="1" x14ac:dyDescent="0.25">
      <c r="A40" s="5"/>
      <c r="B40" s="5"/>
      <c r="C40" s="485" t="str">
        <f>IF(COUNTA(D40:M40)&gt;0,MAX($C$35:C39)+1,"")</f>
        <v/>
      </c>
      <c r="D40" s="1677"/>
      <c r="E40" s="1677"/>
      <c r="F40" s="1677"/>
      <c r="G40" s="1677"/>
      <c r="H40" s="548"/>
      <c r="I40" s="1675"/>
      <c r="J40" s="1676"/>
      <c r="K40" s="1677"/>
      <c r="L40" s="1677"/>
      <c r="M40" s="1677"/>
      <c r="N40" s="276"/>
    </row>
    <row r="41" spans="1:14" s="21" customFormat="1" ht="12.75" customHeight="1" x14ac:dyDescent="0.25">
      <c r="A41" s="5"/>
      <c r="B41" s="5"/>
      <c r="C41" s="485" t="str">
        <f>IF(COUNTA(D41:M41)&gt;0,MAX($C$35:C40)+1,"")</f>
        <v/>
      </c>
      <c r="D41" s="1677"/>
      <c r="E41" s="1677"/>
      <c r="F41" s="1677"/>
      <c r="G41" s="1677"/>
      <c r="H41" s="548"/>
      <c r="I41" s="1675"/>
      <c r="J41" s="1676"/>
      <c r="K41" s="1677"/>
      <c r="L41" s="1677"/>
      <c r="M41" s="1677"/>
      <c r="N41" s="276"/>
    </row>
    <row r="42" spans="1:14" s="21" customFormat="1" ht="5.0999999999999996" customHeight="1" x14ac:dyDescent="0.25">
      <c r="A42" s="5"/>
      <c r="B42" s="5"/>
      <c r="C42" s="5"/>
      <c r="D42" s="5"/>
      <c r="E42" s="5"/>
      <c r="F42" s="5"/>
      <c r="G42" s="5"/>
      <c r="H42" s="5"/>
      <c r="I42" s="5"/>
      <c r="J42" s="5"/>
      <c r="K42" s="5"/>
      <c r="L42" s="8"/>
      <c r="M42" s="8"/>
      <c r="N42" s="276"/>
    </row>
    <row r="43" spans="1:14" s="21" customFormat="1" x14ac:dyDescent="0.25">
      <c r="A43" s="5"/>
      <c r="B43" s="15" t="s">
        <v>197</v>
      </c>
      <c r="C43" s="1165" t="str">
        <f>Translations!$B$1130</f>
        <v>Other documents:</v>
      </c>
      <c r="D43" s="1157"/>
      <c r="E43" s="1157"/>
      <c r="F43" s="1157"/>
      <c r="G43" s="1157"/>
      <c r="H43" s="1157"/>
      <c r="I43" s="1157"/>
      <c r="J43" s="1157"/>
      <c r="K43" s="1157"/>
      <c r="L43" s="1157"/>
      <c r="M43" s="1157"/>
      <c r="N43" s="276"/>
    </row>
    <row r="44" spans="1:14" s="21" customFormat="1" x14ac:dyDescent="0.25">
      <c r="A44" s="17"/>
      <c r="B44" s="17"/>
      <c r="C44" s="1678" t="str">
        <f>Translations!$B$1121</f>
        <v>Please provide file name(s) (if in an electronic format) or document reference number(s) (if hard copy) below:</v>
      </c>
      <c r="D44" s="1157"/>
      <c r="E44" s="1157"/>
      <c r="F44" s="1157"/>
      <c r="G44" s="1157"/>
      <c r="H44" s="1157"/>
      <c r="I44" s="1157"/>
      <c r="J44" s="1157"/>
      <c r="K44" s="1157"/>
      <c r="L44" s="1157"/>
      <c r="M44" s="1157"/>
      <c r="N44" s="276"/>
    </row>
    <row r="45" spans="1:14" s="21" customFormat="1" ht="5.0999999999999996" customHeight="1" x14ac:dyDescent="0.25">
      <c r="A45" s="5"/>
      <c r="B45" s="5"/>
      <c r="C45" s="5"/>
      <c r="D45" s="5"/>
      <c r="E45" s="5"/>
      <c r="F45" s="5"/>
      <c r="G45" s="5"/>
      <c r="H45" s="5"/>
      <c r="I45" s="5"/>
      <c r="J45" s="5"/>
      <c r="K45" s="5"/>
      <c r="L45" s="8"/>
      <c r="M45" s="8"/>
      <c r="N45" s="753"/>
    </row>
    <row r="46" spans="1:14" s="21" customFormat="1" x14ac:dyDescent="0.25">
      <c r="A46" s="17"/>
      <c r="B46" s="17"/>
      <c r="C46" s="17"/>
      <c r="D46" s="22" t="str">
        <f>Translations!$B$1122</f>
        <v>File name/Reference</v>
      </c>
      <c r="E46" s="83"/>
      <c r="F46" s="22" t="str">
        <f>Translations!$B$1123</f>
        <v>Document description</v>
      </c>
      <c r="G46" s="22"/>
      <c r="H46" s="22"/>
      <c r="I46" s="22"/>
      <c r="J46" s="22"/>
      <c r="K46" s="22"/>
      <c r="L46" s="78"/>
      <c r="M46" s="78"/>
      <c r="N46" s="276"/>
    </row>
    <row r="47" spans="1:14" s="21" customFormat="1" x14ac:dyDescent="0.25">
      <c r="A47" s="17"/>
      <c r="B47" s="17"/>
      <c r="C47" s="17"/>
      <c r="D47" s="1696"/>
      <c r="E47" s="1697"/>
      <c r="F47" s="1698"/>
      <c r="G47" s="1699"/>
      <c r="H47" s="1699"/>
      <c r="I47" s="1699"/>
      <c r="J47" s="1699"/>
      <c r="K47" s="1699"/>
      <c r="L47" s="1699"/>
      <c r="M47" s="1699"/>
      <c r="N47" s="276"/>
    </row>
    <row r="48" spans="1:14" s="21" customFormat="1" x14ac:dyDescent="0.25">
      <c r="A48" s="17"/>
      <c r="B48" s="17"/>
      <c r="C48" s="17"/>
      <c r="D48" s="1683"/>
      <c r="E48" s="1684"/>
      <c r="F48" s="1681"/>
      <c r="G48" s="1682"/>
      <c r="H48" s="1682"/>
      <c r="I48" s="1682"/>
      <c r="J48" s="1682"/>
      <c r="K48" s="1682"/>
      <c r="L48" s="1682"/>
      <c r="M48" s="1682"/>
      <c r="N48" s="276"/>
    </row>
    <row r="49" spans="1:14" s="21" customFormat="1" x14ac:dyDescent="0.25">
      <c r="A49" s="17"/>
      <c r="B49" s="17"/>
      <c r="C49" s="17"/>
      <c r="D49" s="1683"/>
      <c r="E49" s="1684"/>
      <c r="F49" s="1681"/>
      <c r="G49" s="1682"/>
      <c r="H49" s="1682"/>
      <c r="I49" s="1682"/>
      <c r="J49" s="1682"/>
      <c r="K49" s="1682"/>
      <c r="L49" s="1682"/>
      <c r="M49" s="1682"/>
      <c r="N49" s="276"/>
    </row>
    <row r="50" spans="1:14" s="21" customFormat="1" x14ac:dyDescent="0.25">
      <c r="A50" s="17"/>
      <c r="B50" s="17"/>
      <c r="C50" s="17"/>
      <c r="D50" s="1683"/>
      <c r="E50" s="1684"/>
      <c r="F50" s="1681"/>
      <c r="G50" s="1682"/>
      <c r="H50" s="1682"/>
      <c r="I50" s="1682"/>
      <c r="J50" s="1682"/>
      <c r="K50" s="1682"/>
      <c r="L50" s="1682"/>
      <c r="M50" s="1682"/>
      <c r="N50" s="276"/>
    </row>
    <row r="51" spans="1:14" s="21" customFormat="1" x14ac:dyDescent="0.25">
      <c r="A51" s="17"/>
      <c r="B51" s="17"/>
      <c r="C51" s="17"/>
      <c r="D51" s="1683"/>
      <c r="E51" s="1684"/>
      <c r="F51" s="1681"/>
      <c r="G51" s="1682"/>
      <c r="H51" s="1682"/>
      <c r="I51" s="1682"/>
      <c r="J51" s="1682"/>
      <c r="K51" s="1682"/>
      <c r="L51" s="1682"/>
      <c r="M51" s="1682"/>
      <c r="N51" s="276"/>
    </row>
    <row r="52" spans="1:14" s="21" customFormat="1" x14ac:dyDescent="0.25">
      <c r="A52" s="17"/>
      <c r="B52" s="17"/>
      <c r="C52" s="17"/>
      <c r="D52" s="1683"/>
      <c r="E52" s="1684"/>
      <c r="F52" s="1681"/>
      <c r="G52" s="1682"/>
      <c r="H52" s="1682"/>
      <c r="I52" s="1682"/>
      <c r="J52" s="1682"/>
      <c r="K52" s="1682"/>
      <c r="L52" s="1682"/>
      <c r="M52" s="1682"/>
      <c r="N52" s="276"/>
    </row>
    <row r="53" spans="1:14" s="21" customFormat="1" x14ac:dyDescent="0.25">
      <c r="A53" s="17"/>
      <c r="B53" s="17"/>
      <c r="C53" s="17"/>
      <c r="D53" s="1683"/>
      <c r="E53" s="1684"/>
      <c r="F53" s="1681"/>
      <c r="G53" s="1682"/>
      <c r="H53" s="1682"/>
      <c r="I53" s="1682"/>
      <c r="J53" s="1682"/>
      <c r="K53" s="1682"/>
      <c r="L53" s="1682"/>
      <c r="M53" s="1682"/>
      <c r="N53" s="276"/>
    </row>
    <row r="54" spans="1:14" s="21" customFormat="1" x14ac:dyDescent="0.25">
      <c r="A54" s="17"/>
      <c r="B54" s="17"/>
      <c r="C54" s="17"/>
      <c r="D54" s="1683"/>
      <c r="E54" s="1684"/>
      <c r="F54" s="1681"/>
      <c r="G54" s="1682"/>
      <c r="H54" s="1682"/>
      <c r="I54" s="1682"/>
      <c r="J54" s="1682"/>
      <c r="K54" s="1682"/>
      <c r="L54" s="1682"/>
      <c r="M54" s="1682"/>
      <c r="N54" s="276"/>
    </row>
    <row r="55" spans="1:14" s="21" customFormat="1" x14ac:dyDescent="0.25">
      <c r="A55" s="17"/>
      <c r="B55" s="17"/>
      <c r="C55" s="17"/>
      <c r="D55" s="1685"/>
      <c r="E55" s="1686"/>
      <c r="F55" s="1687"/>
      <c r="G55" s="1688"/>
      <c r="H55" s="1688"/>
      <c r="I55" s="1688"/>
      <c r="J55" s="1688"/>
      <c r="K55" s="1688"/>
      <c r="L55" s="1688"/>
      <c r="M55" s="1688"/>
      <c r="N55" s="276"/>
    </row>
    <row r="56" spans="1:14" s="21" customFormat="1" x14ac:dyDescent="0.25">
      <c r="A56" s="17"/>
      <c r="B56" s="17"/>
      <c r="C56" s="17"/>
      <c r="D56" s="17"/>
      <c r="E56" s="17"/>
      <c r="F56" s="17"/>
      <c r="G56" s="17"/>
      <c r="H56" s="17"/>
      <c r="I56" s="17"/>
      <c r="J56" s="17"/>
      <c r="K56" s="17"/>
      <c r="L56" s="17"/>
      <c r="M56" s="17"/>
      <c r="N56" s="276"/>
    </row>
    <row r="57" spans="1:14" s="21" customFormat="1" ht="15.6" x14ac:dyDescent="0.3">
      <c r="A57" s="5"/>
      <c r="B57" s="13" t="s">
        <v>4</v>
      </c>
      <c r="C57" s="1175" t="str">
        <f>Translations!$B$1131</f>
        <v>Free space for all kinds of supplemental information</v>
      </c>
      <c r="D57" s="1175"/>
      <c r="E57" s="1175"/>
      <c r="F57" s="1175"/>
      <c r="G57" s="1175"/>
      <c r="H57" s="1175"/>
      <c r="I57" s="1175"/>
      <c r="J57" s="1175"/>
      <c r="K57" s="1175"/>
      <c r="L57" s="1175"/>
      <c r="M57" s="1175"/>
      <c r="N57" s="753"/>
    </row>
    <row r="58" spans="1:14" s="21" customFormat="1" ht="5.0999999999999996" customHeight="1" x14ac:dyDescent="0.25">
      <c r="A58" s="5"/>
      <c r="B58" s="5"/>
      <c r="C58" s="5"/>
      <c r="D58" s="5"/>
      <c r="E58" s="5"/>
      <c r="F58" s="5"/>
      <c r="G58" s="5"/>
      <c r="H58" s="5"/>
      <c r="I58" s="5"/>
      <c r="J58" s="5"/>
      <c r="K58" s="5"/>
      <c r="L58" s="8"/>
      <c r="M58" s="8"/>
      <c r="N58" s="753"/>
    </row>
    <row r="59" spans="1:14" s="21" customFormat="1" ht="30" customHeight="1" x14ac:dyDescent="0.25">
      <c r="A59" s="5"/>
      <c r="B59" s="46"/>
      <c r="C59" s="1695" t="s">
        <v>603</v>
      </c>
      <c r="D59" s="1695"/>
      <c r="E59" s="1695"/>
      <c r="F59" s="1695"/>
      <c r="G59" s="1695"/>
      <c r="H59" s="1695"/>
      <c r="I59" s="1695"/>
      <c r="J59" s="1695"/>
      <c r="K59" s="1695"/>
      <c r="L59" s="1695"/>
      <c r="M59" s="1695"/>
      <c r="N59" s="753"/>
    </row>
    <row r="60" spans="1:14" x14ac:dyDescent="0.25">
      <c r="B60" s="1701"/>
      <c r="C60" s="1702"/>
      <c r="D60" s="1702"/>
      <c r="E60" s="1702"/>
      <c r="F60" s="1702"/>
      <c r="G60" s="1702"/>
      <c r="H60" s="1702"/>
      <c r="I60" s="1702"/>
      <c r="J60" s="1702"/>
      <c r="K60" s="1702"/>
      <c r="L60" s="1702"/>
      <c r="M60" s="1702"/>
    </row>
    <row r="61" spans="1:14" x14ac:dyDescent="0.25">
      <c r="B61" s="1703"/>
      <c r="C61" s="1700"/>
      <c r="D61" s="1700"/>
      <c r="E61" s="1700"/>
      <c r="F61" s="1700"/>
      <c r="G61" s="1700"/>
      <c r="H61" s="1700"/>
      <c r="I61" s="1700"/>
      <c r="J61" s="1700"/>
      <c r="K61" s="1700"/>
      <c r="L61" s="1700"/>
      <c r="M61" s="1700"/>
    </row>
    <row r="62" spans="1:14" x14ac:dyDescent="0.25">
      <c r="B62" s="1703"/>
      <c r="C62" s="1700"/>
      <c r="D62" s="1700"/>
      <c r="E62" s="1700"/>
      <c r="F62" s="1700"/>
      <c r="G62" s="1700"/>
      <c r="H62" s="1700"/>
      <c r="I62" s="1700"/>
      <c r="J62" s="1700"/>
      <c r="K62" s="1700"/>
      <c r="L62" s="1700"/>
      <c r="M62" s="1700"/>
    </row>
    <row r="63" spans="1:14" x14ac:dyDescent="0.25">
      <c r="B63" s="1700"/>
      <c r="C63" s="1700"/>
      <c r="D63" s="1700"/>
      <c r="E63" s="1700"/>
      <c r="F63" s="1700"/>
      <c r="G63" s="1700"/>
      <c r="H63" s="1700"/>
      <c r="I63" s="1700"/>
      <c r="J63" s="1700"/>
      <c r="K63" s="1700"/>
      <c r="L63" s="1700"/>
      <c r="M63" s="1700"/>
    </row>
    <row r="64" spans="1:14" x14ac:dyDescent="0.25">
      <c r="B64" s="1700"/>
      <c r="C64" s="1700"/>
      <c r="D64" s="1700"/>
      <c r="E64" s="1700"/>
      <c r="F64" s="1700"/>
      <c r="G64" s="1700"/>
      <c r="H64" s="1700"/>
      <c r="I64" s="1700"/>
      <c r="J64" s="1700"/>
      <c r="K64" s="1700"/>
      <c r="L64" s="1700"/>
      <c r="M64" s="1700"/>
    </row>
    <row r="65" spans="2:13" x14ac:dyDescent="0.25">
      <c r="B65" s="1700"/>
      <c r="C65" s="1700"/>
      <c r="D65" s="1700"/>
      <c r="E65" s="1700"/>
      <c r="F65" s="1700"/>
      <c r="G65" s="1700"/>
      <c r="H65" s="1700"/>
      <c r="I65" s="1700"/>
      <c r="J65" s="1700"/>
      <c r="K65" s="1700"/>
      <c r="L65" s="1700"/>
      <c r="M65" s="1700"/>
    </row>
    <row r="66" spans="2:13" x14ac:dyDescent="0.25">
      <c r="B66" s="1700"/>
      <c r="C66" s="1700"/>
      <c r="D66" s="1700"/>
      <c r="E66" s="1700"/>
      <c r="F66" s="1700"/>
      <c r="G66" s="1700"/>
      <c r="H66" s="1700"/>
      <c r="I66" s="1700"/>
      <c r="J66" s="1700"/>
      <c r="K66" s="1700"/>
      <c r="L66" s="1700"/>
      <c r="M66" s="1700"/>
    </row>
    <row r="67" spans="2:13" x14ac:dyDescent="0.25">
      <c r="B67" s="1700"/>
      <c r="C67" s="1700"/>
      <c r="D67" s="1700"/>
      <c r="E67" s="1700"/>
      <c r="F67" s="1700"/>
      <c r="G67" s="1700"/>
      <c r="H67" s="1700"/>
      <c r="I67" s="1700"/>
      <c r="J67" s="1700"/>
      <c r="K67" s="1700"/>
      <c r="L67" s="1700"/>
      <c r="M67" s="1700"/>
    </row>
    <row r="68" spans="2:13" x14ac:dyDescent="0.25">
      <c r="B68" s="1700"/>
      <c r="C68" s="1700"/>
      <c r="D68" s="1700"/>
      <c r="E68" s="1700"/>
      <c r="F68" s="1700"/>
      <c r="G68" s="1700"/>
      <c r="H68" s="1700"/>
      <c r="I68" s="1700"/>
      <c r="J68" s="1700"/>
      <c r="K68" s="1700"/>
      <c r="L68" s="1700"/>
      <c r="M68" s="1700"/>
    </row>
    <row r="69" spans="2:13" x14ac:dyDescent="0.25">
      <c r="B69" s="1700"/>
      <c r="C69" s="1700"/>
      <c r="D69" s="1700"/>
      <c r="E69" s="1700"/>
      <c r="F69" s="1700"/>
      <c r="G69" s="1700"/>
      <c r="H69" s="1700"/>
      <c r="I69" s="1700"/>
      <c r="J69" s="1700"/>
      <c r="K69" s="1700"/>
      <c r="L69" s="1700"/>
      <c r="M69" s="1700"/>
    </row>
    <row r="70" spans="2:13" x14ac:dyDescent="0.25">
      <c r="B70" s="1700"/>
      <c r="C70" s="1700"/>
      <c r="D70" s="1700"/>
      <c r="E70" s="1700"/>
      <c r="F70" s="1700"/>
      <c r="G70" s="1700"/>
      <c r="H70" s="1700"/>
      <c r="I70" s="1700"/>
      <c r="J70" s="1700"/>
      <c r="K70" s="1700"/>
      <c r="L70" s="1700"/>
      <c r="M70" s="1700"/>
    </row>
    <row r="71" spans="2:13" x14ac:dyDescent="0.25">
      <c r="B71" s="1703"/>
      <c r="C71" s="1700"/>
      <c r="D71" s="1700"/>
      <c r="E71" s="1700"/>
      <c r="F71" s="1700"/>
      <c r="G71" s="1700"/>
      <c r="H71" s="1700"/>
      <c r="I71" s="1700"/>
      <c r="J71" s="1700"/>
      <c r="K71" s="1700"/>
      <c r="L71" s="1700"/>
      <c r="M71" s="1700"/>
    </row>
    <row r="72" spans="2:13" x14ac:dyDescent="0.25">
      <c r="B72" s="1700"/>
      <c r="C72" s="1700"/>
      <c r="D72" s="1700"/>
      <c r="E72" s="1700"/>
      <c r="F72" s="1700"/>
      <c r="G72" s="1700"/>
      <c r="H72" s="1700"/>
      <c r="I72" s="1700"/>
      <c r="J72" s="1700"/>
      <c r="K72" s="1700"/>
      <c r="L72" s="1700"/>
      <c r="M72" s="1700"/>
    </row>
    <row r="73" spans="2:13" x14ac:dyDescent="0.25">
      <c r="B73" s="1700"/>
      <c r="C73" s="1700"/>
      <c r="D73" s="1700"/>
      <c r="E73" s="1700"/>
      <c r="F73" s="1700"/>
      <c r="G73" s="1700"/>
      <c r="H73" s="1700"/>
      <c r="I73" s="1700"/>
      <c r="J73" s="1700"/>
      <c r="K73" s="1700"/>
      <c r="L73" s="1700"/>
      <c r="M73" s="1700"/>
    </row>
    <row r="74" spans="2:13" x14ac:dyDescent="0.25">
      <c r="B74" s="1700"/>
      <c r="C74" s="1700"/>
      <c r="D74" s="1700"/>
      <c r="E74" s="1700"/>
      <c r="F74" s="1700"/>
      <c r="G74" s="1700"/>
      <c r="H74" s="1700"/>
      <c r="I74" s="1700"/>
      <c r="J74" s="1700"/>
      <c r="K74" s="1700"/>
      <c r="L74" s="1700"/>
      <c r="M74" s="1700"/>
    </row>
    <row r="75" spans="2:13" x14ac:dyDescent="0.25">
      <c r="B75" s="1700"/>
      <c r="C75" s="1700"/>
      <c r="D75" s="1700"/>
      <c r="E75" s="1700"/>
      <c r="F75" s="1700"/>
      <c r="G75" s="1700"/>
      <c r="H75" s="1700"/>
      <c r="I75" s="1700"/>
      <c r="J75" s="1700"/>
      <c r="K75" s="1700"/>
      <c r="L75" s="1700"/>
      <c r="M75" s="1700"/>
    </row>
    <row r="76" spans="2:13" x14ac:dyDescent="0.25">
      <c r="B76" s="1700"/>
      <c r="C76" s="1700"/>
      <c r="D76" s="1700"/>
      <c r="E76" s="1700"/>
      <c r="F76" s="1700"/>
      <c r="G76" s="1700"/>
      <c r="H76" s="1700"/>
      <c r="I76" s="1700"/>
      <c r="J76" s="1700"/>
      <c r="K76" s="1700"/>
      <c r="L76" s="1700"/>
      <c r="M76" s="1700"/>
    </row>
    <row r="77" spans="2:13" x14ac:dyDescent="0.25">
      <c r="B77" s="1700"/>
      <c r="C77" s="1700"/>
      <c r="D77" s="1700"/>
      <c r="E77" s="1700"/>
      <c r="F77" s="1700"/>
      <c r="G77" s="1700"/>
      <c r="H77" s="1700"/>
      <c r="I77" s="1700"/>
      <c r="J77" s="1700"/>
      <c r="K77" s="1700"/>
      <c r="L77" s="1700"/>
      <c r="M77" s="1700"/>
    </row>
    <row r="78" spans="2:13" x14ac:dyDescent="0.25">
      <c r="B78" s="1700"/>
      <c r="C78" s="1700"/>
      <c r="D78" s="1700"/>
      <c r="E78" s="1700"/>
      <c r="F78" s="1700"/>
      <c r="G78" s="1700"/>
      <c r="H78" s="1700"/>
      <c r="I78" s="1700"/>
      <c r="J78" s="1700"/>
      <c r="K78" s="1700"/>
      <c r="L78" s="1700"/>
      <c r="M78" s="1700"/>
    </row>
    <row r="79" spans="2:13" x14ac:dyDescent="0.25">
      <c r="B79" s="1700"/>
      <c r="C79" s="1700"/>
      <c r="D79" s="1700"/>
      <c r="E79" s="1700"/>
      <c r="F79" s="1700"/>
      <c r="G79" s="1700"/>
      <c r="H79" s="1700"/>
      <c r="I79" s="1700"/>
      <c r="J79" s="1700"/>
      <c r="K79" s="1700"/>
      <c r="L79" s="1700"/>
      <c r="M79" s="1700"/>
    </row>
    <row r="80" spans="2:13" x14ac:dyDescent="0.25">
      <c r="B80" s="1700"/>
      <c r="C80" s="1700"/>
      <c r="D80" s="1700"/>
      <c r="E80" s="1700"/>
      <c r="F80" s="1700"/>
      <c r="G80" s="1700"/>
      <c r="H80" s="1700"/>
      <c r="I80" s="1700"/>
      <c r="J80" s="1700"/>
      <c r="K80" s="1700"/>
      <c r="L80" s="1700"/>
      <c r="M80" s="1700"/>
    </row>
    <row r="81" spans="2:13" x14ac:dyDescent="0.25">
      <c r="B81" s="1700"/>
      <c r="C81" s="1700"/>
      <c r="D81" s="1700"/>
      <c r="E81" s="1700"/>
      <c r="F81" s="1700"/>
      <c r="G81" s="1700"/>
      <c r="H81" s="1700"/>
      <c r="I81" s="1700"/>
      <c r="J81" s="1700"/>
      <c r="K81" s="1700"/>
      <c r="L81" s="1700"/>
      <c r="M81" s="1700"/>
    </row>
    <row r="82" spans="2:13" x14ac:dyDescent="0.25">
      <c r="B82" s="1700"/>
      <c r="C82" s="1700"/>
      <c r="D82" s="1700"/>
      <c r="E82" s="1700"/>
      <c r="F82" s="1700"/>
      <c r="G82" s="1700"/>
      <c r="H82" s="1700"/>
      <c r="I82" s="1700"/>
      <c r="J82" s="1700"/>
      <c r="K82" s="1700"/>
      <c r="L82" s="1700"/>
      <c r="M82" s="1700"/>
    </row>
    <row r="83" spans="2:13" x14ac:dyDescent="0.25">
      <c r="B83" s="1700"/>
      <c r="C83" s="1700"/>
      <c r="D83" s="1700"/>
      <c r="E83" s="1700"/>
      <c r="F83" s="1700"/>
      <c r="G83" s="1700"/>
      <c r="H83" s="1700"/>
      <c r="I83" s="1700"/>
      <c r="J83" s="1700"/>
      <c r="K83" s="1700"/>
      <c r="L83" s="1700"/>
      <c r="M83" s="1700"/>
    </row>
    <row r="84" spans="2:13" x14ac:dyDescent="0.25">
      <c r="B84" s="1700"/>
      <c r="C84" s="1700"/>
      <c r="D84" s="1700"/>
      <c r="E84" s="1700"/>
      <c r="F84" s="1700"/>
      <c r="G84" s="1700"/>
      <c r="H84" s="1700"/>
      <c r="I84" s="1700"/>
      <c r="J84" s="1700"/>
      <c r="K84" s="1700"/>
      <c r="L84" s="1700"/>
      <c r="M84" s="1700"/>
    </row>
    <row r="85" spans="2:13" x14ac:dyDescent="0.25">
      <c r="B85" s="1700"/>
      <c r="C85" s="1700"/>
      <c r="D85" s="1700"/>
      <c r="E85" s="1700"/>
      <c r="F85" s="1700"/>
      <c r="G85" s="1700"/>
      <c r="H85" s="1700"/>
      <c r="I85" s="1700"/>
      <c r="J85" s="1700"/>
      <c r="K85" s="1700"/>
      <c r="L85" s="1700"/>
      <c r="M85" s="1700"/>
    </row>
    <row r="86" spans="2:13" x14ac:dyDescent="0.25">
      <c r="B86" s="1700"/>
      <c r="C86" s="1700"/>
      <c r="D86" s="1700"/>
      <c r="E86" s="1700"/>
      <c r="F86" s="1700"/>
      <c r="G86" s="1700"/>
      <c r="H86" s="1700"/>
      <c r="I86" s="1700"/>
      <c r="J86" s="1700"/>
      <c r="K86" s="1700"/>
      <c r="L86" s="1700"/>
      <c r="M86" s="1700"/>
    </row>
    <row r="87" spans="2:13" x14ac:dyDescent="0.25">
      <c r="B87" s="1700"/>
      <c r="C87" s="1700"/>
      <c r="D87" s="1700"/>
      <c r="E87" s="1700"/>
      <c r="F87" s="1700"/>
      <c r="G87" s="1700"/>
      <c r="H87" s="1700"/>
      <c r="I87" s="1700"/>
      <c r="J87" s="1700"/>
      <c r="K87" s="1700"/>
      <c r="L87" s="1700"/>
      <c r="M87" s="1700"/>
    </row>
    <row r="88" spans="2:13" x14ac:dyDescent="0.25">
      <c r="B88" s="1700"/>
      <c r="C88" s="1700"/>
      <c r="D88" s="1700"/>
      <c r="E88" s="1700"/>
      <c r="F88" s="1700"/>
      <c r="G88" s="1700"/>
      <c r="H88" s="1700"/>
      <c r="I88" s="1700"/>
      <c r="J88" s="1700"/>
      <c r="K88" s="1700"/>
      <c r="L88" s="1700"/>
      <c r="M88" s="1700"/>
    </row>
    <row r="89" spans="2:13" x14ac:dyDescent="0.25">
      <c r="B89" s="1700"/>
      <c r="C89" s="1700"/>
      <c r="D89" s="1700"/>
      <c r="E89" s="1700"/>
      <c r="F89" s="1700"/>
      <c r="G89" s="1700"/>
      <c r="H89" s="1700"/>
      <c r="I89" s="1700"/>
      <c r="J89" s="1700"/>
      <c r="K89" s="1700"/>
      <c r="L89" s="1700"/>
      <c r="M89" s="1700"/>
    </row>
    <row r="90" spans="2:13" x14ac:dyDescent="0.25">
      <c r="B90" s="1700"/>
      <c r="C90" s="1700"/>
      <c r="D90" s="1700"/>
      <c r="E90" s="1700"/>
      <c r="F90" s="1700"/>
      <c r="G90" s="1700"/>
      <c r="H90" s="1700"/>
      <c r="I90" s="1700"/>
      <c r="J90" s="1700"/>
      <c r="K90" s="1700"/>
      <c r="L90" s="1700"/>
      <c r="M90" s="1700"/>
    </row>
    <row r="91" spans="2:13" x14ac:dyDescent="0.25">
      <c r="B91" s="1700"/>
      <c r="C91" s="1700"/>
      <c r="D91" s="1700"/>
      <c r="E91" s="1700"/>
      <c r="F91" s="1700"/>
      <c r="G91" s="1700"/>
      <c r="H91" s="1700"/>
      <c r="I91" s="1700"/>
      <c r="J91" s="1700"/>
      <c r="K91" s="1700"/>
      <c r="L91" s="1700"/>
      <c r="M91" s="1700"/>
    </row>
    <row r="92" spans="2:13" x14ac:dyDescent="0.25">
      <c r="B92" s="1700"/>
      <c r="C92" s="1700"/>
      <c r="D92" s="1700"/>
      <c r="E92" s="1700"/>
      <c r="F92" s="1700"/>
      <c r="G92" s="1700"/>
      <c r="H92" s="1700"/>
      <c r="I92" s="1700"/>
      <c r="J92" s="1700"/>
      <c r="K92" s="1700"/>
      <c r="L92" s="1700"/>
      <c r="M92" s="1700"/>
    </row>
    <row r="93" spans="2:13" x14ac:dyDescent="0.25">
      <c r="B93" s="1700"/>
      <c r="C93" s="1700"/>
      <c r="D93" s="1700"/>
      <c r="E93" s="1700"/>
      <c r="F93" s="1700"/>
      <c r="G93" s="1700"/>
      <c r="H93" s="1700"/>
      <c r="I93" s="1700"/>
      <c r="J93" s="1700"/>
      <c r="K93" s="1700"/>
      <c r="L93" s="1700"/>
      <c r="M93" s="1700"/>
    </row>
    <row r="94" spans="2:13" x14ac:dyDescent="0.25">
      <c r="B94" s="1700"/>
      <c r="C94" s="1700"/>
      <c r="D94" s="1700"/>
      <c r="E94" s="1700"/>
      <c r="F94" s="1700"/>
      <c r="G94" s="1700"/>
      <c r="H94" s="1700"/>
      <c r="I94" s="1700"/>
      <c r="J94" s="1700"/>
      <c r="K94" s="1700"/>
      <c r="L94" s="1700"/>
      <c r="M94" s="1700"/>
    </row>
    <row r="95" spans="2:13" x14ac:dyDescent="0.25">
      <c r="B95" s="1700"/>
      <c r="C95" s="1700"/>
      <c r="D95" s="1700"/>
      <c r="E95" s="1700"/>
      <c r="F95" s="1700"/>
      <c r="G95" s="1700"/>
      <c r="H95" s="1700"/>
      <c r="I95" s="1700"/>
      <c r="J95" s="1700"/>
      <c r="K95" s="1700"/>
      <c r="L95" s="1700"/>
      <c r="M95" s="1700"/>
    </row>
    <row r="96" spans="2:13" x14ac:dyDescent="0.25">
      <c r="B96" s="1700"/>
      <c r="C96" s="1700"/>
      <c r="D96" s="1700"/>
      <c r="E96" s="1700"/>
      <c r="F96" s="1700"/>
      <c r="G96" s="1700"/>
      <c r="H96" s="1700"/>
      <c r="I96" s="1700"/>
      <c r="J96" s="1700"/>
      <c r="K96" s="1700"/>
      <c r="L96" s="1700"/>
      <c r="M96" s="1700"/>
    </row>
    <row r="97" spans="2:13" x14ac:dyDescent="0.25">
      <c r="B97" s="1700"/>
      <c r="C97" s="1700"/>
      <c r="D97" s="1700"/>
      <c r="E97" s="1700"/>
      <c r="F97" s="1700"/>
      <c r="G97" s="1700"/>
      <c r="H97" s="1700"/>
      <c r="I97" s="1700"/>
      <c r="J97" s="1700"/>
      <c r="K97" s="1700"/>
      <c r="L97" s="1700"/>
      <c r="M97" s="1700"/>
    </row>
    <row r="98" spans="2:13" x14ac:dyDescent="0.25">
      <c r="B98" s="1700"/>
      <c r="C98" s="1700"/>
      <c r="D98" s="1700"/>
      <c r="E98" s="1700"/>
      <c r="F98" s="1700"/>
      <c r="G98" s="1700"/>
      <c r="H98" s="1700"/>
      <c r="I98" s="1700"/>
      <c r="J98" s="1700"/>
      <c r="K98" s="1700"/>
      <c r="L98" s="1700"/>
      <c r="M98" s="1700"/>
    </row>
    <row r="99" spans="2:13" x14ac:dyDescent="0.25">
      <c r="B99" s="1700"/>
      <c r="C99" s="1700"/>
      <c r="D99" s="1700"/>
      <c r="E99" s="1700"/>
      <c r="F99" s="1700"/>
      <c r="G99" s="1700"/>
      <c r="H99" s="1700"/>
      <c r="I99" s="1700"/>
      <c r="J99" s="1700"/>
      <c r="K99" s="1700"/>
      <c r="L99" s="1700"/>
      <c r="M99" s="1700"/>
    </row>
    <row r="100" spans="2:13" x14ac:dyDescent="0.25">
      <c r="B100" s="1700"/>
      <c r="C100" s="1700"/>
      <c r="D100" s="1700"/>
      <c r="E100" s="1700"/>
      <c r="F100" s="1700"/>
      <c r="G100" s="1700"/>
      <c r="H100" s="1700"/>
      <c r="I100" s="1700"/>
      <c r="J100" s="1700"/>
      <c r="K100" s="1700"/>
      <c r="L100" s="1700"/>
      <c r="M100" s="1700"/>
    </row>
    <row r="101" spans="2:13" x14ac:dyDescent="0.25">
      <c r="B101" s="1700"/>
      <c r="C101" s="1700"/>
      <c r="D101" s="1700"/>
      <c r="E101" s="1700"/>
      <c r="F101" s="1700"/>
      <c r="G101" s="1700"/>
      <c r="H101" s="1700"/>
      <c r="I101" s="1700"/>
      <c r="J101" s="1700"/>
      <c r="K101" s="1700"/>
      <c r="L101" s="1700"/>
      <c r="M101" s="1700"/>
    </row>
    <row r="102" spans="2:13" x14ac:dyDescent="0.25">
      <c r="B102" s="1700"/>
      <c r="C102" s="1700"/>
      <c r="D102" s="1700"/>
      <c r="E102" s="1700"/>
      <c r="F102" s="1700"/>
      <c r="G102" s="1700"/>
      <c r="H102" s="1700"/>
      <c r="I102" s="1700"/>
      <c r="J102" s="1700"/>
      <c r="K102" s="1700"/>
      <c r="L102" s="1700"/>
      <c r="M102" s="1700"/>
    </row>
    <row r="103" spans="2:13" x14ac:dyDescent="0.25">
      <c r="B103" s="1700"/>
      <c r="C103" s="1700"/>
      <c r="D103" s="1700"/>
      <c r="E103" s="1700"/>
      <c r="F103" s="1700"/>
      <c r="G103" s="1700"/>
      <c r="H103" s="1700"/>
      <c r="I103" s="1700"/>
      <c r="J103" s="1700"/>
      <c r="K103" s="1700"/>
      <c r="L103" s="1700"/>
      <c r="M103" s="1700"/>
    </row>
    <row r="104" spans="2:13" x14ac:dyDescent="0.25">
      <c r="B104" s="1700"/>
      <c r="C104" s="1700"/>
      <c r="D104" s="1700"/>
      <c r="E104" s="1700"/>
      <c r="F104" s="1700"/>
      <c r="G104" s="1700"/>
      <c r="H104" s="1700"/>
      <c r="I104" s="1700"/>
      <c r="J104" s="1700"/>
      <c r="K104" s="1700"/>
      <c r="L104" s="1700"/>
      <c r="M104" s="1700"/>
    </row>
    <row r="105" spans="2:13" x14ac:dyDescent="0.25">
      <c r="B105" s="1700"/>
      <c r="C105" s="1700"/>
      <c r="D105" s="1700"/>
      <c r="E105" s="1700"/>
      <c r="F105" s="1700"/>
      <c r="G105" s="1700"/>
      <c r="H105" s="1700"/>
      <c r="I105" s="1700"/>
      <c r="J105" s="1700"/>
      <c r="K105" s="1700"/>
      <c r="L105" s="1700"/>
      <c r="M105" s="1700"/>
    </row>
    <row r="106" spans="2:13" x14ac:dyDescent="0.25">
      <c r="B106" s="1700"/>
      <c r="C106" s="1700"/>
      <c r="D106" s="1700"/>
      <c r="E106" s="1700"/>
      <c r="F106" s="1700"/>
      <c r="G106" s="1700"/>
      <c r="H106" s="1700"/>
      <c r="I106" s="1700"/>
      <c r="J106" s="1700"/>
      <c r="K106" s="1700"/>
      <c r="L106" s="1700"/>
      <c r="M106" s="1700"/>
    </row>
    <row r="107" spans="2:13" x14ac:dyDescent="0.25">
      <c r="B107" s="1700"/>
      <c r="C107" s="1700"/>
      <c r="D107" s="1700"/>
      <c r="E107" s="1700"/>
      <c r="F107" s="1700"/>
      <c r="G107" s="1700"/>
      <c r="H107" s="1700"/>
      <c r="I107" s="1700"/>
      <c r="J107" s="1700"/>
      <c r="K107" s="1700"/>
      <c r="L107" s="1700"/>
      <c r="M107" s="1700"/>
    </row>
    <row r="108" spans="2:13" x14ac:dyDescent="0.25">
      <c r="B108" s="1700"/>
      <c r="C108" s="1700"/>
      <c r="D108" s="1700"/>
      <c r="E108" s="1700"/>
      <c r="F108" s="1700"/>
      <c r="G108" s="1700"/>
      <c r="H108" s="1700"/>
      <c r="I108" s="1700"/>
      <c r="J108" s="1700"/>
      <c r="K108" s="1700"/>
      <c r="L108" s="1700"/>
      <c r="M108" s="1700"/>
    </row>
    <row r="109" spans="2:13" x14ac:dyDescent="0.25">
      <c r="B109" s="1700"/>
      <c r="C109" s="1700"/>
      <c r="D109" s="1700"/>
      <c r="E109" s="1700"/>
      <c r="F109" s="1700"/>
      <c r="G109" s="1700"/>
      <c r="H109" s="1700"/>
      <c r="I109" s="1700"/>
      <c r="J109" s="1700"/>
      <c r="K109" s="1700"/>
      <c r="L109" s="1700"/>
      <c r="M109" s="1700"/>
    </row>
    <row r="110" spans="2:13" x14ac:dyDescent="0.25">
      <c r="B110" s="1700"/>
      <c r="C110" s="1700"/>
      <c r="D110" s="1700"/>
      <c r="E110" s="1700"/>
      <c r="F110" s="1700"/>
      <c r="G110" s="1700"/>
      <c r="H110" s="1700"/>
      <c r="I110" s="1700"/>
      <c r="J110" s="1700"/>
      <c r="K110" s="1700"/>
      <c r="L110" s="1700"/>
      <c r="M110" s="1700"/>
    </row>
    <row r="111" spans="2:13" x14ac:dyDescent="0.25">
      <c r="B111" s="1700"/>
      <c r="C111" s="1700"/>
      <c r="D111" s="1700"/>
      <c r="E111" s="1700"/>
      <c r="F111" s="1700"/>
      <c r="G111" s="1700"/>
      <c r="H111" s="1700"/>
      <c r="I111" s="1700"/>
      <c r="J111" s="1700"/>
      <c r="K111" s="1700"/>
      <c r="L111" s="1700"/>
      <c r="M111" s="1700"/>
    </row>
    <row r="112" spans="2:13" x14ac:dyDescent="0.25">
      <c r="B112" s="1700"/>
      <c r="C112" s="1700"/>
      <c r="D112" s="1700"/>
      <c r="E112" s="1700"/>
      <c r="F112" s="1700"/>
      <c r="G112" s="1700"/>
      <c r="H112" s="1700"/>
      <c r="I112" s="1700"/>
      <c r="J112" s="1700"/>
      <c r="K112" s="1700"/>
      <c r="L112" s="1700"/>
      <c r="M112" s="1700"/>
    </row>
    <row r="113" spans="2:13" x14ac:dyDescent="0.25">
      <c r="B113" s="1700"/>
      <c r="C113" s="1700"/>
      <c r="D113" s="1700"/>
      <c r="E113" s="1700"/>
      <c r="F113" s="1700"/>
      <c r="G113" s="1700"/>
      <c r="H113" s="1700"/>
      <c r="I113" s="1700"/>
      <c r="J113" s="1700"/>
      <c r="K113" s="1700"/>
      <c r="L113" s="1700"/>
      <c r="M113" s="1700"/>
    </row>
    <row r="114" spans="2:13" x14ac:dyDescent="0.25">
      <c r="B114" s="1700"/>
      <c r="C114" s="1700"/>
      <c r="D114" s="1700"/>
      <c r="E114" s="1700"/>
      <c r="F114" s="1700"/>
      <c r="G114" s="1700"/>
      <c r="H114" s="1700"/>
      <c r="I114" s="1700"/>
      <c r="J114" s="1700"/>
      <c r="K114" s="1700"/>
      <c r="L114" s="1700"/>
      <c r="M114" s="1700"/>
    </row>
    <row r="115" spans="2:13" x14ac:dyDescent="0.25">
      <c r="B115" s="1700"/>
      <c r="C115" s="1700"/>
      <c r="D115" s="1700"/>
      <c r="E115" s="1700"/>
      <c r="F115" s="1700"/>
      <c r="G115" s="1700"/>
      <c r="H115" s="1700"/>
      <c r="I115" s="1700"/>
      <c r="J115" s="1700"/>
      <c r="K115" s="1700"/>
      <c r="L115" s="1700"/>
      <c r="M115" s="1700"/>
    </row>
    <row r="116" spans="2:13" x14ac:dyDescent="0.25">
      <c r="B116" s="1700"/>
      <c r="C116" s="1700"/>
      <c r="D116" s="1700"/>
      <c r="E116" s="1700"/>
      <c r="F116" s="1700"/>
      <c r="G116" s="1700"/>
      <c r="H116" s="1700"/>
      <c r="I116" s="1700"/>
      <c r="J116" s="1700"/>
      <c r="K116" s="1700"/>
      <c r="L116" s="1700"/>
      <c r="M116" s="1700"/>
    </row>
    <row r="117" spans="2:13" x14ac:dyDescent="0.25">
      <c r="B117" s="1700"/>
      <c r="C117" s="1700"/>
      <c r="D117" s="1700"/>
      <c r="E117" s="1700"/>
      <c r="F117" s="1700"/>
      <c r="G117" s="1700"/>
      <c r="H117" s="1700"/>
      <c r="I117" s="1700"/>
      <c r="J117" s="1700"/>
      <c r="K117" s="1700"/>
      <c r="L117" s="1700"/>
      <c r="M117" s="1700"/>
    </row>
    <row r="118" spans="2:13" x14ac:dyDescent="0.25">
      <c r="B118" s="1700"/>
      <c r="C118" s="1700"/>
      <c r="D118" s="1700"/>
      <c r="E118" s="1700"/>
      <c r="F118" s="1700"/>
      <c r="G118" s="1700"/>
      <c r="H118" s="1700"/>
      <c r="I118" s="1700"/>
      <c r="J118" s="1700"/>
      <c r="K118" s="1700"/>
      <c r="L118" s="1700"/>
      <c r="M118" s="1700"/>
    </row>
    <row r="119" spans="2:13" x14ac:dyDescent="0.25">
      <c r="B119" s="1700"/>
      <c r="C119" s="1700"/>
      <c r="D119" s="1700"/>
      <c r="E119" s="1700"/>
      <c r="F119" s="1700"/>
      <c r="G119" s="1700"/>
      <c r="H119" s="1700"/>
      <c r="I119" s="1700"/>
      <c r="J119" s="1700"/>
      <c r="K119" s="1700"/>
      <c r="L119" s="1700"/>
      <c r="M119" s="1700"/>
    </row>
    <row r="120" spans="2:13" x14ac:dyDescent="0.25">
      <c r="B120" s="1700"/>
      <c r="C120" s="1700"/>
      <c r="D120" s="1700"/>
      <c r="E120" s="1700"/>
      <c r="F120" s="1700"/>
      <c r="G120" s="1700"/>
      <c r="H120" s="1700"/>
      <c r="I120" s="1700"/>
      <c r="J120" s="1700"/>
      <c r="K120" s="1700"/>
      <c r="L120" s="1700"/>
      <c r="M120" s="1700"/>
    </row>
    <row r="121" spans="2:13" x14ac:dyDescent="0.25">
      <c r="B121" s="1700"/>
      <c r="C121" s="1700"/>
      <c r="D121" s="1700"/>
      <c r="E121" s="1700"/>
      <c r="F121" s="1700"/>
      <c r="G121" s="1700"/>
      <c r="H121" s="1700"/>
      <c r="I121" s="1700"/>
      <c r="J121" s="1700"/>
      <c r="K121" s="1700"/>
      <c r="L121" s="1700"/>
      <c r="M121" s="1700"/>
    </row>
    <row r="122" spans="2:13" x14ac:dyDescent="0.25">
      <c r="B122" s="1700"/>
      <c r="C122" s="1700"/>
      <c r="D122" s="1700"/>
      <c r="E122" s="1700"/>
      <c r="F122" s="1700"/>
      <c r="G122" s="1700"/>
      <c r="H122" s="1700"/>
      <c r="I122" s="1700"/>
      <c r="J122" s="1700"/>
      <c r="K122" s="1700"/>
      <c r="L122" s="1700"/>
      <c r="M122" s="1700"/>
    </row>
    <row r="123" spans="2:13" x14ac:dyDescent="0.25">
      <c r="B123" s="1700"/>
      <c r="C123" s="1700"/>
      <c r="D123" s="1700"/>
      <c r="E123" s="1700"/>
      <c r="F123" s="1700"/>
      <c r="G123" s="1700"/>
      <c r="H123" s="1700"/>
      <c r="I123" s="1700"/>
      <c r="J123" s="1700"/>
      <c r="K123" s="1700"/>
      <c r="L123" s="1700"/>
      <c r="M123" s="1700"/>
    </row>
    <row r="124" spans="2:13" x14ac:dyDescent="0.25">
      <c r="B124" s="1700"/>
      <c r="C124" s="1700"/>
      <c r="D124" s="1700"/>
      <c r="E124" s="1700"/>
      <c r="F124" s="1700"/>
      <c r="G124" s="1700"/>
      <c r="H124" s="1700"/>
      <c r="I124" s="1700"/>
      <c r="J124" s="1700"/>
      <c r="K124" s="1700"/>
      <c r="L124" s="1700"/>
      <c r="M124" s="1700"/>
    </row>
    <row r="125" spans="2:13" x14ac:dyDescent="0.25">
      <c r="B125" s="1700"/>
      <c r="C125" s="1700"/>
      <c r="D125" s="1700"/>
      <c r="E125" s="1700"/>
      <c r="F125" s="1700"/>
      <c r="G125" s="1700"/>
      <c r="H125" s="1700"/>
      <c r="I125" s="1700"/>
      <c r="J125" s="1700"/>
      <c r="K125" s="1700"/>
      <c r="L125" s="1700"/>
      <c r="M125" s="1700"/>
    </row>
    <row r="126" spans="2:13" x14ac:dyDescent="0.25">
      <c r="B126" s="1700"/>
      <c r="C126" s="1700"/>
      <c r="D126" s="1700"/>
      <c r="E126" s="1700"/>
      <c r="F126" s="1700"/>
      <c r="G126" s="1700"/>
      <c r="H126" s="1700"/>
      <c r="I126" s="1700"/>
      <c r="J126" s="1700"/>
      <c r="K126" s="1700"/>
      <c r="L126" s="1700"/>
      <c r="M126" s="1700"/>
    </row>
    <row r="127" spans="2:13" x14ac:dyDescent="0.25">
      <c r="B127" s="1700"/>
      <c r="C127" s="1700"/>
      <c r="D127" s="1700"/>
      <c r="E127" s="1700"/>
      <c r="F127" s="1700"/>
      <c r="G127" s="1700"/>
      <c r="H127" s="1700"/>
      <c r="I127" s="1700"/>
      <c r="J127" s="1700"/>
      <c r="K127" s="1700"/>
      <c r="L127" s="1700"/>
      <c r="M127" s="1700"/>
    </row>
    <row r="128" spans="2:13" x14ac:dyDescent="0.25">
      <c r="B128" s="1700"/>
      <c r="C128" s="1700"/>
      <c r="D128" s="1700"/>
      <c r="E128" s="1700"/>
      <c r="F128" s="1700"/>
      <c r="G128" s="1700"/>
      <c r="H128" s="1700"/>
      <c r="I128" s="1700"/>
      <c r="J128" s="1700"/>
      <c r="K128" s="1700"/>
      <c r="L128" s="1700"/>
      <c r="M128" s="1700"/>
    </row>
    <row r="129" spans="2:13" x14ac:dyDescent="0.25">
      <c r="B129" s="1700"/>
      <c r="C129" s="1700"/>
      <c r="D129" s="1700"/>
      <c r="E129" s="1700"/>
      <c r="F129" s="1700"/>
      <c r="G129" s="1700"/>
      <c r="H129" s="1700"/>
      <c r="I129" s="1700"/>
      <c r="J129" s="1700"/>
      <c r="K129" s="1700"/>
      <c r="L129" s="1700"/>
      <c r="M129" s="1700"/>
    </row>
    <row r="130" spans="2:13" x14ac:dyDescent="0.25">
      <c r="B130" s="1700"/>
      <c r="C130" s="1700"/>
      <c r="D130" s="1700"/>
      <c r="E130" s="1700"/>
      <c r="F130" s="1700"/>
      <c r="G130" s="1700"/>
      <c r="H130" s="1700"/>
      <c r="I130" s="1700"/>
      <c r="J130" s="1700"/>
      <c r="K130" s="1700"/>
      <c r="L130" s="1700"/>
      <c r="M130" s="1700"/>
    </row>
    <row r="131" spans="2:13" x14ac:dyDescent="0.25">
      <c r="B131" s="1700"/>
      <c r="C131" s="1700"/>
      <c r="D131" s="1700"/>
      <c r="E131" s="1700"/>
      <c r="F131" s="1700"/>
      <c r="G131" s="1700"/>
      <c r="H131" s="1700"/>
      <c r="I131" s="1700"/>
      <c r="J131" s="1700"/>
      <c r="K131" s="1700"/>
      <c r="L131" s="1700"/>
      <c r="M131" s="1700"/>
    </row>
    <row r="132" spans="2:13" x14ac:dyDescent="0.25">
      <c r="B132" s="1700"/>
      <c r="C132" s="1700"/>
      <c r="D132" s="1700"/>
      <c r="E132" s="1700"/>
      <c r="F132" s="1700"/>
      <c r="G132" s="1700"/>
      <c r="H132" s="1700"/>
      <c r="I132" s="1700"/>
      <c r="J132" s="1700"/>
      <c r="K132" s="1700"/>
      <c r="L132" s="1700"/>
      <c r="M132" s="1700"/>
    </row>
    <row r="133" spans="2:13" x14ac:dyDescent="0.25">
      <c r="B133" s="1700"/>
      <c r="C133" s="1700"/>
      <c r="D133" s="1700"/>
      <c r="E133" s="1700"/>
      <c r="F133" s="1700"/>
      <c r="G133" s="1700"/>
      <c r="H133" s="1700"/>
      <c r="I133" s="1700"/>
      <c r="J133" s="1700"/>
      <c r="K133" s="1700"/>
      <c r="L133" s="1700"/>
      <c r="M133" s="1700"/>
    </row>
    <row r="134" spans="2:13" x14ac:dyDescent="0.25">
      <c r="B134" s="1700"/>
      <c r="C134" s="1700"/>
      <c r="D134" s="1700"/>
      <c r="E134" s="1700"/>
      <c r="F134" s="1700"/>
      <c r="G134" s="1700"/>
      <c r="H134" s="1700"/>
      <c r="I134" s="1700"/>
      <c r="J134" s="1700"/>
      <c r="K134" s="1700"/>
      <c r="L134" s="1700"/>
      <c r="M134" s="1700"/>
    </row>
    <row r="135" spans="2:13" x14ac:dyDescent="0.25">
      <c r="B135" s="1700"/>
      <c r="C135" s="1700"/>
      <c r="D135" s="1700"/>
      <c r="E135" s="1700"/>
      <c r="F135" s="1700"/>
      <c r="G135" s="1700"/>
      <c r="H135" s="1700"/>
      <c r="I135" s="1700"/>
      <c r="J135" s="1700"/>
      <c r="K135" s="1700"/>
      <c r="L135" s="1700"/>
      <c r="M135" s="1700"/>
    </row>
    <row r="136" spans="2:13" x14ac:dyDescent="0.25">
      <c r="B136" s="1700"/>
      <c r="C136" s="1700"/>
      <c r="D136" s="1700"/>
      <c r="E136" s="1700"/>
      <c r="F136" s="1700"/>
      <c r="G136" s="1700"/>
      <c r="H136" s="1700"/>
      <c r="I136" s="1700"/>
      <c r="J136" s="1700"/>
      <c r="K136" s="1700"/>
      <c r="L136" s="1700"/>
      <c r="M136" s="1700"/>
    </row>
    <row r="137" spans="2:13" x14ac:dyDescent="0.25">
      <c r="B137" s="1700"/>
      <c r="C137" s="1700"/>
      <c r="D137" s="1700"/>
      <c r="E137" s="1700"/>
      <c r="F137" s="1700"/>
      <c r="G137" s="1700"/>
      <c r="H137" s="1700"/>
      <c r="I137" s="1700"/>
      <c r="J137" s="1700"/>
      <c r="K137" s="1700"/>
      <c r="L137" s="1700"/>
      <c r="M137" s="1700"/>
    </row>
    <row r="138" spans="2:13" x14ac:dyDescent="0.25">
      <c r="B138" s="1700"/>
      <c r="C138" s="1700"/>
      <c r="D138" s="1700"/>
      <c r="E138" s="1700"/>
      <c r="F138" s="1700"/>
      <c r="G138" s="1700"/>
      <c r="H138" s="1700"/>
      <c r="I138" s="1700"/>
      <c r="J138" s="1700"/>
      <c r="K138" s="1700"/>
      <c r="L138" s="1700"/>
      <c r="M138" s="1700"/>
    </row>
    <row r="139" spans="2:13" x14ac:dyDescent="0.25">
      <c r="B139" s="1700"/>
      <c r="C139" s="1700"/>
      <c r="D139" s="1700"/>
      <c r="E139" s="1700"/>
      <c r="F139" s="1700"/>
      <c r="G139" s="1700"/>
      <c r="H139" s="1700"/>
      <c r="I139" s="1700"/>
      <c r="J139" s="1700"/>
      <c r="K139" s="1700"/>
      <c r="L139" s="1700"/>
      <c r="M139" s="1700"/>
    </row>
    <row r="140" spans="2:13" x14ac:dyDescent="0.25">
      <c r="B140" s="1700"/>
      <c r="C140" s="1700"/>
      <c r="D140" s="1700"/>
      <c r="E140" s="1700"/>
      <c r="F140" s="1700"/>
      <c r="G140" s="1700"/>
      <c r="H140" s="1700"/>
      <c r="I140" s="1700"/>
      <c r="J140" s="1700"/>
      <c r="K140" s="1700"/>
      <c r="L140" s="1700"/>
      <c r="M140" s="1700"/>
    </row>
    <row r="141" spans="2:13" x14ac:dyDescent="0.25">
      <c r="B141" s="1700"/>
      <c r="C141" s="1700"/>
      <c r="D141" s="1700"/>
      <c r="E141" s="1700"/>
      <c r="F141" s="1700"/>
      <c r="G141" s="1700"/>
      <c r="H141" s="1700"/>
      <c r="I141" s="1700"/>
      <c r="J141" s="1700"/>
      <c r="K141" s="1700"/>
      <c r="L141" s="1700"/>
      <c r="M141" s="1700"/>
    </row>
    <row r="142" spans="2:13" x14ac:dyDescent="0.25">
      <c r="B142" s="1700"/>
      <c r="C142" s="1700"/>
      <c r="D142" s="1700"/>
      <c r="E142" s="1700"/>
      <c r="F142" s="1700"/>
      <c r="G142" s="1700"/>
      <c r="H142" s="1700"/>
      <c r="I142" s="1700"/>
      <c r="J142" s="1700"/>
      <c r="K142" s="1700"/>
      <c r="L142" s="1700"/>
      <c r="M142" s="1700"/>
    </row>
    <row r="143" spans="2:13" x14ac:dyDescent="0.25">
      <c r="B143" s="1700"/>
      <c r="C143" s="1700"/>
      <c r="D143" s="1700"/>
      <c r="E143" s="1700"/>
      <c r="F143" s="1700"/>
      <c r="G143" s="1700"/>
      <c r="H143" s="1700"/>
      <c r="I143" s="1700"/>
      <c r="J143" s="1700"/>
      <c r="K143" s="1700"/>
      <c r="L143" s="1700"/>
      <c r="M143" s="1700"/>
    </row>
    <row r="144" spans="2:13" x14ac:dyDescent="0.25">
      <c r="B144" s="1700"/>
      <c r="C144" s="1700"/>
      <c r="D144" s="1700"/>
      <c r="E144" s="1700"/>
      <c r="F144" s="1700"/>
      <c r="G144" s="1700"/>
      <c r="H144" s="1700"/>
      <c r="I144" s="1700"/>
      <c r="J144" s="1700"/>
      <c r="K144" s="1700"/>
      <c r="L144" s="1700"/>
      <c r="M144" s="1700"/>
    </row>
    <row r="145" spans="2:13" x14ac:dyDescent="0.25">
      <c r="B145" s="1700"/>
      <c r="C145" s="1700"/>
      <c r="D145" s="1700"/>
      <c r="E145" s="1700"/>
      <c r="F145" s="1700"/>
      <c r="G145" s="1700"/>
      <c r="H145" s="1700"/>
      <c r="I145" s="1700"/>
      <c r="J145" s="1700"/>
      <c r="K145" s="1700"/>
      <c r="L145" s="1700"/>
      <c r="M145" s="1700"/>
    </row>
    <row r="146" spans="2:13" x14ac:dyDescent="0.25">
      <c r="B146" s="1700"/>
      <c r="C146" s="1700"/>
      <c r="D146" s="1700"/>
      <c r="E146" s="1700"/>
      <c r="F146" s="1700"/>
      <c r="G146" s="1700"/>
      <c r="H146" s="1700"/>
      <c r="I146" s="1700"/>
      <c r="J146" s="1700"/>
      <c r="K146" s="1700"/>
      <c r="L146" s="1700"/>
      <c r="M146" s="1700"/>
    </row>
    <row r="147" spans="2:13" x14ac:dyDescent="0.25">
      <c r="B147" s="1700"/>
      <c r="C147" s="1700"/>
      <c r="D147" s="1700"/>
      <c r="E147" s="1700"/>
      <c r="F147" s="1700"/>
      <c r="G147" s="1700"/>
      <c r="H147" s="1700"/>
      <c r="I147" s="1700"/>
      <c r="J147" s="1700"/>
      <c r="K147" s="1700"/>
      <c r="L147" s="1700"/>
      <c r="M147" s="1700"/>
    </row>
    <row r="148" spans="2:13" x14ac:dyDescent="0.25">
      <c r="B148" s="1700"/>
      <c r="C148" s="1700"/>
      <c r="D148" s="1700"/>
      <c r="E148" s="1700"/>
      <c r="F148" s="1700"/>
      <c r="G148" s="1700"/>
      <c r="H148" s="1700"/>
      <c r="I148" s="1700"/>
      <c r="J148" s="1700"/>
      <c r="K148" s="1700"/>
      <c r="L148" s="1700"/>
      <c r="M148" s="1700"/>
    </row>
    <row r="149" spans="2:13" x14ac:dyDescent="0.25">
      <c r="B149" s="1700"/>
      <c r="C149" s="1700"/>
      <c r="D149" s="1700"/>
      <c r="E149" s="1700"/>
      <c r="F149" s="1700"/>
      <c r="G149" s="1700"/>
      <c r="H149" s="1700"/>
      <c r="I149" s="1700"/>
      <c r="J149" s="1700"/>
      <c r="K149" s="1700"/>
      <c r="L149" s="1700"/>
      <c r="M149" s="1700"/>
    </row>
    <row r="150" spans="2:13" x14ac:dyDescent="0.25">
      <c r="B150" s="1700"/>
      <c r="C150" s="1700"/>
      <c r="D150" s="1700"/>
      <c r="E150" s="1700"/>
      <c r="F150" s="1700"/>
      <c r="G150" s="1700"/>
      <c r="H150" s="1700"/>
      <c r="I150" s="1700"/>
      <c r="J150" s="1700"/>
      <c r="K150" s="1700"/>
      <c r="L150" s="1700"/>
      <c r="M150" s="1700"/>
    </row>
    <row r="151" spans="2:13" x14ac:dyDescent="0.25">
      <c r="B151" s="1700"/>
      <c r="C151" s="1700"/>
      <c r="D151" s="1700"/>
      <c r="E151" s="1700"/>
      <c r="F151" s="1700"/>
      <c r="G151" s="1700"/>
      <c r="H151" s="1700"/>
      <c r="I151" s="1700"/>
      <c r="J151" s="1700"/>
      <c r="K151" s="1700"/>
      <c r="L151" s="1700"/>
      <c r="M151" s="1700"/>
    </row>
    <row r="152" spans="2:13" x14ac:dyDescent="0.25">
      <c r="B152" s="1700"/>
      <c r="C152" s="1700"/>
      <c r="D152" s="1700"/>
      <c r="E152" s="1700"/>
      <c r="F152" s="1700"/>
      <c r="G152" s="1700"/>
      <c r="H152" s="1700"/>
      <c r="I152" s="1700"/>
      <c r="J152" s="1700"/>
      <c r="K152" s="1700"/>
      <c r="L152" s="1700"/>
      <c r="M152" s="1700"/>
    </row>
    <row r="153" spans="2:13" x14ac:dyDescent="0.25">
      <c r="B153" s="1700"/>
      <c r="C153" s="1700"/>
      <c r="D153" s="1700"/>
      <c r="E153" s="1700"/>
      <c r="F153" s="1700"/>
      <c r="G153" s="1700"/>
      <c r="H153" s="1700"/>
      <c r="I153" s="1700"/>
      <c r="J153" s="1700"/>
      <c r="K153" s="1700"/>
      <c r="L153" s="1700"/>
      <c r="M153" s="1700"/>
    </row>
    <row r="154" spans="2:13" x14ac:dyDescent="0.25">
      <c r="B154" s="1700"/>
      <c r="C154" s="1700"/>
      <c r="D154" s="1700"/>
      <c r="E154" s="1700"/>
      <c r="F154" s="1700"/>
      <c r="G154" s="1700"/>
      <c r="H154" s="1700"/>
      <c r="I154" s="1700"/>
      <c r="J154" s="1700"/>
      <c r="K154" s="1700"/>
      <c r="L154" s="1700"/>
      <c r="M154" s="1700"/>
    </row>
    <row r="155" spans="2:13" x14ac:dyDescent="0.25">
      <c r="B155" s="1700"/>
      <c r="C155" s="1700"/>
      <c r="D155" s="1700"/>
      <c r="E155" s="1700"/>
      <c r="F155" s="1700"/>
      <c r="G155" s="1700"/>
      <c r="H155" s="1700"/>
      <c r="I155" s="1700"/>
      <c r="J155" s="1700"/>
      <c r="K155" s="1700"/>
      <c r="L155" s="1700"/>
      <c r="M155" s="1700"/>
    </row>
    <row r="156" spans="2:13" x14ac:dyDescent="0.25">
      <c r="B156" s="1700"/>
      <c r="C156" s="1700"/>
      <c r="D156" s="1700"/>
      <c r="E156" s="1700"/>
      <c r="F156" s="1700"/>
      <c r="G156" s="1700"/>
      <c r="H156" s="1700"/>
      <c r="I156" s="1700"/>
      <c r="J156" s="1700"/>
      <c r="K156" s="1700"/>
      <c r="L156" s="1700"/>
      <c r="M156" s="1700"/>
    </row>
    <row r="157" spans="2:13" x14ac:dyDescent="0.25">
      <c r="B157" s="1700"/>
      <c r="C157" s="1700"/>
      <c r="D157" s="1700"/>
      <c r="E157" s="1700"/>
      <c r="F157" s="1700"/>
      <c r="G157" s="1700"/>
      <c r="H157" s="1700"/>
      <c r="I157" s="1700"/>
      <c r="J157" s="1700"/>
      <c r="K157" s="1700"/>
      <c r="L157" s="1700"/>
      <c r="M157" s="1700"/>
    </row>
    <row r="158" spans="2:13" x14ac:dyDescent="0.25">
      <c r="B158" s="1700"/>
      <c r="C158" s="1700"/>
      <c r="D158" s="1700"/>
      <c r="E158" s="1700"/>
      <c r="F158" s="1700"/>
      <c r="G158" s="1700"/>
      <c r="H158" s="1700"/>
      <c r="I158" s="1700"/>
      <c r="J158" s="1700"/>
      <c r="K158" s="1700"/>
      <c r="L158" s="1700"/>
      <c r="M158" s="1700"/>
    </row>
    <row r="159" spans="2:13" x14ac:dyDescent="0.25">
      <c r="B159" s="1700"/>
      <c r="C159" s="1700"/>
      <c r="D159" s="1700"/>
      <c r="E159" s="1700"/>
      <c r="F159" s="1700"/>
      <c r="G159" s="1700"/>
      <c r="H159" s="1700"/>
      <c r="I159" s="1700"/>
      <c r="J159" s="1700"/>
      <c r="K159" s="1700"/>
      <c r="L159" s="1700"/>
      <c r="M159" s="1700"/>
    </row>
    <row r="160" spans="2:13" x14ac:dyDescent="0.25">
      <c r="B160" s="1700"/>
      <c r="C160" s="1700"/>
      <c r="D160" s="1700"/>
      <c r="E160" s="1700"/>
      <c r="F160" s="1700"/>
      <c r="G160" s="1700"/>
      <c r="H160" s="1700"/>
      <c r="I160" s="1700"/>
      <c r="J160" s="1700"/>
      <c r="K160" s="1700"/>
      <c r="L160" s="1700"/>
      <c r="M160" s="1700"/>
    </row>
    <row r="161" spans="2:13" x14ac:dyDescent="0.25">
      <c r="B161" s="1700"/>
      <c r="C161" s="1700"/>
      <c r="D161" s="1700"/>
      <c r="E161" s="1700"/>
      <c r="F161" s="1700"/>
      <c r="G161" s="1700"/>
      <c r="H161" s="1700"/>
      <c r="I161" s="1700"/>
      <c r="J161" s="1700"/>
      <c r="K161" s="1700"/>
      <c r="L161" s="1700"/>
      <c r="M161" s="1700"/>
    </row>
    <row r="162" spans="2:13" x14ac:dyDescent="0.25">
      <c r="B162" s="1700"/>
      <c r="C162" s="1700"/>
      <c r="D162" s="1700"/>
      <c r="E162" s="1700"/>
      <c r="F162" s="1700"/>
      <c r="G162" s="1700"/>
      <c r="H162" s="1700"/>
      <c r="I162" s="1700"/>
      <c r="J162" s="1700"/>
      <c r="K162" s="1700"/>
      <c r="L162" s="1700"/>
      <c r="M162" s="1700"/>
    </row>
    <row r="163" spans="2:13" x14ac:dyDescent="0.25">
      <c r="B163" s="1700"/>
      <c r="C163" s="1700"/>
      <c r="D163" s="1700"/>
      <c r="E163" s="1700"/>
      <c r="F163" s="1700"/>
      <c r="G163" s="1700"/>
      <c r="H163" s="1700"/>
      <c r="I163" s="1700"/>
      <c r="J163" s="1700"/>
      <c r="K163" s="1700"/>
      <c r="L163" s="1700"/>
      <c r="M163" s="1700"/>
    </row>
    <row r="164" spans="2:13" x14ac:dyDescent="0.25">
      <c r="B164" s="1700"/>
      <c r="C164" s="1700"/>
      <c r="D164" s="1700"/>
      <c r="E164" s="1700"/>
      <c r="F164" s="1700"/>
      <c r="G164" s="1700"/>
      <c r="H164" s="1700"/>
      <c r="I164" s="1700"/>
      <c r="J164" s="1700"/>
      <c r="K164" s="1700"/>
      <c r="L164" s="1700"/>
      <c r="M164" s="1700"/>
    </row>
    <row r="165" spans="2:13" x14ac:dyDescent="0.25">
      <c r="B165" s="1700"/>
      <c r="C165" s="1700"/>
      <c r="D165" s="1700"/>
      <c r="E165" s="1700"/>
      <c r="F165" s="1700"/>
      <c r="G165" s="1700"/>
      <c r="H165" s="1700"/>
      <c r="I165" s="1700"/>
      <c r="J165" s="1700"/>
      <c r="K165" s="1700"/>
      <c r="L165" s="1700"/>
      <c r="M165" s="1700"/>
    </row>
    <row r="166" spans="2:13" x14ac:dyDescent="0.25">
      <c r="B166" s="1700"/>
      <c r="C166" s="1700"/>
      <c r="D166" s="1700"/>
      <c r="E166" s="1700"/>
      <c r="F166" s="1700"/>
      <c r="G166" s="1700"/>
      <c r="H166" s="1700"/>
      <c r="I166" s="1700"/>
      <c r="J166" s="1700"/>
      <c r="K166" s="1700"/>
      <c r="L166" s="1700"/>
      <c r="M166" s="1700"/>
    </row>
    <row r="167" spans="2:13" x14ac:dyDescent="0.25">
      <c r="B167" s="1700"/>
      <c r="C167" s="1700"/>
      <c r="D167" s="1700"/>
      <c r="E167" s="1700"/>
      <c r="F167" s="1700"/>
      <c r="G167" s="1700"/>
      <c r="H167" s="1700"/>
      <c r="I167" s="1700"/>
      <c r="J167" s="1700"/>
      <c r="K167" s="1700"/>
      <c r="L167" s="1700"/>
      <c r="M167" s="1700"/>
    </row>
    <row r="168" spans="2:13" x14ac:dyDescent="0.25">
      <c r="B168" s="1700"/>
      <c r="C168" s="1700"/>
      <c r="D168" s="1700"/>
      <c r="E168" s="1700"/>
      <c r="F168" s="1700"/>
      <c r="G168" s="1700"/>
      <c r="H168" s="1700"/>
      <c r="I168" s="1700"/>
      <c r="J168" s="1700"/>
      <c r="K168" s="1700"/>
      <c r="L168" s="1700"/>
      <c r="M168" s="1700"/>
    </row>
    <row r="169" spans="2:13" x14ac:dyDescent="0.25">
      <c r="B169" s="1700"/>
      <c r="C169" s="1700"/>
      <c r="D169" s="1700"/>
      <c r="E169" s="1700"/>
      <c r="F169" s="1700"/>
      <c r="G169" s="1700"/>
      <c r="H169" s="1700"/>
      <c r="I169" s="1700"/>
      <c r="J169" s="1700"/>
      <c r="K169" s="1700"/>
      <c r="L169" s="1700"/>
      <c r="M169" s="1700"/>
    </row>
    <row r="170" spans="2:13" x14ac:dyDescent="0.25">
      <c r="B170" s="1700"/>
      <c r="C170" s="1700"/>
      <c r="D170" s="1700"/>
      <c r="E170" s="1700"/>
      <c r="F170" s="1700"/>
      <c r="G170" s="1700"/>
      <c r="H170" s="1700"/>
      <c r="I170" s="1700"/>
      <c r="J170" s="1700"/>
      <c r="K170" s="1700"/>
      <c r="L170" s="1700"/>
      <c r="M170" s="1700"/>
    </row>
    <row r="171" spans="2:13" x14ac:dyDescent="0.25">
      <c r="B171" s="1700"/>
      <c r="C171" s="1700"/>
      <c r="D171" s="1700"/>
      <c r="E171" s="1700"/>
      <c r="F171" s="1700"/>
      <c r="G171" s="1700"/>
      <c r="H171" s="1700"/>
      <c r="I171" s="1700"/>
      <c r="J171" s="1700"/>
      <c r="K171" s="1700"/>
      <c r="L171" s="1700"/>
      <c r="M171" s="1700"/>
    </row>
    <row r="172" spans="2:13" x14ac:dyDescent="0.25">
      <c r="B172" s="1700"/>
      <c r="C172" s="1700"/>
      <c r="D172" s="1700"/>
      <c r="E172" s="1700"/>
      <c r="F172" s="1700"/>
      <c r="G172" s="1700"/>
      <c r="H172" s="1700"/>
      <c r="I172" s="1700"/>
      <c r="J172" s="1700"/>
      <c r="K172" s="1700"/>
      <c r="L172" s="1700"/>
      <c r="M172" s="1700"/>
    </row>
    <row r="173" spans="2:13" x14ac:dyDescent="0.25">
      <c r="B173" s="1700"/>
      <c r="C173" s="1700"/>
      <c r="D173" s="1700"/>
      <c r="E173" s="1700"/>
      <c r="F173" s="1700"/>
      <c r="G173" s="1700"/>
      <c r="H173" s="1700"/>
      <c r="I173" s="1700"/>
      <c r="J173" s="1700"/>
      <c r="K173" s="1700"/>
      <c r="L173" s="1700"/>
      <c r="M173" s="1700"/>
    </row>
    <row r="174" spans="2:13" x14ac:dyDescent="0.25">
      <c r="B174" s="1700"/>
      <c r="C174" s="1700"/>
      <c r="D174" s="1700"/>
      <c r="E174" s="1700"/>
      <c r="F174" s="1700"/>
      <c r="G174" s="1700"/>
      <c r="H174" s="1700"/>
      <c r="I174" s="1700"/>
      <c r="J174" s="1700"/>
      <c r="K174" s="1700"/>
      <c r="L174" s="1700"/>
      <c r="M174" s="1700"/>
    </row>
    <row r="175" spans="2:13" x14ac:dyDescent="0.25">
      <c r="B175" s="1700"/>
      <c r="C175" s="1700"/>
      <c r="D175" s="1700"/>
      <c r="E175" s="1700"/>
      <c r="F175" s="1700"/>
      <c r="G175" s="1700"/>
      <c r="H175" s="1700"/>
      <c r="I175" s="1700"/>
      <c r="J175" s="1700"/>
      <c r="K175" s="1700"/>
      <c r="L175" s="1700"/>
      <c r="M175" s="1700"/>
    </row>
    <row r="176" spans="2:13" x14ac:dyDescent="0.25">
      <c r="B176" s="1700"/>
      <c r="C176" s="1700"/>
      <c r="D176" s="1700"/>
      <c r="E176" s="1700"/>
      <c r="F176" s="1700"/>
      <c r="G176" s="1700"/>
      <c r="H176" s="1700"/>
      <c r="I176" s="1700"/>
      <c r="J176" s="1700"/>
      <c r="K176" s="1700"/>
      <c r="L176" s="1700"/>
      <c r="M176" s="1700"/>
    </row>
    <row r="177" spans="2:13" x14ac:dyDescent="0.25">
      <c r="B177" s="1700"/>
      <c r="C177" s="1700"/>
      <c r="D177" s="1700"/>
      <c r="E177" s="1700"/>
      <c r="F177" s="1700"/>
      <c r="G177" s="1700"/>
      <c r="H177" s="1700"/>
      <c r="I177" s="1700"/>
      <c r="J177" s="1700"/>
      <c r="K177" s="1700"/>
      <c r="L177" s="1700"/>
      <c r="M177" s="1700"/>
    </row>
    <row r="178" spans="2:13" x14ac:dyDescent="0.25">
      <c r="B178" s="1700"/>
      <c r="C178" s="1700"/>
      <c r="D178" s="1700"/>
      <c r="E178" s="1700"/>
      <c r="F178" s="1700"/>
      <c r="G178" s="1700"/>
      <c r="H178" s="1700"/>
      <c r="I178" s="1700"/>
      <c r="J178" s="1700"/>
      <c r="K178" s="1700"/>
      <c r="L178" s="1700"/>
      <c r="M178" s="1700"/>
    </row>
    <row r="179" spans="2:13" x14ac:dyDescent="0.25">
      <c r="B179" s="1700"/>
      <c r="C179" s="1700"/>
      <c r="D179" s="1700"/>
      <c r="E179" s="1700"/>
      <c r="F179" s="1700"/>
      <c r="G179" s="1700"/>
      <c r="H179" s="1700"/>
      <c r="I179" s="1700"/>
      <c r="J179" s="1700"/>
      <c r="K179" s="1700"/>
      <c r="L179" s="1700"/>
      <c r="M179" s="1700"/>
    </row>
    <row r="180" spans="2:13" x14ac:dyDescent="0.25">
      <c r="B180" s="1700"/>
      <c r="C180" s="1700"/>
      <c r="D180" s="1700"/>
      <c r="E180" s="1700"/>
      <c r="F180" s="1700"/>
      <c r="G180" s="1700"/>
      <c r="H180" s="1700"/>
      <c r="I180" s="1700"/>
      <c r="J180" s="1700"/>
      <c r="K180" s="1700"/>
      <c r="L180" s="1700"/>
      <c r="M180" s="1700"/>
    </row>
    <row r="181" spans="2:13" x14ac:dyDescent="0.25">
      <c r="B181" s="1700"/>
      <c r="C181" s="1700"/>
      <c r="D181" s="1700"/>
      <c r="E181" s="1700"/>
      <c r="F181" s="1700"/>
      <c r="G181" s="1700"/>
      <c r="H181" s="1700"/>
      <c r="I181" s="1700"/>
      <c r="J181" s="1700"/>
      <c r="K181" s="1700"/>
      <c r="L181" s="1700"/>
      <c r="M181" s="1700"/>
    </row>
    <row r="182" spans="2:13" x14ac:dyDescent="0.25">
      <c r="B182" s="1700"/>
      <c r="C182" s="1700"/>
      <c r="D182" s="1700"/>
      <c r="E182" s="1700"/>
      <c r="F182" s="1700"/>
      <c r="G182" s="1700"/>
      <c r="H182" s="1700"/>
      <c r="I182" s="1700"/>
      <c r="J182" s="1700"/>
      <c r="K182" s="1700"/>
      <c r="L182" s="1700"/>
      <c r="M182" s="1700"/>
    </row>
    <row r="183" spans="2:13" x14ac:dyDescent="0.25">
      <c r="B183" s="1700"/>
      <c r="C183" s="1700"/>
      <c r="D183" s="1700"/>
      <c r="E183" s="1700"/>
      <c r="F183" s="1700"/>
      <c r="G183" s="1700"/>
      <c r="H183" s="1700"/>
      <c r="I183" s="1700"/>
      <c r="J183" s="1700"/>
      <c r="K183" s="1700"/>
      <c r="L183" s="1700"/>
      <c r="M183" s="1700"/>
    </row>
    <row r="184" spans="2:13" x14ac:dyDescent="0.25">
      <c r="B184" s="1700"/>
      <c r="C184" s="1700"/>
      <c r="D184" s="1700"/>
      <c r="E184" s="1700"/>
      <c r="F184" s="1700"/>
      <c r="G184" s="1700"/>
      <c r="H184" s="1700"/>
      <c r="I184" s="1700"/>
      <c r="J184" s="1700"/>
      <c r="K184" s="1700"/>
      <c r="L184" s="1700"/>
      <c r="M184" s="1700"/>
    </row>
    <row r="185" spans="2:13" x14ac:dyDescent="0.25">
      <c r="B185" s="1700"/>
      <c r="C185" s="1700"/>
      <c r="D185" s="1700"/>
      <c r="E185" s="1700"/>
      <c r="F185" s="1700"/>
      <c r="G185" s="1700"/>
      <c r="H185" s="1700"/>
      <c r="I185" s="1700"/>
      <c r="J185" s="1700"/>
      <c r="K185" s="1700"/>
      <c r="L185" s="1700"/>
      <c r="M185" s="1700"/>
    </row>
    <row r="186" spans="2:13" x14ac:dyDescent="0.25">
      <c r="B186" s="1700"/>
      <c r="C186" s="1700"/>
      <c r="D186" s="1700"/>
      <c r="E186" s="1700"/>
      <c r="F186" s="1700"/>
      <c r="G186" s="1700"/>
      <c r="H186" s="1700"/>
      <c r="I186" s="1700"/>
      <c r="J186" s="1700"/>
      <c r="K186" s="1700"/>
      <c r="L186" s="1700"/>
      <c r="M186" s="1700"/>
    </row>
    <row r="187" spans="2:13" x14ac:dyDescent="0.25">
      <c r="B187" s="1700"/>
      <c r="C187" s="1700"/>
      <c r="D187" s="1700"/>
      <c r="E187" s="1700"/>
      <c r="F187" s="1700"/>
      <c r="G187" s="1700"/>
      <c r="H187" s="1700"/>
      <c r="I187" s="1700"/>
      <c r="J187" s="1700"/>
      <c r="K187" s="1700"/>
      <c r="L187" s="1700"/>
      <c r="M187" s="1700"/>
    </row>
    <row r="188" spans="2:13" x14ac:dyDescent="0.25">
      <c r="B188" s="1700"/>
      <c r="C188" s="1700"/>
      <c r="D188" s="1700"/>
      <c r="E188" s="1700"/>
      <c r="F188" s="1700"/>
      <c r="G188" s="1700"/>
      <c r="H188" s="1700"/>
      <c r="I188" s="1700"/>
      <c r="J188" s="1700"/>
      <c r="K188" s="1700"/>
      <c r="L188" s="1700"/>
      <c r="M188" s="1700"/>
    </row>
    <row r="189" spans="2:13" x14ac:dyDescent="0.25">
      <c r="B189" s="1700"/>
      <c r="C189" s="1700"/>
      <c r="D189" s="1700"/>
      <c r="E189" s="1700"/>
      <c r="F189" s="1700"/>
      <c r="G189" s="1700"/>
      <c r="H189" s="1700"/>
      <c r="I189" s="1700"/>
      <c r="J189" s="1700"/>
      <c r="K189" s="1700"/>
      <c r="L189" s="1700"/>
      <c r="M189" s="1700"/>
    </row>
    <row r="190" spans="2:13" x14ac:dyDescent="0.25">
      <c r="B190" s="1700"/>
      <c r="C190" s="1700"/>
      <c r="D190" s="1700"/>
      <c r="E190" s="1700"/>
      <c r="F190" s="1700"/>
      <c r="G190" s="1700"/>
      <c r="H190" s="1700"/>
      <c r="I190" s="1700"/>
      <c r="J190" s="1700"/>
      <c r="K190" s="1700"/>
      <c r="L190" s="1700"/>
      <c r="M190" s="1700"/>
    </row>
    <row r="191" spans="2:13" x14ac:dyDescent="0.25">
      <c r="B191" s="1700"/>
      <c r="C191" s="1700"/>
      <c r="D191" s="1700"/>
      <c r="E191" s="1700"/>
      <c r="F191" s="1700"/>
      <c r="G191" s="1700"/>
      <c r="H191" s="1700"/>
      <c r="I191" s="1700"/>
      <c r="J191" s="1700"/>
      <c r="K191" s="1700"/>
      <c r="L191" s="1700"/>
      <c r="M191" s="1700"/>
    </row>
    <row r="192" spans="2:13" x14ac:dyDescent="0.25">
      <c r="B192" s="1700"/>
      <c r="C192" s="1700"/>
      <c r="D192" s="1700"/>
      <c r="E192" s="1700"/>
      <c r="F192" s="1700"/>
      <c r="G192" s="1700"/>
      <c r="H192" s="1700"/>
      <c r="I192" s="1700"/>
      <c r="J192" s="1700"/>
      <c r="K192" s="1700"/>
      <c r="L192" s="1700"/>
      <c r="M192" s="1700"/>
    </row>
    <row r="193" spans="2:13" x14ac:dyDescent="0.25">
      <c r="B193" s="1700"/>
      <c r="C193" s="1700"/>
      <c r="D193" s="1700"/>
      <c r="E193" s="1700"/>
      <c r="F193" s="1700"/>
      <c r="G193" s="1700"/>
      <c r="H193" s="1700"/>
      <c r="I193" s="1700"/>
      <c r="J193" s="1700"/>
      <c r="K193" s="1700"/>
      <c r="L193" s="1700"/>
      <c r="M193" s="1700"/>
    </row>
    <row r="194" spans="2:13" x14ac:dyDescent="0.25">
      <c r="B194" s="1700"/>
      <c r="C194" s="1700"/>
      <c r="D194" s="1700"/>
      <c r="E194" s="1700"/>
      <c r="F194" s="1700"/>
      <c r="G194" s="1700"/>
      <c r="H194" s="1700"/>
      <c r="I194" s="1700"/>
      <c r="J194" s="1700"/>
      <c r="K194" s="1700"/>
      <c r="L194" s="1700"/>
      <c r="M194" s="1700"/>
    </row>
    <row r="195" spans="2:13" x14ac:dyDescent="0.25">
      <c r="B195" s="1700"/>
      <c r="C195" s="1700"/>
      <c r="D195" s="1700"/>
      <c r="E195" s="1700"/>
      <c r="F195" s="1700"/>
      <c r="G195" s="1700"/>
      <c r="H195" s="1700"/>
      <c r="I195" s="1700"/>
      <c r="J195" s="1700"/>
      <c r="K195" s="1700"/>
      <c r="L195" s="1700"/>
      <c r="M195" s="1700"/>
    </row>
    <row r="196" spans="2:13" x14ac:dyDescent="0.25">
      <c r="B196" s="1700"/>
      <c r="C196" s="1700"/>
      <c r="D196" s="1700"/>
      <c r="E196" s="1700"/>
      <c r="F196" s="1700"/>
      <c r="G196" s="1700"/>
      <c r="H196" s="1700"/>
      <c r="I196" s="1700"/>
      <c r="J196" s="1700"/>
      <c r="K196" s="1700"/>
      <c r="L196" s="1700"/>
      <c r="M196" s="1700"/>
    </row>
    <row r="197" spans="2:13" x14ac:dyDescent="0.25">
      <c r="B197" s="1700"/>
      <c r="C197" s="1700"/>
      <c r="D197" s="1700"/>
      <c r="E197" s="1700"/>
      <c r="F197" s="1700"/>
      <c r="G197" s="1700"/>
      <c r="H197" s="1700"/>
      <c r="I197" s="1700"/>
      <c r="J197" s="1700"/>
      <c r="K197" s="1700"/>
      <c r="L197" s="1700"/>
      <c r="M197" s="1700"/>
    </row>
    <row r="198" spans="2:13" x14ac:dyDescent="0.25">
      <c r="B198" s="1700"/>
      <c r="C198" s="1700"/>
      <c r="D198" s="1700"/>
      <c r="E198" s="1700"/>
      <c r="F198" s="1700"/>
      <c r="G198" s="1700"/>
      <c r="H198" s="1700"/>
      <c r="I198" s="1700"/>
      <c r="J198" s="1700"/>
      <c r="K198" s="1700"/>
      <c r="L198" s="1700"/>
      <c r="M198" s="1700"/>
    </row>
    <row r="199" spans="2:13" x14ac:dyDescent="0.25">
      <c r="B199" s="1700"/>
      <c r="C199" s="1700"/>
      <c r="D199" s="1700"/>
      <c r="E199" s="1700"/>
      <c r="F199" s="1700"/>
      <c r="G199" s="1700"/>
      <c r="H199" s="1700"/>
      <c r="I199" s="1700"/>
      <c r="J199" s="1700"/>
      <c r="K199" s="1700"/>
      <c r="L199" s="1700"/>
      <c r="M199" s="1700"/>
    </row>
    <row r="200" spans="2:13" x14ac:dyDescent="0.25">
      <c r="B200" s="1700"/>
      <c r="C200" s="1700"/>
      <c r="D200" s="1700"/>
      <c r="E200" s="1700"/>
      <c r="F200" s="1700"/>
      <c r="G200" s="1700"/>
      <c r="H200" s="1700"/>
      <c r="I200" s="1700"/>
      <c r="J200" s="1700"/>
      <c r="K200" s="1700"/>
      <c r="L200" s="1700"/>
      <c r="M200" s="1700"/>
    </row>
    <row r="201" spans="2:13" x14ac:dyDescent="0.25">
      <c r="B201" s="1700"/>
      <c r="C201" s="1700"/>
      <c r="D201" s="1700"/>
      <c r="E201" s="1700"/>
      <c r="F201" s="1700"/>
      <c r="G201" s="1700"/>
      <c r="H201" s="1700"/>
      <c r="I201" s="1700"/>
      <c r="J201" s="1700"/>
      <c r="K201" s="1700"/>
      <c r="L201" s="1700"/>
      <c r="M201" s="1700"/>
    </row>
    <row r="202" spans="2:13" x14ac:dyDescent="0.25">
      <c r="B202" s="1700"/>
      <c r="C202" s="1700"/>
      <c r="D202" s="1700"/>
      <c r="E202" s="1700"/>
      <c r="F202" s="1700"/>
      <c r="G202" s="1700"/>
      <c r="H202" s="1700"/>
      <c r="I202" s="1700"/>
      <c r="J202" s="1700"/>
      <c r="K202" s="1700"/>
      <c r="L202" s="1700"/>
      <c r="M202" s="1700"/>
    </row>
    <row r="203" spans="2:13" x14ac:dyDescent="0.25">
      <c r="B203" s="1700"/>
      <c r="C203" s="1700"/>
      <c r="D203" s="1700"/>
      <c r="E203" s="1700"/>
      <c r="F203" s="1700"/>
      <c r="G203" s="1700"/>
      <c r="H203" s="1700"/>
      <c r="I203" s="1700"/>
      <c r="J203" s="1700"/>
      <c r="K203" s="1700"/>
      <c r="L203" s="1700"/>
      <c r="M203" s="1700"/>
    </row>
    <row r="204" spans="2:13" x14ac:dyDescent="0.25">
      <c r="B204" s="1700"/>
      <c r="C204" s="1700"/>
      <c r="D204" s="1700"/>
      <c r="E204" s="1700"/>
      <c r="F204" s="1700"/>
      <c r="G204" s="1700"/>
      <c r="H204" s="1700"/>
      <c r="I204" s="1700"/>
      <c r="J204" s="1700"/>
      <c r="K204" s="1700"/>
      <c r="L204" s="1700"/>
      <c r="M204" s="1700"/>
    </row>
    <row r="205" spans="2:13" x14ac:dyDescent="0.25">
      <c r="B205" s="1700"/>
      <c r="C205" s="1700"/>
      <c r="D205" s="1700"/>
      <c r="E205" s="1700"/>
      <c r="F205" s="1700"/>
      <c r="G205" s="1700"/>
      <c r="H205" s="1700"/>
      <c r="I205" s="1700"/>
      <c r="J205" s="1700"/>
      <c r="K205" s="1700"/>
      <c r="L205" s="1700"/>
      <c r="M205" s="1700"/>
    </row>
    <row r="206" spans="2:13" x14ac:dyDescent="0.25">
      <c r="B206" s="1700"/>
      <c r="C206" s="1700"/>
      <c r="D206" s="1700"/>
      <c r="E206" s="1700"/>
      <c r="F206" s="1700"/>
      <c r="G206" s="1700"/>
      <c r="H206" s="1700"/>
      <c r="I206" s="1700"/>
      <c r="J206" s="1700"/>
      <c r="K206" s="1700"/>
      <c r="L206" s="1700"/>
      <c r="M206" s="1700"/>
    </row>
    <row r="207" spans="2:13" x14ac:dyDescent="0.25">
      <c r="B207" s="1700"/>
      <c r="C207" s="1700"/>
      <c r="D207" s="1700"/>
      <c r="E207" s="1700"/>
      <c r="F207" s="1700"/>
      <c r="G207" s="1700"/>
      <c r="H207" s="1700"/>
      <c r="I207" s="1700"/>
      <c r="J207" s="1700"/>
      <c r="K207" s="1700"/>
      <c r="L207" s="1700"/>
      <c r="M207" s="1700"/>
    </row>
    <row r="208" spans="2:13" x14ac:dyDescent="0.25">
      <c r="B208" s="1700"/>
      <c r="C208" s="1700"/>
      <c r="D208" s="1700"/>
      <c r="E208" s="1700"/>
      <c r="F208" s="1700"/>
      <c r="G208" s="1700"/>
      <c r="H208" s="1700"/>
      <c r="I208" s="1700"/>
      <c r="J208" s="1700"/>
      <c r="K208" s="1700"/>
      <c r="L208" s="1700"/>
      <c r="M208" s="1700"/>
    </row>
    <row r="209" spans="2:13" x14ac:dyDescent="0.25">
      <c r="B209" s="1700"/>
      <c r="C209" s="1700"/>
      <c r="D209" s="1700"/>
      <c r="E209" s="1700"/>
      <c r="F209" s="1700"/>
      <c r="G209" s="1700"/>
      <c r="H209" s="1700"/>
      <c r="I209" s="1700"/>
      <c r="J209" s="1700"/>
      <c r="K209" s="1700"/>
      <c r="L209" s="1700"/>
      <c r="M209" s="1700"/>
    </row>
    <row r="210" spans="2:13" x14ac:dyDescent="0.25">
      <c r="B210" s="1700"/>
      <c r="C210" s="1700"/>
      <c r="D210" s="1700"/>
      <c r="E210" s="1700"/>
      <c r="F210" s="1700"/>
      <c r="G210" s="1700"/>
      <c r="H210" s="1700"/>
      <c r="I210" s="1700"/>
      <c r="J210" s="1700"/>
      <c r="K210" s="1700"/>
      <c r="L210" s="1700"/>
      <c r="M210" s="1700"/>
    </row>
  </sheetData>
  <sheetProtection algorithmName="SHA-512" hashValue="7KVK1TeNvnJFmRLpIIZMrzPdlwFiU9Nm0Det2D2btxXUoaifGiB6RVaH14e2Lkdmhqwkd6FSDprJgjlLfatHPA==" saltValue="/Ee6TXi55JjODFXluuM3dg==" spinCount="100000" sheet="1" objects="1" scenarios="1" formatColumns="0" formatRows="0"/>
  <mergeCells count="246">
    <mergeCell ref="B210:M210"/>
    <mergeCell ref="B205:M205"/>
    <mergeCell ref="B206:M206"/>
    <mergeCell ref="B207:M207"/>
    <mergeCell ref="B208:M208"/>
    <mergeCell ref="B209:M209"/>
    <mergeCell ref="B200:M200"/>
    <mergeCell ref="B201:M201"/>
    <mergeCell ref="B202:M202"/>
    <mergeCell ref="B203:M203"/>
    <mergeCell ref="B204:M204"/>
    <mergeCell ref="B195:M195"/>
    <mergeCell ref="B196:M196"/>
    <mergeCell ref="B197:M197"/>
    <mergeCell ref="B198:M198"/>
    <mergeCell ref="B199:M199"/>
    <mergeCell ref="B190:M190"/>
    <mergeCell ref="B191:M191"/>
    <mergeCell ref="B192:M192"/>
    <mergeCell ref="B193:M193"/>
    <mergeCell ref="B194:M194"/>
    <mergeCell ref="B185:M185"/>
    <mergeCell ref="B186:M186"/>
    <mergeCell ref="B187:M187"/>
    <mergeCell ref="B188:M188"/>
    <mergeCell ref="B189:M189"/>
    <mergeCell ref="B180:M180"/>
    <mergeCell ref="B181:M181"/>
    <mergeCell ref="B182:M182"/>
    <mergeCell ref="B183:M183"/>
    <mergeCell ref="B184:M184"/>
    <mergeCell ref="B175:M175"/>
    <mergeCell ref="B176:M176"/>
    <mergeCell ref="B177:M177"/>
    <mergeCell ref="B178:M178"/>
    <mergeCell ref="B179:M179"/>
    <mergeCell ref="B170:M170"/>
    <mergeCell ref="B171:M171"/>
    <mergeCell ref="B172:M172"/>
    <mergeCell ref="B173:M173"/>
    <mergeCell ref="B174:M174"/>
    <mergeCell ref="B165:M165"/>
    <mergeCell ref="B166:M166"/>
    <mergeCell ref="B167:M167"/>
    <mergeCell ref="B168:M168"/>
    <mergeCell ref="B169:M169"/>
    <mergeCell ref="B160:M160"/>
    <mergeCell ref="B161:M161"/>
    <mergeCell ref="B162:M162"/>
    <mergeCell ref="B163:M163"/>
    <mergeCell ref="B164:M164"/>
    <mergeCell ref="B155:M155"/>
    <mergeCell ref="B156:M156"/>
    <mergeCell ref="B157:M157"/>
    <mergeCell ref="B158:M158"/>
    <mergeCell ref="B159:M159"/>
    <mergeCell ref="B150:M150"/>
    <mergeCell ref="B151:M151"/>
    <mergeCell ref="B152:M152"/>
    <mergeCell ref="B153:M153"/>
    <mergeCell ref="B154:M154"/>
    <mergeCell ref="B145:M145"/>
    <mergeCell ref="B146:M146"/>
    <mergeCell ref="B147:M147"/>
    <mergeCell ref="B148:M148"/>
    <mergeCell ref="B149:M149"/>
    <mergeCell ref="B140:M140"/>
    <mergeCell ref="B141:M141"/>
    <mergeCell ref="B142:M142"/>
    <mergeCell ref="B143:M143"/>
    <mergeCell ref="B144:M144"/>
    <mergeCell ref="B135:M135"/>
    <mergeCell ref="B136:M136"/>
    <mergeCell ref="B137:M137"/>
    <mergeCell ref="B138:M138"/>
    <mergeCell ref="B139:M139"/>
    <mergeCell ref="B130:M130"/>
    <mergeCell ref="B131:M131"/>
    <mergeCell ref="B132:M132"/>
    <mergeCell ref="B133:M133"/>
    <mergeCell ref="B134:M134"/>
    <mergeCell ref="B125:M125"/>
    <mergeCell ref="B126:M126"/>
    <mergeCell ref="B127:M127"/>
    <mergeCell ref="B128:M128"/>
    <mergeCell ref="B129:M129"/>
    <mergeCell ref="B120:M120"/>
    <mergeCell ref="B121:M121"/>
    <mergeCell ref="B122:M122"/>
    <mergeCell ref="B123:M123"/>
    <mergeCell ref="B124:M124"/>
    <mergeCell ref="B115:M115"/>
    <mergeCell ref="B116:M116"/>
    <mergeCell ref="B117:M117"/>
    <mergeCell ref="B118:M118"/>
    <mergeCell ref="B119:M119"/>
    <mergeCell ref="B110:M110"/>
    <mergeCell ref="B111:M111"/>
    <mergeCell ref="B112:M112"/>
    <mergeCell ref="B113:M113"/>
    <mergeCell ref="B114:M114"/>
    <mergeCell ref="B105:M105"/>
    <mergeCell ref="B106:M106"/>
    <mergeCell ref="B107:M107"/>
    <mergeCell ref="B108:M108"/>
    <mergeCell ref="B109:M109"/>
    <mergeCell ref="B100:M100"/>
    <mergeCell ref="B101:M101"/>
    <mergeCell ref="B102:M102"/>
    <mergeCell ref="B103:M103"/>
    <mergeCell ref="B104:M104"/>
    <mergeCell ref="B95:M95"/>
    <mergeCell ref="B96:M96"/>
    <mergeCell ref="B97:M97"/>
    <mergeCell ref="B98:M98"/>
    <mergeCell ref="B99:M99"/>
    <mergeCell ref="B90:M90"/>
    <mergeCell ref="B91:M91"/>
    <mergeCell ref="B92:M92"/>
    <mergeCell ref="B93:M93"/>
    <mergeCell ref="B94:M94"/>
    <mergeCell ref="B85:M85"/>
    <mergeCell ref="B86:M86"/>
    <mergeCell ref="B87:M87"/>
    <mergeCell ref="B88:M88"/>
    <mergeCell ref="B89:M89"/>
    <mergeCell ref="B80:M80"/>
    <mergeCell ref="B81:M81"/>
    <mergeCell ref="B82:M82"/>
    <mergeCell ref="B83:M83"/>
    <mergeCell ref="B84:M84"/>
    <mergeCell ref="B75:M75"/>
    <mergeCell ref="B76:M76"/>
    <mergeCell ref="B77:M77"/>
    <mergeCell ref="B78:M78"/>
    <mergeCell ref="B79:M79"/>
    <mergeCell ref="B60:M60"/>
    <mergeCell ref="B61:M61"/>
    <mergeCell ref="B62:M62"/>
    <mergeCell ref="B63:M63"/>
    <mergeCell ref="B64:M64"/>
    <mergeCell ref="B65:M65"/>
    <mergeCell ref="B66:M66"/>
    <mergeCell ref="B67:M67"/>
    <mergeCell ref="B68:M68"/>
    <mergeCell ref="B69:M69"/>
    <mergeCell ref="B70:M70"/>
    <mergeCell ref="B71:M71"/>
    <mergeCell ref="B72:M72"/>
    <mergeCell ref="B73:M73"/>
    <mergeCell ref="B74:M74"/>
    <mergeCell ref="D22:E22"/>
    <mergeCell ref="D20:E20"/>
    <mergeCell ref="D21:E21"/>
    <mergeCell ref="F20:M20"/>
    <mergeCell ref="F21:M21"/>
    <mergeCell ref="F22:M22"/>
    <mergeCell ref="D49:E49"/>
    <mergeCell ref="F49:M49"/>
    <mergeCell ref="D47:E47"/>
    <mergeCell ref="F47:M47"/>
    <mergeCell ref="C43:M43"/>
    <mergeCell ref="C44:M44"/>
    <mergeCell ref="K36:M36"/>
    <mergeCell ref="D37:E37"/>
    <mergeCell ref="F37:G37"/>
    <mergeCell ref="K37:M37"/>
    <mergeCell ref="I36:J36"/>
    <mergeCell ref="I37:J37"/>
    <mergeCell ref="D38:E38"/>
    <mergeCell ref="F38:G38"/>
    <mergeCell ref="K38:M38"/>
    <mergeCell ref="D39:E39"/>
    <mergeCell ref="F39:G39"/>
    <mergeCell ref="K39:M39"/>
    <mergeCell ref="C59:M59"/>
    <mergeCell ref="D54:E54"/>
    <mergeCell ref="F54:M54"/>
    <mergeCell ref="D50:E50"/>
    <mergeCell ref="F50:M50"/>
    <mergeCell ref="D51:E51"/>
    <mergeCell ref="F51:M51"/>
    <mergeCell ref="D52:E52"/>
    <mergeCell ref="F52:M52"/>
    <mergeCell ref="D53:E53"/>
    <mergeCell ref="C57:M57"/>
    <mergeCell ref="D55:E55"/>
    <mergeCell ref="F55:M55"/>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16:M16"/>
    <mergeCell ref="C17:M17"/>
    <mergeCell ref="D19:E19"/>
    <mergeCell ref="F19:M19"/>
    <mergeCell ref="F53:M53"/>
    <mergeCell ref="D48:E48"/>
    <mergeCell ref="F48:M48"/>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I38:J38"/>
    <mergeCell ref="I39:J39"/>
    <mergeCell ref="D40:E40"/>
    <mergeCell ref="F40:G40"/>
    <mergeCell ref="K40:M40"/>
    <mergeCell ref="D41:E41"/>
    <mergeCell ref="F41:G41"/>
    <mergeCell ref="K41:M41"/>
    <mergeCell ref="I40:J40"/>
    <mergeCell ref="I41:J41"/>
  </mergeCells>
  <phoneticPr fontId="31" type="noConversion"/>
  <hyperlinks>
    <hyperlink ref="F1:G1" location="JUMP_TOC_Home" display="Table of contents" xr:uid="{6D72511E-E5B6-47F1-ADE3-FE03F2018617}"/>
    <hyperlink ref="L1:M1" location="JUMP_K_I" display="Summary" xr:uid="{2C438DEF-72BD-470A-BB22-C4F93BC73F4F}"/>
    <hyperlink ref="D2:E2" location="JUMP_J_Top" display="Top of sheet" xr:uid="{CC820B9F-8502-4436-A504-644E07E9B21E}"/>
    <hyperlink ref="D3:E3" location="JUMP_J_II" display="End of sheet" xr:uid="{B91CAAAF-F6A7-4A5C-9552-492B439300B0}"/>
    <hyperlink ref="H1:I1" location="JUMP_I_Top" display="Previous sheet" xr:uid="{CCFDB9DF-306B-42EF-A49E-DE76D97AC00E}"/>
    <hyperlink ref="J1:K1" location="JUMP_K_Top" display="Next sheet" xr:uid="{725B8E09-719E-482A-9BFD-BEBE6C1EB946}"/>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1916-A655-4B67-A30C-BE3B94C38DAA}">
  <sheetPr codeName="Tabelle11">
    <tabColor indexed="10"/>
    <pageSetUpPr fitToPage="1"/>
  </sheetPr>
  <dimension ref="A1:T1403"/>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2.6640625" style="145" hidden="1" customWidth="1"/>
    <col min="2" max="2" width="2.6640625" style="220" customWidth="1"/>
    <col min="3" max="4" width="4.6640625" style="220" customWidth="1"/>
    <col min="5" max="14" width="12.6640625" style="220" customWidth="1"/>
    <col min="15" max="15" width="11.44140625" style="220" customWidth="1"/>
    <col min="16" max="20" width="12.6640625" style="145" hidden="1" customWidth="1"/>
    <col min="21" max="16384" width="11.44140625" style="276" hidden="1"/>
  </cols>
  <sheetData>
    <row r="1" spans="1:20" s="145" customFormat="1" ht="13.8" hidden="1" thickBot="1" x14ac:dyDescent="0.3">
      <c r="A1" s="145" t="s">
        <v>187</v>
      </c>
      <c r="P1" s="145" t="s">
        <v>187</v>
      </c>
      <c r="Q1" s="145" t="s">
        <v>187</v>
      </c>
      <c r="R1" s="145" t="s">
        <v>187</v>
      </c>
      <c r="S1" s="145" t="s">
        <v>187</v>
      </c>
      <c r="T1" s="145" t="s">
        <v>187</v>
      </c>
    </row>
    <row r="2" spans="1:20" ht="13.8" thickBot="1" x14ac:dyDescent="0.3">
      <c r="B2" s="1282" t="str">
        <f>Translations!$B$1133</f>
        <v>K. 
Summary</v>
      </c>
      <c r="C2" s="1283"/>
      <c r="D2" s="1284"/>
      <c r="E2" s="318" t="str">
        <f>Translations!$B$2</f>
        <v>Navigation area:</v>
      </c>
      <c r="F2" s="752"/>
      <c r="G2" s="1291" t="str">
        <f>Translations!$B$18</f>
        <v>Table of contents</v>
      </c>
      <c r="H2" s="1147"/>
      <c r="I2" s="1147" t="str">
        <f>Translations!$B$19</f>
        <v>Previous sheet</v>
      </c>
      <c r="J2" s="1147"/>
      <c r="K2" s="1741"/>
      <c r="L2" s="1741"/>
      <c r="M2" s="1147"/>
      <c r="N2" s="1147"/>
      <c r="O2" s="8"/>
      <c r="P2" s="9"/>
      <c r="Q2" s="9"/>
      <c r="R2" s="9"/>
      <c r="S2" s="9"/>
      <c r="T2" s="9"/>
    </row>
    <row r="3" spans="1:20" ht="13.8" thickBot="1" x14ac:dyDescent="0.3">
      <c r="B3" s="1285"/>
      <c r="C3" s="1286"/>
      <c r="D3" s="1287"/>
      <c r="E3" s="1147" t="str">
        <f>Translations!$B$5</f>
        <v>Top of sheet</v>
      </c>
      <c r="F3" s="1276"/>
      <c r="G3" s="1277" t="str">
        <f>Translations!$B$1134</f>
        <v>Installation data</v>
      </c>
      <c r="H3" s="1278"/>
      <c r="I3" s="1278" t="str">
        <f>Translations!$B$1135</f>
        <v>Baseline Period &amp; Eligibility</v>
      </c>
      <c r="J3" s="1278"/>
      <c r="K3" s="1278" t="str">
        <f>Translations!$B$1136</f>
        <v>Emissions &amp; Energy Flows</v>
      </c>
      <c r="L3" s="1278"/>
      <c r="M3" s="1278" t="str">
        <f>Translations!$B$1137</f>
        <v>Sub-installation Data</v>
      </c>
      <c r="N3" s="1278"/>
      <c r="O3" s="17"/>
      <c r="P3" s="9"/>
      <c r="Q3" s="9"/>
      <c r="R3" s="9"/>
      <c r="S3" s="9"/>
      <c r="T3" s="9"/>
    </row>
    <row r="4" spans="1:20" ht="13.8" thickBot="1" x14ac:dyDescent="0.3">
      <c r="B4" s="1288"/>
      <c r="C4" s="1289"/>
      <c r="D4" s="1290"/>
      <c r="E4" s="1147" t="str">
        <f>Translations!$B$6</f>
        <v>End of sheet</v>
      </c>
      <c r="F4" s="1147"/>
      <c r="G4" s="1292" t="str">
        <f>Translations!$B$1138</f>
        <v>Preliminary allocation</v>
      </c>
      <c r="H4" s="1279"/>
      <c r="I4" s="1279"/>
      <c r="J4" s="1279"/>
      <c r="K4" s="1580"/>
      <c r="L4" s="1575"/>
      <c r="M4" s="1575"/>
      <c r="N4" s="1575"/>
      <c r="O4" s="17"/>
      <c r="P4" s="9"/>
      <c r="Q4" s="9"/>
      <c r="R4" s="9"/>
      <c r="S4" s="9"/>
      <c r="T4" s="9"/>
    </row>
    <row r="5" spans="1:20" x14ac:dyDescent="0.25">
      <c r="B5" s="8"/>
      <c r="C5" s="6"/>
      <c r="D5" s="8"/>
      <c r="E5" s="8"/>
      <c r="F5" s="202"/>
      <c r="G5" s="202"/>
      <c r="H5" s="202"/>
      <c r="I5" s="8"/>
      <c r="J5" s="8"/>
      <c r="K5" s="8"/>
      <c r="L5" s="8"/>
      <c r="M5" s="8"/>
      <c r="N5" s="8"/>
      <c r="O5" s="17"/>
      <c r="P5" s="9"/>
      <c r="Q5" s="9"/>
      <c r="R5" s="9"/>
      <c r="S5" s="9"/>
      <c r="T5" s="9"/>
    </row>
    <row r="6" spans="1:20" ht="23.25" customHeight="1" x14ac:dyDescent="0.25">
      <c r="B6" s="8"/>
      <c r="C6" s="10" t="s">
        <v>21</v>
      </c>
      <c r="D6" s="10" t="str">
        <f>Translations!$B$1139</f>
        <v>Sheet "Summary" - OVERVIEW OF MOST IMPORTANT DATA</v>
      </c>
      <c r="E6" s="10"/>
      <c r="F6" s="10"/>
      <c r="G6" s="10"/>
      <c r="H6" s="10"/>
      <c r="I6" s="10"/>
      <c r="J6" s="10"/>
      <c r="K6" s="10"/>
      <c r="L6" s="10"/>
      <c r="M6" s="8"/>
      <c r="N6" s="8"/>
      <c r="O6" s="17"/>
      <c r="P6" s="11" t="s">
        <v>188</v>
      </c>
      <c r="Q6" s="11" t="s">
        <v>188</v>
      </c>
      <c r="R6" s="11" t="s">
        <v>188</v>
      </c>
      <c r="S6" s="11" t="s">
        <v>188</v>
      </c>
      <c r="T6" s="11" t="s">
        <v>188</v>
      </c>
    </row>
    <row r="7" spans="1:20" x14ac:dyDescent="0.25">
      <c r="B7" s="8"/>
      <c r="C7" s="8"/>
      <c r="D7" s="8"/>
      <c r="E7" s="8"/>
      <c r="F7" s="8"/>
      <c r="G7" s="8"/>
      <c r="H7" s="8"/>
      <c r="I7" s="8"/>
      <c r="J7" s="8"/>
      <c r="K7" s="8"/>
      <c r="L7" s="8"/>
      <c r="M7" s="8"/>
      <c r="N7" s="8"/>
      <c r="O7" s="17"/>
      <c r="P7" s="12" t="s">
        <v>189</v>
      </c>
      <c r="Q7" s="12" t="s">
        <v>189</v>
      </c>
      <c r="R7" s="12" t="s">
        <v>189</v>
      </c>
      <c r="S7" s="12" t="s">
        <v>189</v>
      </c>
      <c r="T7" s="12" t="s">
        <v>189</v>
      </c>
    </row>
    <row r="8" spans="1:20" ht="15.6" x14ac:dyDescent="0.3">
      <c r="B8" s="8"/>
      <c r="C8" s="13" t="s">
        <v>3</v>
      </c>
      <c r="D8" s="14" t="str">
        <f>Translations!$B$1134</f>
        <v>Installation data</v>
      </c>
      <c r="E8" s="14"/>
      <c r="F8" s="14"/>
      <c r="G8" s="14"/>
      <c r="H8" s="14"/>
      <c r="I8" s="14"/>
      <c r="J8" s="14"/>
      <c r="K8" s="14"/>
      <c r="L8" s="14"/>
      <c r="M8" s="14"/>
      <c r="N8" s="14"/>
      <c r="O8" s="17"/>
      <c r="P8" s="9"/>
      <c r="Q8" s="9"/>
      <c r="R8" s="9"/>
      <c r="S8" s="9"/>
      <c r="T8" s="9"/>
    </row>
    <row r="9" spans="1:20" ht="5.0999999999999996" customHeight="1" x14ac:dyDescent="0.25">
      <c r="B9" s="8"/>
      <c r="C9" s="8"/>
      <c r="D9" s="8"/>
      <c r="E9" s="8"/>
      <c r="F9" s="8"/>
      <c r="G9" s="8"/>
      <c r="H9" s="8"/>
      <c r="I9" s="8"/>
      <c r="J9" s="8"/>
      <c r="K9" s="8"/>
      <c r="L9" s="8"/>
      <c r="M9" s="8"/>
      <c r="N9" s="8"/>
      <c r="O9" s="17"/>
      <c r="P9" s="9"/>
      <c r="Q9" s="9"/>
      <c r="R9" s="9"/>
      <c r="S9" s="9"/>
      <c r="T9" s="9"/>
    </row>
    <row r="10" spans="1:20" ht="15" customHeight="1" x14ac:dyDescent="0.25">
      <c r="B10" s="17"/>
      <c r="C10" s="19">
        <v>1</v>
      </c>
      <c r="D10" s="1234" t="str">
        <f>Translations!$B$1140</f>
        <v>General information (section A.I):</v>
      </c>
      <c r="E10" s="1176"/>
      <c r="F10" s="1176"/>
      <c r="G10" s="1176"/>
      <c r="H10" s="1176"/>
      <c r="I10" s="1176"/>
      <c r="J10" s="1176"/>
      <c r="K10" s="1176"/>
      <c r="L10" s="1176"/>
      <c r="M10" s="1176"/>
      <c r="N10" s="1176"/>
      <c r="O10" s="17"/>
      <c r="P10" s="150"/>
      <c r="Q10" s="150"/>
      <c r="R10" s="150"/>
      <c r="S10" s="150"/>
      <c r="T10" s="150"/>
    </row>
    <row r="11" spans="1:20" ht="5.0999999999999996" customHeight="1" x14ac:dyDescent="0.25">
      <c r="B11" s="17"/>
      <c r="C11" s="17"/>
      <c r="D11" s="17"/>
      <c r="E11" s="113"/>
      <c r="F11" s="113"/>
      <c r="G11" s="113"/>
      <c r="H11" s="113"/>
      <c r="I11" s="113"/>
      <c r="J11" s="113"/>
      <c r="K11" s="113"/>
      <c r="L11" s="113"/>
      <c r="M11" s="113"/>
      <c r="N11" s="17"/>
      <c r="O11" s="17"/>
      <c r="T11" s="9"/>
    </row>
    <row r="12" spans="1:20" ht="27" customHeight="1" x14ac:dyDescent="0.25">
      <c r="B12" s="17"/>
      <c r="C12" s="17"/>
      <c r="D12" s="17"/>
      <c r="E12" s="1728" t="s">
        <v>604</v>
      </c>
      <c r="F12" s="1728"/>
      <c r="G12" s="1729"/>
      <c r="H12" s="1723" t="str">
        <f>CNTR_UniqueID</f>
        <v/>
      </c>
      <c r="I12" s="1723"/>
      <c r="J12" s="113"/>
      <c r="K12" s="204"/>
      <c r="L12" s="1062"/>
      <c r="M12" s="1724" t="str">
        <f>IF(ISBLANK(A_InstallationData!J15),"",A_InstallationData!J15)</f>
        <v/>
      </c>
      <c r="N12" s="1725"/>
      <c r="O12" s="17"/>
      <c r="T12" s="9"/>
    </row>
    <row r="13" spans="1:20" x14ac:dyDescent="0.25">
      <c r="B13" s="17"/>
      <c r="C13" s="17"/>
      <c r="D13" s="17"/>
      <c r="E13" s="27" t="str">
        <f>Translations!$B$86</f>
        <v>Name of the installation:</v>
      </c>
      <c r="F13" s="113"/>
      <c r="G13" s="113"/>
      <c r="H13" s="1721" t="str">
        <f>IF(ISBLANK(A_InstallationData!J12),"",A_InstallationData!J12)</f>
        <v/>
      </c>
      <c r="I13" s="1722"/>
      <c r="J13" s="1722"/>
      <c r="K13" s="1722"/>
      <c r="L13" s="1722"/>
      <c r="M13" s="113"/>
      <c r="N13" s="17"/>
      <c r="O13" s="17"/>
      <c r="T13" s="9"/>
    </row>
    <row r="14" spans="1:20" x14ac:dyDescent="0.25">
      <c r="B14" s="17"/>
      <c r="C14" s="17"/>
      <c r="D14" s="17"/>
      <c r="E14" s="27" t="str">
        <f>Translations!$B$118</f>
        <v>Operator Name:</v>
      </c>
      <c r="F14" s="113"/>
      <c r="G14" s="113"/>
      <c r="H14" s="1721" t="str">
        <f>IF(ISBLANK(A_InstallationData!J57),"",A_InstallationData!J57)</f>
        <v/>
      </c>
      <c r="I14" s="1722"/>
      <c r="J14" s="1722"/>
      <c r="K14" s="1722"/>
      <c r="L14" s="1722"/>
      <c r="M14" s="113"/>
      <c r="N14" s="17"/>
      <c r="O14" s="17"/>
      <c r="T14" s="9"/>
    </row>
    <row r="15" spans="1:20" x14ac:dyDescent="0.25">
      <c r="B15" s="17"/>
      <c r="C15" s="17"/>
      <c r="D15" s="17"/>
      <c r="E15" s="27" t="str">
        <f>Translations!$B$1143</f>
        <v>Verifier (company):</v>
      </c>
      <c r="F15" s="113"/>
      <c r="G15" s="113"/>
      <c r="H15" s="1721" t="str">
        <f>IF(ISBLANK(A_InstallationData!J91),"",A_InstallationData!J91)</f>
        <v/>
      </c>
      <c r="I15" s="1722"/>
      <c r="J15" s="1722"/>
      <c r="K15" s="1722"/>
      <c r="L15" s="1722"/>
      <c r="M15" s="113"/>
      <c r="N15" s="17"/>
      <c r="O15" s="17"/>
      <c r="T15" s="9"/>
    </row>
    <row r="16" spans="1:20" ht="5.0999999999999996" customHeight="1" x14ac:dyDescent="0.25">
      <c r="B16" s="17"/>
      <c r="C16" s="17"/>
      <c r="D16" s="17"/>
      <c r="E16" s="27"/>
      <c r="F16" s="113"/>
      <c r="G16" s="113"/>
      <c r="H16" s="77"/>
      <c r="I16" s="113"/>
      <c r="J16" s="113"/>
      <c r="K16" s="113"/>
      <c r="L16" s="113"/>
      <c r="M16" s="113"/>
      <c r="N16" s="17"/>
      <c r="O16" s="17"/>
      <c r="T16" s="9"/>
    </row>
    <row r="17" spans="2:20" x14ac:dyDescent="0.25">
      <c r="B17" s="17"/>
      <c r="C17" s="17"/>
      <c r="D17" s="17"/>
      <c r="E17" s="27" t="s">
        <v>605</v>
      </c>
      <c r="F17" s="113"/>
      <c r="G17" s="113"/>
      <c r="H17" s="612" t="str">
        <f>IF(ISBLANK(A_InstallationData!J18),"",A_InstallationData!J18)</f>
        <v/>
      </c>
      <c r="I17" s="113"/>
      <c r="J17" s="113"/>
      <c r="K17" s="204" t="s">
        <v>606</v>
      </c>
      <c r="L17" s="113"/>
      <c r="M17" s="324" t="str">
        <f>IF(ISBLANK(A_InstallationData!M140),"",A_InstallationData!M140)</f>
        <v/>
      </c>
      <c r="N17" s="17"/>
      <c r="O17" s="17"/>
      <c r="T17" s="9"/>
    </row>
    <row r="18" spans="2:20" x14ac:dyDescent="0.25">
      <c r="B18" s="17"/>
      <c r="C18" s="17"/>
      <c r="D18" s="17"/>
      <c r="E18" s="27" t="str">
        <f>Translations!$B$1146</f>
        <v>Incumbent:</v>
      </c>
      <c r="F18" s="113"/>
      <c r="G18" s="113"/>
      <c r="H18" s="612" t="str">
        <f>IF(ISBLANK(A_InstallationData!J47),"",A_InstallationData!J47)</f>
        <v/>
      </c>
      <c r="I18" s="113"/>
      <c r="J18" s="113"/>
      <c r="K18" s="204" t="str">
        <f>Translations!$B$1147</f>
        <v>Hospital:</v>
      </c>
      <c r="L18" s="113"/>
      <c r="M18" s="324" t="str">
        <f>IF(ISBLANK(A_InstallationData!M142),"",A_InstallationData!M142)</f>
        <v/>
      </c>
      <c r="N18" s="17"/>
      <c r="O18" s="17"/>
      <c r="T18" s="9"/>
    </row>
    <row r="19" spans="2:20" x14ac:dyDescent="0.25">
      <c r="B19" s="17"/>
      <c r="C19" s="17"/>
      <c r="D19" s="17"/>
      <c r="E19" s="27" t="str">
        <f>Translations!$B$1148</f>
        <v>Starting date:</v>
      </c>
      <c r="F19" s="113"/>
      <c r="G19" s="113"/>
      <c r="H19" s="612" t="str">
        <f>IF(ISBLANK(A_InstallationData!J44),"",A_InstallationData!J44)</f>
        <v/>
      </c>
      <c r="I19" s="113"/>
      <c r="J19" s="113"/>
      <c r="K19" s="204" t="s">
        <v>607</v>
      </c>
      <c r="L19" s="113"/>
      <c r="M19" s="324" t="str">
        <f>IF(ISBLANK(A_InstallationData!M152),"",A_InstallationData!M152)</f>
        <v/>
      </c>
      <c r="N19" s="17"/>
      <c r="O19" s="17"/>
      <c r="T19" s="9"/>
    </row>
    <row r="20" spans="2:20" x14ac:dyDescent="0.25">
      <c r="B20" s="17"/>
      <c r="C20" s="17"/>
      <c r="D20" s="17"/>
      <c r="E20" s="27"/>
      <c r="F20" s="113"/>
      <c r="G20" s="113"/>
      <c r="H20" s="77"/>
      <c r="I20" s="113"/>
      <c r="J20" s="113"/>
      <c r="K20" s="204" t="str">
        <f>Translations!$B$1150</f>
        <v>Units &lt; 300h:</v>
      </c>
      <c r="L20" s="113"/>
      <c r="M20" s="324" t="str">
        <f>IF(ISBLANK(A_InstallationData!M154),"",A_InstallationData!M154)</f>
        <v/>
      </c>
      <c r="N20" s="17"/>
      <c r="O20" s="17"/>
      <c r="T20" s="9"/>
    </row>
    <row r="21" spans="2:20" x14ac:dyDescent="0.25">
      <c r="B21" s="17"/>
      <c r="C21" s="17"/>
      <c r="D21" s="17"/>
      <c r="E21" s="27" t="str">
        <f>Translations!$B$1151</f>
        <v>NACE code in 2010 (NACE rev 2):</v>
      </c>
      <c r="F21" s="113"/>
      <c r="G21" s="113"/>
      <c r="H21" s="612" t="str">
        <f>IF(ISBLANK(CNTR_NACEInstallation),"",CNTR_NACEInstallation)</f>
        <v/>
      </c>
      <c r="I21" s="113"/>
      <c r="J21" s="113"/>
      <c r="K21" s="204" t="str">
        <f>Translations!$B$1152</f>
        <v>EPRTR ID:</v>
      </c>
      <c r="L21" s="113"/>
      <c r="M21" s="324" t="str">
        <f>IF(ISBLANK(A_InstallationData!L130),"",A_InstallationData!L130)</f>
        <v/>
      </c>
      <c r="N21" s="17"/>
      <c r="O21" s="17"/>
      <c r="T21" s="9"/>
    </row>
    <row r="22" spans="2:20" ht="5.0999999999999996" customHeight="1" x14ac:dyDescent="0.25">
      <c r="B22" s="17"/>
      <c r="C22" s="17"/>
      <c r="D22" s="17"/>
      <c r="E22" s="276"/>
      <c r="F22" s="276"/>
      <c r="G22" s="276"/>
      <c r="H22" s="276"/>
      <c r="I22" s="113"/>
      <c r="J22" s="113"/>
      <c r="K22" s="113"/>
      <c r="L22" s="113"/>
      <c r="M22" s="113"/>
      <c r="N22" s="17"/>
      <c r="O22" s="17"/>
      <c r="T22" s="9"/>
    </row>
    <row r="23" spans="2:20" x14ac:dyDescent="0.25">
      <c r="B23" s="17"/>
      <c r="C23" s="17"/>
      <c r="D23" s="15"/>
      <c r="E23" s="27" t="s">
        <v>608</v>
      </c>
      <c r="F23" s="17"/>
      <c r="G23" s="17"/>
      <c r="H23" s="17"/>
      <c r="I23" s="17"/>
      <c r="J23" s="17"/>
      <c r="K23" s="17"/>
      <c r="L23" s="17"/>
      <c r="M23" s="323"/>
      <c r="N23" s="323"/>
      <c r="O23" s="17"/>
    </row>
    <row r="24" spans="2:20" x14ac:dyDescent="0.25">
      <c r="B24" s="17"/>
      <c r="C24" s="17"/>
      <c r="D24" s="27"/>
      <c r="E24" s="114" t="s">
        <v>609</v>
      </c>
      <c r="F24" s="1726" t="str">
        <f>IF(ISBLANK(A_InstallationData!F115),"",A_InstallationData!F115)</f>
        <v/>
      </c>
      <c r="G24" s="1202"/>
      <c r="H24" s="1202"/>
      <c r="I24" s="1202"/>
      <c r="J24" s="1202"/>
      <c r="K24" s="1202"/>
      <c r="L24" s="1202"/>
      <c r="M24" s="1202"/>
      <c r="N24" s="1727"/>
      <c r="O24" s="17"/>
    </row>
    <row r="25" spans="2:20" x14ac:dyDescent="0.25">
      <c r="B25" s="17"/>
      <c r="C25" s="17"/>
      <c r="D25" s="15"/>
      <c r="E25" s="114" t="s">
        <v>610</v>
      </c>
      <c r="F25" s="1726" t="str">
        <f>IF(ISBLANK(A_InstallationData!F116),"",A_InstallationData!F116)</f>
        <v/>
      </c>
      <c r="G25" s="1202"/>
      <c r="H25" s="1202"/>
      <c r="I25" s="1202"/>
      <c r="J25" s="1202"/>
      <c r="K25" s="1202"/>
      <c r="L25" s="1202"/>
      <c r="M25" s="1202"/>
      <c r="N25" s="1727"/>
      <c r="O25" s="17"/>
    </row>
    <row r="26" spans="2:20" x14ac:dyDescent="0.25">
      <c r="B26" s="17"/>
      <c r="C26" s="17"/>
      <c r="D26" s="627"/>
      <c r="E26" s="114" t="s">
        <v>611</v>
      </c>
      <c r="F26" s="1726" t="str">
        <f>IF(ISBLANK(A_InstallationData!F117),"",A_InstallationData!F117)</f>
        <v/>
      </c>
      <c r="G26" s="1202"/>
      <c r="H26" s="1202"/>
      <c r="I26" s="1202"/>
      <c r="J26" s="1202"/>
      <c r="K26" s="1202"/>
      <c r="L26" s="1202"/>
      <c r="M26" s="1202"/>
      <c r="N26" s="1727"/>
      <c r="O26" s="17"/>
    </row>
    <row r="27" spans="2:20" x14ac:dyDescent="0.25">
      <c r="B27" s="17"/>
      <c r="C27" s="17"/>
      <c r="D27" s="627"/>
      <c r="E27" s="114" t="s">
        <v>612</v>
      </c>
      <c r="F27" s="1726" t="str">
        <f>IF(ISBLANK(A_InstallationData!F118),"",A_InstallationData!F118)</f>
        <v/>
      </c>
      <c r="G27" s="1202"/>
      <c r="H27" s="1202"/>
      <c r="I27" s="1202"/>
      <c r="J27" s="1202"/>
      <c r="K27" s="1202"/>
      <c r="L27" s="1202"/>
      <c r="M27" s="1202"/>
      <c r="N27" s="1727"/>
      <c r="O27" s="17"/>
    </row>
    <row r="28" spans="2:20" x14ac:dyDescent="0.25">
      <c r="B28" s="17"/>
      <c r="C28" s="17"/>
      <c r="D28" s="627"/>
      <c r="E28" s="114" t="s">
        <v>613</v>
      </c>
      <c r="F28" s="1726" t="str">
        <f>IF(ISBLANK(A_InstallationData!F119),"",A_InstallationData!F119)</f>
        <v/>
      </c>
      <c r="G28" s="1202"/>
      <c r="H28" s="1202"/>
      <c r="I28" s="1202"/>
      <c r="J28" s="1202"/>
      <c r="K28" s="1202"/>
      <c r="L28" s="1202"/>
      <c r="M28" s="1202"/>
      <c r="N28" s="1727"/>
      <c r="O28" s="17"/>
    </row>
    <row r="29" spans="2:20" x14ac:dyDescent="0.25">
      <c r="B29" s="17"/>
      <c r="C29" s="17"/>
      <c r="D29" s="17"/>
      <c r="E29" s="114" t="s">
        <v>614</v>
      </c>
      <c r="F29" s="1726" t="str">
        <f>IF(ISBLANK(A_InstallationData!F120),"",A_InstallationData!F120)</f>
        <v/>
      </c>
      <c r="G29" s="1202"/>
      <c r="H29" s="1202"/>
      <c r="I29" s="1202"/>
      <c r="J29" s="1202"/>
      <c r="K29" s="1202"/>
      <c r="L29" s="1202"/>
      <c r="M29" s="1202"/>
      <c r="N29" s="1727"/>
      <c r="O29" s="17"/>
      <c r="T29" s="9"/>
    </row>
    <row r="30" spans="2:20" ht="5.0999999999999996" customHeight="1" x14ac:dyDescent="0.25">
      <c r="B30" s="17"/>
      <c r="C30" s="17"/>
      <c r="D30" s="17"/>
      <c r="E30" s="113"/>
      <c r="F30" s="113"/>
      <c r="G30" s="113"/>
      <c r="H30" s="113"/>
      <c r="I30" s="113"/>
      <c r="J30" s="113"/>
      <c r="K30" s="113"/>
      <c r="L30" s="113"/>
      <c r="M30" s="113"/>
      <c r="N30" s="17"/>
      <c r="O30" s="17"/>
      <c r="T30" s="9"/>
    </row>
    <row r="31" spans="2:20" ht="13.8" x14ac:dyDescent="0.25">
      <c r="B31" s="17"/>
      <c r="C31" s="19">
        <v>2</v>
      </c>
      <c r="D31" s="1234" t="str">
        <f>Translations!$B$1153</f>
        <v>Technical connections (section A.IV):</v>
      </c>
      <c r="E31" s="1176"/>
      <c r="F31" s="1176"/>
      <c r="G31" s="1176"/>
      <c r="H31" s="1176"/>
      <c r="I31" s="1176"/>
      <c r="J31" s="1176"/>
      <c r="K31" s="1176"/>
      <c r="L31" s="1176"/>
      <c r="M31" s="1176"/>
      <c r="N31" s="1176"/>
      <c r="O31" s="17"/>
      <c r="T31" s="9"/>
    </row>
    <row r="32" spans="2:20" x14ac:dyDescent="0.25">
      <c r="B32" s="17"/>
      <c r="C32" s="17"/>
      <c r="D32" s="17"/>
      <c r="E32" s="1719" t="str">
        <f>Translations!$B$1154</f>
        <v>Connection Name</v>
      </c>
      <c r="F32" s="1565"/>
      <c r="G32" s="1565"/>
      <c r="H32" s="1720"/>
      <c r="I32" s="1719" t="str">
        <f>Translations!$B$1155</f>
        <v>EUTL identifier, if applicable</v>
      </c>
      <c r="J32" s="1565"/>
      <c r="K32" s="1720"/>
      <c r="L32" s="1719" t="str">
        <f>Translations!$B$1156</f>
        <v>Entity Type</v>
      </c>
      <c r="M32" s="1565"/>
      <c r="N32" s="1565"/>
      <c r="O32" s="17"/>
      <c r="T32" s="9"/>
    </row>
    <row r="33" spans="2:20" x14ac:dyDescent="0.25">
      <c r="B33" s="17"/>
      <c r="C33" s="17"/>
      <c r="D33" s="17">
        <v>1</v>
      </c>
      <c r="E33" s="1730" t="str">
        <f t="shared" ref="E33:E42" si="0">IF(INDEX(CNTR_ConnectionEntityList,$D33)=EUconst_NA,"",INDEX(CNTR_ConnectionEntityList,$D33))</f>
        <v/>
      </c>
      <c r="F33" s="1509"/>
      <c r="G33" s="1509"/>
      <c r="H33" s="1189"/>
      <c r="I33" s="1726" t="str">
        <f t="shared" ref="I33:I42" si="1">INDEX(CNTR_ConnectionEntityListCITL_IDs,$D33)</f>
        <v/>
      </c>
      <c r="J33" s="1202"/>
      <c r="K33" s="1727"/>
      <c r="L33" s="1730" t="str">
        <f t="shared" ref="L33:L42" si="2">INDEX(CNTR_ConnectionEntityListTypes,$D33)</f>
        <v/>
      </c>
      <c r="M33" s="1510"/>
      <c r="N33" s="1731"/>
      <c r="O33" s="17"/>
      <c r="T33" s="9"/>
    </row>
    <row r="34" spans="2:20" x14ac:dyDescent="0.25">
      <c r="B34" s="17"/>
      <c r="C34" s="17"/>
      <c r="D34" s="17">
        <v>2</v>
      </c>
      <c r="E34" s="1730" t="str">
        <f t="shared" si="0"/>
        <v/>
      </c>
      <c r="F34" s="1509"/>
      <c r="G34" s="1509"/>
      <c r="H34" s="1189"/>
      <c r="I34" s="1726" t="str">
        <f t="shared" si="1"/>
        <v/>
      </c>
      <c r="J34" s="1202"/>
      <c r="K34" s="1727"/>
      <c r="L34" s="1730" t="str">
        <f t="shared" si="2"/>
        <v/>
      </c>
      <c r="M34" s="1510"/>
      <c r="N34" s="1731"/>
      <c r="O34" s="17"/>
      <c r="T34" s="9"/>
    </row>
    <row r="35" spans="2:20" x14ac:dyDescent="0.25">
      <c r="B35" s="17"/>
      <c r="C35" s="17"/>
      <c r="D35" s="17">
        <v>3</v>
      </c>
      <c r="E35" s="1730" t="str">
        <f t="shared" si="0"/>
        <v/>
      </c>
      <c r="F35" s="1509"/>
      <c r="G35" s="1509"/>
      <c r="H35" s="1189"/>
      <c r="I35" s="1726" t="str">
        <f t="shared" si="1"/>
        <v/>
      </c>
      <c r="J35" s="1202"/>
      <c r="K35" s="1727"/>
      <c r="L35" s="1730" t="str">
        <f t="shared" si="2"/>
        <v/>
      </c>
      <c r="M35" s="1510"/>
      <c r="N35" s="1731"/>
      <c r="O35" s="17"/>
      <c r="T35" s="9"/>
    </row>
    <row r="36" spans="2:20" x14ac:dyDescent="0.25">
      <c r="B36" s="17"/>
      <c r="C36" s="17"/>
      <c r="D36" s="17">
        <v>4</v>
      </c>
      <c r="E36" s="1730" t="str">
        <f t="shared" si="0"/>
        <v/>
      </c>
      <c r="F36" s="1509"/>
      <c r="G36" s="1509"/>
      <c r="H36" s="1189"/>
      <c r="I36" s="1726" t="str">
        <f t="shared" si="1"/>
        <v/>
      </c>
      <c r="J36" s="1202"/>
      <c r="K36" s="1727"/>
      <c r="L36" s="1730" t="str">
        <f t="shared" si="2"/>
        <v/>
      </c>
      <c r="M36" s="1510"/>
      <c r="N36" s="1731"/>
      <c r="O36" s="17"/>
      <c r="T36" s="9"/>
    </row>
    <row r="37" spans="2:20" x14ac:dyDescent="0.25">
      <c r="B37" s="17"/>
      <c r="C37" s="17"/>
      <c r="D37" s="17">
        <v>5</v>
      </c>
      <c r="E37" s="1730" t="str">
        <f t="shared" si="0"/>
        <v/>
      </c>
      <c r="F37" s="1509"/>
      <c r="G37" s="1509"/>
      <c r="H37" s="1189"/>
      <c r="I37" s="1726" t="str">
        <f t="shared" si="1"/>
        <v/>
      </c>
      <c r="J37" s="1202"/>
      <c r="K37" s="1727"/>
      <c r="L37" s="1730" t="str">
        <f t="shared" si="2"/>
        <v/>
      </c>
      <c r="M37" s="1510"/>
      <c r="N37" s="1731"/>
      <c r="O37" s="17"/>
      <c r="T37" s="9"/>
    </row>
    <row r="38" spans="2:20" x14ac:dyDescent="0.25">
      <c r="B38" s="17"/>
      <c r="C38" s="17"/>
      <c r="D38" s="17">
        <v>6</v>
      </c>
      <c r="E38" s="1730" t="str">
        <f t="shared" si="0"/>
        <v/>
      </c>
      <c r="F38" s="1509"/>
      <c r="G38" s="1509"/>
      <c r="H38" s="1189"/>
      <c r="I38" s="1726" t="str">
        <f t="shared" si="1"/>
        <v/>
      </c>
      <c r="J38" s="1202"/>
      <c r="K38" s="1727"/>
      <c r="L38" s="1730" t="str">
        <f t="shared" si="2"/>
        <v/>
      </c>
      <c r="M38" s="1510"/>
      <c r="N38" s="1731"/>
      <c r="O38" s="17"/>
      <c r="T38" s="9"/>
    </row>
    <row r="39" spans="2:20" x14ac:dyDescent="0.25">
      <c r="B39" s="17"/>
      <c r="C39" s="17"/>
      <c r="D39" s="17">
        <v>7</v>
      </c>
      <c r="E39" s="1730" t="str">
        <f t="shared" si="0"/>
        <v/>
      </c>
      <c r="F39" s="1509"/>
      <c r="G39" s="1509"/>
      <c r="H39" s="1189"/>
      <c r="I39" s="1726" t="str">
        <f t="shared" si="1"/>
        <v/>
      </c>
      <c r="J39" s="1202"/>
      <c r="K39" s="1727"/>
      <c r="L39" s="1730" t="str">
        <f t="shared" si="2"/>
        <v/>
      </c>
      <c r="M39" s="1510"/>
      <c r="N39" s="1731"/>
      <c r="O39" s="17"/>
      <c r="T39" s="9"/>
    </row>
    <row r="40" spans="2:20" x14ac:dyDescent="0.25">
      <c r="B40" s="17"/>
      <c r="C40" s="17"/>
      <c r="D40" s="17">
        <v>8</v>
      </c>
      <c r="E40" s="1730" t="str">
        <f t="shared" si="0"/>
        <v/>
      </c>
      <c r="F40" s="1509"/>
      <c r="G40" s="1509"/>
      <c r="H40" s="1189"/>
      <c r="I40" s="1726" t="str">
        <f t="shared" si="1"/>
        <v/>
      </c>
      <c r="J40" s="1202"/>
      <c r="K40" s="1727"/>
      <c r="L40" s="1730" t="str">
        <f t="shared" si="2"/>
        <v/>
      </c>
      <c r="M40" s="1510"/>
      <c r="N40" s="1731"/>
      <c r="O40" s="17"/>
      <c r="T40" s="9"/>
    </row>
    <row r="41" spans="2:20" x14ac:dyDescent="0.25">
      <c r="B41" s="17"/>
      <c r="C41" s="17"/>
      <c r="D41" s="17">
        <v>9</v>
      </c>
      <c r="E41" s="1730" t="str">
        <f t="shared" si="0"/>
        <v/>
      </c>
      <c r="F41" s="1509"/>
      <c r="G41" s="1509"/>
      <c r="H41" s="1189"/>
      <c r="I41" s="1726" t="str">
        <f t="shared" si="1"/>
        <v/>
      </c>
      <c r="J41" s="1202"/>
      <c r="K41" s="1727"/>
      <c r="L41" s="1730" t="str">
        <f t="shared" si="2"/>
        <v/>
      </c>
      <c r="M41" s="1510"/>
      <c r="N41" s="1731"/>
      <c r="O41" s="17"/>
      <c r="T41" s="9"/>
    </row>
    <row r="42" spans="2:20" x14ac:dyDescent="0.25">
      <c r="B42" s="17"/>
      <c r="C42" s="17"/>
      <c r="D42" s="17">
        <v>10</v>
      </c>
      <c r="E42" s="1730" t="str">
        <f t="shared" si="0"/>
        <v/>
      </c>
      <c r="F42" s="1509"/>
      <c r="G42" s="1509"/>
      <c r="H42" s="1189"/>
      <c r="I42" s="1726" t="str">
        <f t="shared" si="1"/>
        <v/>
      </c>
      <c r="J42" s="1202"/>
      <c r="K42" s="1727"/>
      <c r="L42" s="1730" t="str">
        <f t="shared" si="2"/>
        <v/>
      </c>
      <c r="M42" s="1510"/>
      <c r="N42" s="1731"/>
      <c r="O42" s="17"/>
      <c r="T42" s="9"/>
    </row>
    <row r="43" spans="2:20" x14ac:dyDescent="0.25">
      <c r="B43" s="17"/>
      <c r="C43" s="17"/>
      <c r="D43" s="17"/>
      <c r="E43" s="17"/>
      <c r="F43" s="17"/>
      <c r="G43" s="17"/>
      <c r="H43" s="17"/>
      <c r="I43" s="17"/>
      <c r="J43" s="17"/>
      <c r="K43" s="17"/>
      <c r="L43" s="17"/>
      <c r="M43" s="17"/>
      <c r="N43" s="17"/>
      <c r="O43" s="17"/>
      <c r="P43" s="9"/>
      <c r="Q43" s="9"/>
      <c r="R43" s="9"/>
      <c r="S43" s="9"/>
      <c r="T43" s="9"/>
    </row>
    <row r="44" spans="2:20" ht="15.6" x14ac:dyDescent="0.3">
      <c r="B44" s="8"/>
      <c r="C44" s="13" t="s">
        <v>4</v>
      </c>
      <c r="D44" s="14" t="str">
        <f>Translations!$B$1157</f>
        <v>Baseline period and eligibility</v>
      </c>
      <c r="E44" s="14"/>
      <c r="F44" s="14"/>
      <c r="G44" s="14"/>
      <c r="H44" s="14"/>
      <c r="I44" s="14"/>
      <c r="J44" s="14"/>
      <c r="K44" s="14"/>
      <c r="L44" s="14"/>
      <c r="M44" s="14"/>
      <c r="N44" s="14"/>
      <c r="O44" s="17"/>
      <c r="P44" s="9"/>
      <c r="Q44" s="9"/>
      <c r="R44" s="9"/>
      <c r="S44" s="9"/>
      <c r="T44" s="9"/>
    </row>
    <row r="45" spans="2:20" ht="5.0999999999999996" customHeight="1" x14ac:dyDescent="0.25">
      <c r="B45" s="17"/>
      <c r="C45" s="17"/>
      <c r="D45" s="17"/>
      <c r="E45" s="17"/>
      <c r="F45" s="17"/>
      <c r="G45" s="17"/>
      <c r="H45" s="17"/>
      <c r="I45" s="17"/>
      <c r="J45" s="17"/>
      <c r="K45" s="17"/>
      <c r="L45" s="17"/>
      <c r="M45" s="17"/>
      <c r="N45" s="17"/>
      <c r="O45" s="17"/>
      <c r="P45" s="9"/>
      <c r="Q45" s="9"/>
      <c r="R45" s="9"/>
      <c r="S45" s="9"/>
      <c r="T45" s="9"/>
    </row>
    <row r="46" spans="2:20" ht="15" customHeight="1" x14ac:dyDescent="0.25">
      <c r="B46" s="17"/>
      <c r="C46" s="19">
        <v>1</v>
      </c>
      <c r="D46" s="1659" t="str">
        <f>Translations!$B$1158</f>
        <v>Eligibility for free allocation (section A.II.1):</v>
      </c>
      <c r="E46" s="1659"/>
      <c r="F46" s="1659"/>
      <c r="G46" s="1659"/>
      <c r="H46" s="1659"/>
      <c r="I46" s="1659"/>
      <c r="J46" s="1659"/>
      <c r="K46" s="1659"/>
      <c r="L46" s="1659"/>
      <c r="M46" s="1659"/>
      <c r="N46" s="1659"/>
      <c r="O46" s="17"/>
    </row>
    <row r="47" spans="2:20" ht="5.0999999999999996" customHeight="1" x14ac:dyDescent="0.25">
      <c r="B47" s="8"/>
      <c r="C47" s="8"/>
      <c r="D47" s="8"/>
      <c r="E47" s="8"/>
      <c r="F47" s="8"/>
      <c r="G47" s="8"/>
      <c r="H47" s="8"/>
      <c r="I47" s="8"/>
      <c r="J47" s="8"/>
      <c r="K47" s="8"/>
      <c r="L47" s="8"/>
      <c r="M47" s="8"/>
      <c r="N47" s="8"/>
      <c r="O47" s="17"/>
      <c r="P47" s="9"/>
      <c r="Q47" s="9"/>
    </row>
    <row r="48" spans="2:20" ht="12.75" customHeight="1" x14ac:dyDescent="0.25">
      <c r="B48" s="17"/>
      <c r="C48" s="17"/>
      <c r="D48" s="17"/>
      <c r="E48" s="1738" t="str">
        <f>Translations!$B$1159</f>
        <v>Electricity generator:</v>
      </c>
      <c r="F48" s="1738"/>
      <c r="G48" s="1738"/>
      <c r="H48" s="1233"/>
      <c r="I48" s="339" t="str">
        <f>IF(ISBLANK(A_InstallationData!$M$170),"",A_InstallationData!$M$170)</f>
        <v/>
      </c>
      <c r="J48" s="17"/>
      <c r="K48" s="1414" t="str">
        <f>Translations!$B$1160</f>
        <v>CCS Installation:</v>
      </c>
      <c r="L48" s="1260"/>
      <c r="M48" s="230" t="str">
        <f>IF(ISBLANK(A_InstallationData!$M$174),"",A_InstallationData!$M$174)</f>
        <v/>
      </c>
      <c r="N48" s="17"/>
      <c r="O48" s="17"/>
    </row>
    <row r="49" spans="2:20" x14ac:dyDescent="0.25">
      <c r="B49" s="17"/>
      <c r="C49" s="17"/>
      <c r="D49" s="17"/>
      <c r="E49" s="1739" t="s">
        <v>615</v>
      </c>
      <c r="F49" s="1193"/>
      <c r="G49" s="1193"/>
      <c r="H49" s="1193"/>
      <c r="I49" s="1096" t="str">
        <f>A_InstallationData!$M$176</f>
        <v/>
      </c>
      <c r="J49" s="17"/>
      <c r="K49" s="1414" t="str">
        <f>Translations!$B$1162</f>
        <v>Installation produces Heat:</v>
      </c>
      <c r="L49" s="1260"/>
      <c r="M49" s="230" t="str">
        <f>IF(ISBLANK(A_InstallationData!$M$180),"",A_InstallationData!$M$180)</f>
        <v/>
      </c>
      <c r="N49" s="17"/>
      <c r="O49" s="17"/>
      <c r="P49" s="145" t="s">
        <v>616</v>
      </c>
    </row>
    <row r="50" spans="2:20" ht="5.0999999999999996" customHeight="1" thickBot="1" x14ac:dyDescent="0.3">
      <c r="B50" s="8"/>
      <c r="C50" s="8"/>
      <c r="D50" s="8"/>
      <c r="E50" s="8"/>
      <c r="F50" s="8"/>
      <c r="G50" s="8"/>
      <c r="H50" s="8"/>
      <c r="I50" s="8"/>
      <c r="J50" s="8"/>
      <c r="K50" s="8"/>
      <c r="L50" s="8"/>
      <c r="M50" s="8"/>
      <c r="N50" s="8"/>
      <c r="O50" s="17"/>
      <c r="P50" s="9"/>
      <c r="Q50" s="9"/>
    </row>
    <row r="51" spans="2:20" ht="55.2" customHeight="1" thickBot="1" x14ac:dyDescent="0.3">
      <c r="B51" s="17"/>
      <c r="C51" s="17"/>
      <c r="D51" s="17"/>
      <c r="E51" s="1730" t="str">
        <f>IF(ISBLANK(A_InstallationData!E189),IF(ISBLANK(A_InstallationData!E199),EUconst_ERR_Mandatory_ef,A_InstallationData!E199),IF(ISBLANK(A_InstallationData!E199),A_InstallationData!E189,EUconst_ERR_Mandatory_ef))</f>
        <v>It is mandatory that under A.II.1 one of the questions (e) or (f) is answered!</v>
      </c>
      <c r="F51" s="1509"/>
      <c r="G51" s="1509"/>
      <c r="H51" s="1509"/>
      <c r="I51" s="1509"/>
      <c r="J51" s="1509"/>
      <c r="K51" s="1509"/>
      <c r="L51" s="1509"/>
      <c r="M51" s="1189"/>
      <c r="N51" s="17"/>
      <c r="O51" s="17"/>
      <c r="P51" s="215" t="b">
        <f>IF(AND(ISBLANK(E51),ISBLANK(E52)),"",AND(E51=EUconst_ConfirmApplicationForAlloc,E52=EUconst_ConfirmAllowUseOfData))</f>
        <v>0</v>
      </c>
    </row>
    <row r="52" spans="2:20" x14ac:dyDescent="0.25">
      <c r="B52" s="17"/>
      <c r="C52" s="17"/>
      <c r="D52" s="17"/>
      <c r="E52" s="1730" t="str">
        <f>IF(ISBLANK(A_InstallationData!E208),EUconst_ERR_Mandatory_g,A_InstallationData!E208)</f>
        <v/>
      </c>
      <c r="F52" s="1509"/>
      <c r="G52" s="1509"/>
      <c r="H52" s="1509"/>
      <c r="I52" s="1509"/>
      <c r="J52" s="1509"/>
      <c r="K52" s="1509"/>
      <c r="L52" s="1509"/>
      <c r="M52" s="1189"/>
      <c r="N52" s="17"/>
      <c r="O52" s="17"/>
      <c r="P52" s="145" t="s">
        <v>617</v>
      </c>
    </row>
    <row r="53" spans="2:20" ht="5.0999999999999996" customHeight="1" thickBot="1" x14ac:dyDescent="0.3">
      <c r="B53" s="8"/>
      <c r="C53" s="8"/>
      <c r="D53" s="8"/>
      <c r="E53" s="8"/>
      <c r="F53" s="8"/>
      <c r="G53" s="8"/>
      <c r="H53" s="8"/>
      <c r="I53" s="8"/>
      <c r="J53" s="8"/>
      <c r="K53" s="8"/>
      <c r="L53" s="8"/>
      <c r="M53" s="8"/>
      <c r="N53" s="8"/>
      <c r="O53" s="17"/>
      <c r="P53" s="9"/>
      <c r="Q53" s="9"/>
    </row>
    <row r="54" spans="2:20" ht="13.8" thickBot="1" x14ac:dyDescent="0.3">
      <c r="B54" s="17"/>
      <c r="C54" s="17"/>
      <c r="D54" s="17"/>
      <c r="E54" s="1165" t="s">
        <v>618</v>
      </c>
      <c r="F54" s="1176"/>
      <c r="G54" s="1176"/>
      <c r="H54" s="1176"/>
      <c r="I54" s="1176"/>
      <c r="J54" s="1176"/>
      <c r="K54" s="1176"/>
      <c r="L54" s="1737"/>
      <c r="M54" s="106" t="b">
        <f>IF(COUNTA(E51:E52)=0,"",IF(CNTR_ConfirmationOK,IF(OR(CNTR_ApplyLinF=FALSE,M49=TRUE),TRUE,FALSE),FALSE))</f>
        <v>0</v>
      </c>
      <c r="N54" s="17"/>
      <c r="O54" s="17"/>
      <c r="P54" s="145" t="s">
        <v>619</v>
      </c>
    </row>
    <row r="55" spans="2:20" ht="5.0999999999999996" customHeight="1" x14ac:dyDescent="0.25">
      <c r="B55" s="17"/>
      <c r="C55" s="17"/>
      <c r="D55" s="17"/>
      <c r="E55" s="17"/>
      <c r="F55" s="17"/>
      <c r="G55" s="17"/>
      <c r="H55" s="17"/>
      <c r="I55" s="17"/>
      <c r="J55" s="17"/>
      <c r="K55" s="17"/>
      <c r="L55" s="17"/>
      <c r="M55" s="17"/>
      <c r="N55" s="17"/>
      <c r="O55" s="17"/>
    </row>
    <row r="56" spans="2:20" ht="13.8" x14ac:dyDescent="0.25">
      <c r="B56" s="17"/>
      <c r="C56" s="19">
        <v>2</v>
      </c>
      <c r="D56" s="338" t="str">
        <f>Translations!$B$1164</f>
        <v>Baseline years (Section A.II.2)</v>
      </c>
      <c r="E56" s="17"/>
      <c r="F56" s="17"/>
      <c r="G56" s="17"/>
      <c r="H56" s="17"/>
      <c r="I56" s="17"/>
      <c r="J56" s="17"/>
      <c r="K56" s="17"/>
      <c r="L56" s="17"/>
      <c r="M56" s="17"/>
      <c r="N56" s="17"/>
      <c r="O56" s="17"/>
    </row>
    <row r="57" spans="2:20" x14ac:dyDescent="0.25">
      <c r="B57" s="17"/>
      <c r="C57" s="17"/>
      <c r="D57" s="17"/>
      <c r="E57" s="27"/>
      <c r="F57" s="17"/>
      <c r="G57" s="17"/>
      <c r="H57" s="17"/>
      <c r="I57" s="149">
        <f>I$1397</f>
        <v>2019</v>
      </c>
      <c r="J57" s="149">
        <f>J$1397</f>
        <v>2020</v>
      </c>
      <c r="K57" s="149">
        <f>K$1397</f>
        <v>2021</v>
      </c>
      <c r="L57" s="149">
        <f>L$1397</f>
        <v>2022</v>
      </c>
      <c r="M57" s="149">
        <f>M$1397</f>
        <v>2023</v>
      </c>
      <c r="N57" s="17"/>
      <c r="O57" s="17"/>
    </row>
    <row r="58" spans="2:20" x14ac:dyDescent="0.25">
      <c r="B58" s="17"/>
      <c r="C58" s="17"/>
      <c r="D58" s="17"/>
      <c r="E58" s="261" t="str">
        <f>Translations!$B$1165</f>
        <v>Year to be taken into account:</v>
      </c>
      <c r="F58" s="261"/>
      <c r="G58" s="261"/>
      <c r="H58" s="261"/>
      <c r="I58" s="339" t="b">
        <f>IF(ISBLANK(A_InstallationData!I333),"",A_InstallationData!I333)</f>
        <v>0</v>
      </c>
      <c r="J58" s="339" t="b">
        <f>IF(ISBLANK(A_InstallationData!J333),"",A_InstallationData!J333)</f>
        <v>0</v>
      </c>
      <c r="K58" s="339" t="b">
        <f>IF(ISBLANK(A_InstallationData!K333),"",A_InstallationData!K333)</f>
        <v>0</v>
      </c>
      <c r="L58" s="339" t="b">
        <f>IF(ISBLANK(A_InstallationData!L333),"",A_InstallationData!L333)</f>
        <v>0</v>
      </c>
      <c r="M58" s="339" t="b">
        <f>IF(ISBLANK(A_InstallationData!M333),"",A_InstallationData!M333)</f>
        <v>0</v>
      </c>
      <c r="N58" s="17"/>
      <c r="O58" s="17"/>
    </row>
    <row r="59" spans="2:20" x14ac:dyDescent="0.25">
      <c r="B59" s="17"/>
      <c r="C59" s="17"/>
      <c r="D59" s="17"/>
      <c r="E59" s="17"/>
      <c r="F59" s="17"/>
      <c r="G59" s="17"/>
      <c r="H59" s="17"/>
      <c r="I59" s="17"/>
      <c r="J59" s="17"/>
      <c r="K59" s="17"/>
      <c r="L59" s="17"/>
      <c r="M59" s="17"/>
      <c r="N59" s="17"/>
      <c r="O59" s="17"/>
    </row>
    <row r="60" spans="2:20" ht="15.6" x14ac:dyDescent="0.3">
      <c r="B60" s="8"/>
      <c r="C60" s="13" t="s">
        <v>5</v>
      </c>
      <c r="D60" s="14" t="str">
        <f>Translations!$B$1166</f>
        <v>Emissions and Energy Flows</v>
      </c>
      <c r="E60" s="14"/>
      <c r="F60" s="14"/>
      <c r="G60" s="14"/>
      <c r="H60" s="14"/>
      <c r="I60" s="14"/>
      <c r="J60" s="14"/>
      <c r="K60" s="14"/>
      <c r="L60" s="14"/>
      <c r="M60" s="14"/>
      <c r="N60" s="14"/>
      <c r="O60" s="17"/>
      <c r="P60" s="9"/>
      <c r="Q60" s="9"/>
      <c r="R60" s="9"/>
      <c r="S60" s="9"/>
      <c r="T60" s="9"/>
    </row>
    <row r="61" spans="2:20" x14ac:dyDescent="0.25">
      <c r="B61" s="17"/>
      <c r="C61" s="17"/>
      <c r="D61" s="17"/>
      <c r="E61" s="17"/>
      <c r="F61" s="17"/>
      <c r="G61" s="17"/>
      <c r="H61" s="17"/>
      <c r="I61" s="17"/>
      <c r="J61" s="17"/>
      <c r="K61" s="17"/>
      <c r="L61" s="17"/>
      <c r="M61" s="17"/>
      <c r="N61" s="17"/>
      <c r="O61" s="17"/>
    </row>
    <row r="62" spans="2:20" ht="13.8" x14ac:dyDescent="0.25">
      <c r="B62" s="17"/>
      <c r="C62" s="19">
        <v>1</v>
      </c>
      <c r="D62" s="1234" t="str">
        <f>Translations!$B$1167</f>
        <v>Data resulting from input under "Source streams" (Sheets B+C) or from Emissions summary (section D.I)</v>
      </c>
      <c r="E62" s="1176"/>
      <c r="F62" s="1176"/>
      <c r="G62" s="1176"/>
      <c r="H62" s="1176"/>
      <c r="I62" s="1176"/>
      <c r="J62" s="1176"/>
      <c r="K62" s="1176"/>
      <c r="L62" s="1176"/>
      <c r="M62" s="1176"/>
      <c r="N62" s="1176"/>
      <c r="O62" s="17"/>
    </row>
    <row r="63" spans="2:20" ht="5.0999999999999996" customHeight="1" x14ac:dyDescent="0.25">
      <c r="B63" s="17"/>
      <c r="C63" s="17"/>
      <c r="D63" s="17"/>
      <c r="E63" s="17"/>
      <c r="F63" s="17"/>
      <c r="G63" s="17"/>
      <c r="H63" s="17"/>
      <c r="I63" s="17"/>
      <c r="J63" s="17"/>
      <c r="K63" s="17"/>
      <c r="L63" s="17"/>
      <c r="M63" s="17"/>
      <c r="N63" s="17"/>
      <c r="O63" s="17"/>
    </row>
    <row r="64" spans="2:20" x14ac:dyDescent="0.25">
      <c r="B64" s="17"/>
      <c r="C64" s="17"/>
      <c r="D64" s="17"/>
      <c r="E64" s="1259" t="str">
        <f>D_Emissions!E51</f>
        <v>Installation level data:</v>
      </c>
      <c r="F64" s="1259"/>
      <c r="G64" s="1259"/>
      <c r="H64" s="24" t="str">
        <f>D_Emissions!H51</f>
        <v>Unit</v>
      </c>
      <c r="I64" s="128">
        <f>D_Emissions!I51</f>
        <v>2019</v>
      </c>
      <c r="J64" s="128">
        <f>D_Emissions!J51</f>
        <v>2020</v>
      </c>
      <c r="K64" s="128">
        <f>D_Emissions!K51</f>
        <v>2021</v>
      </c>
      <c r="L64" s="128">
        <f>D_Emissions!L51</f>
        <v>2022</v>
      </c>
      <c r="M64" s="128">
        <f>D_Emissions!M51</f>
        <v>2023</v>
      </c>
      <c r="N64" s="17"/>
      <c r="O64" s="17"/>
    </row>
    <row r="65" spans="2:17" x14ac:dyDescent="0.25">
      <c r="B65" s="17"/>
      <c r="C65" s="17"/>
      <c r="D65" s="17"/>
      <c r="E65" s="1248" t="str">
        <f>D_Emissions!E52</f>
        <v>Total CO2 emissions</v>
      </c>
      <c r="F65" s="1248"/>
      <c r="G65" s="1248"/>
      <c r="H65" s="222" t="str">
        <f>D_Emissions!H52</f>
        <v>t CO2 / year</v>
      </c>
      <c r="I65" s="1022" t="str">
        <f>D_Emissions!I52</f>
        <v/>
      </c>
      <c r="J65" s="1022" t="str">
        <f>D_Emissions!J52</f>
        <v/>
      </c>
      <c r="K65" s="1022" t="str">
        <f>D_Emissions!K52</f>
        <v/>
      </c>
      <c r="L65" s="1022" t="str">
        <f>D_Emissions!L52</f>
        <v/>
      </c>
      <c r="M65" s="1022" t="str">
        <f>D_Emissions!M52</f>
        <v/>
      </c>
      <c r="N65" s="17"/>
      <c r="O65" s="17"/>
    </row>
    <row r="66" spans="2:17" x14ac:dyDescent="0.25">
      <c r="B66" s="17"/>
      <c r="C66" s="17"/>
      <c r="D66" s="17"/>
      <c r="E66" s="1251" t="str">
        <f>D_Emissions!E53</f>
        <v>Biomass emissions</v>
      </c>
      <c r="F66" s="1251"/>
      <c r="G66" s="1251"/>
      <c r="H66" s="225" t="str">
        <f>D_Emissions!H53</f>
        <v>t CO2 / year</v>
      </c>
      <c r="I66" s="1023" t="str">
        <f>D_Emissions!I53</f>
        <v/>
      </c>
      <c r="J66" s="1023" t="str">
        <f>D_Emissions!J53</f>
        <v/>
      </c>
      <c r="K66" s="1023" t="str">
        <f>D_Emissions!K53</f>
        <v/>
      </c>
      <c r="L66" s="1023" t="str">
        <f>D_Emissions!L53</f>
        <v/>
      </c>
      <c r="M66" s="1023" t="str">
        <f>D_Emissions!M53</f>
        <v/>
      </c>
      <c r="N66" s="17"/>
      <c r="O66" s="17"/>
    </row>
    <row r="67" spans="2:17" x14ac:dyDescent="0.25">
      <c r="B67" s="17"/>
      <c r="C67" s="17"/>
      <c r="D67" s="17"/>
      <c r="E67" s="1251" t="str">
        <f>D_Emissions!E54</f>
        <v>Total N2O emissions</v>
      </c>
      <c r="F67" s="1251"/>
      <c r="G67" s="1251"/>
      <c r="H67" s="225" t="str">
        <f>D_Emissions!H54</f>
        <v>t CO2e/year</v>
      </c>
      <c r="I67" s="1023" t="str">
        <f>D_Emissions!I54</f>
        <v/>
      </c>
      <c r="J67" s="1023" t="str">
        <f>D_Emissions!J54</f>
        <v/>
      </c>
      <c r="K67" s="1023" t="str">
        <f>D_Emissions!K54</f>
        <v/>
      </c>
      <c r="L67" s="1023" t="str">
        <f>D_Emissions!L54</f>
        <v/>
      </c>
      <c r="M67" s="1023" t="str">
        <f>D_Emissions!M54</f>
        <v/>
      </c>
      <c r="N67" s="17"/>
      <c r="O67" s="17"/>
    </row>
    <row r="68" spans="2:17" x14ac:dyDescent="0.25">
      <c r="B68" s="17"/>
      <c r="C68" s="17"/>
      <c r="D68" s="17"/>
      <c r="E68" s="1254" t="str">
        <f>D_Emissions!E55</f>
        <v>Total PFC emissions</v>
      </c>
      <c r="F68" s="1254"/>
      <c r="G68" s="1254"/>
      <c r="H68" s="227" t="str">
        <f>D_Emissions!H55</f>
        <v>t CO2e/year</v>
      </c>
      <c r="I68" s="1024" t="str">
        <f>D_Emissions!I55</f>
        <v/>
      </c>
      <c r="J68" s="1024" t="str">
        <f>D_Emissions!J55</f>
        <v/>
      </c>
      <c r="K68" s="1024" t="str">
        <f>D_Emissions!K55</f>
        <v/>
      </c>
      <c r="L68" s="1024" t="str">
        <f>D_Emissions!L55</f>
        <v/>
      </c>
      <c r="M68" s="1024" t="str">
        <f>D_Emissions!M55</f>
        <v/>
      </c>
      <c r="N68" s="17"/>
      <c r="O68" s="17"/>
    </row>
    <row r="69" spans="2:17" x14ac:dyDescent="0.25">
      <c r="B69" s="17"/>
      <c r="C69" s="17"/>
      <c r="D69" s="17"/>
      <c r="E69" s="1412" t="str">
        <f>D_Emissions!E56</f>
        <v>Sum of direct emissions</v>
      </c>
      <c r="F69" s="1412"/>
      <c r="G69" s="1412"/>
      <c r="H69" s="41" t="str">
        <f>D_Emissions!H56</f>
        <v>t CO2e/year</v>
      </c>
      <c r="I69" s="1025" t="str">
        <f>D_Emissions!I56</f>
        <v/>
      </c>
      <c r="J69" s="203" t="str">
        <f>D_Emissions!J56</f>
        <v/>
      </c>
      <c r="K69" s="203" t="str">
        <f>D_Emissions!K56</f>
        <v/>
      </c>
      <c r="L69" s="203" t="str">
        <f>D_Emissions!L56</f>
        <v/>
      </c>
      <c r="M69" s="203" t="str">
        <f>D_Emissions!M56</f>
        <v/>
      </c>
      <c r="N69" s="17"/>
      <c r="O69" s="17"/>
    </row>
    <row r="70" spans="2:17" ht="13.8" thickBot="1" x14ac:dyDescent="0.3">
      <c r="B70" s="17"/>
      <c r="C70" s="17"/>
      <c r="D70" s="17"/>
      <c r="E70" s="1387" t="str">
        <f>D_Emissions!E57</f>
        <v>Transferred CO2 exported</v>
      </c>
      <c r="F70" s="1387"/>
      <c r="G70" s="1387"/>
      <c r="H70" s="269" t="str">
        <f>D_Emissions!H57</f>
        <v>t CO2 / year</v>
      </c>
      <c r="I70" s="1026" t="str">
        <f>D_Emissions!I57</f>
        <v/>
      </c>
      <c r="J70" s="1027" t="str">
        <f>D_Emissions!J57</f>
        <v/>
      </c>
      <c r="K70" s="1027" t="str">
        <f>D_Emissions!K57</f>
        <v/>
      </c>
      <c r="L70" s="1027" t="str">
        <f>D_Emissions!L57</f>
        <v/>
      </c>
      <c r="M70" s="1027" t="str">
        <f>D_Emissions!M57</f>
        <v/>
      </c>
      <c r="N70" s="17"/>
      <c r="O70" s="17"/>
    </row>
    <row r="71" spans="2:17" ht="13.8" thickBot="1" x14ac:dyDescent="0.3">
      <c r="B71" s="17"/>
      <c r="C71" s="17"/>
      <c r="D71" s="17"/>
      <c r="E71" s="1436" t="str">
        <f>D_Emissions!E58</f>
        <v>Total direct emissions of the installation</v>
      </c>
      <c r="F71" s="1437"/>
      <c r="G71" s="1437"/>
      <c r="H71" s="270" t="str">
        <f>D_Emissions!H58</f>
        <v>t CO2e/year</v>
      </c>
      <c r="I71" s="271" t="str">
        <f>D_Emissions!I58</f>
        <v/>
      </c>
      <c r="J71" s="271" t="str">
        <f>D_Emissions!J58</f>
        <v/>
      </c>
      <c r="K71" s="271" t="str">
        <f>D_Emissions!K58</f>
        <v/>
      </c>
      <c r="L71" s="271" t="str">
        <f>D_Emissions!L58</f>
        <v/>
      </c>
      <c r="M71" s="273" t="str">
        <f>D_Emissions!M58</f>
        <v/>
      </c>
      <c r="N71" s="17"/>
      <c r="O71" s="17"/>
    </row>
    <row r="72" spans="2:17" ht="13.8" thickBot="1" x14ac:dyDescent="0.3">
      <c r="B72" s="17"/>
      <c r="C72" s="17"/>
      <c r="D72" s="17"/>
      <c r="E72" s="1436" t="str">
        <f>D_Emissions!E59</f>
        <v>Total energy input from fuels</v>
      </c>
      <c r="F72" s="1437"/>
      <c r="G72" s="1437"/>
      <c r="H72" s="270" t="str">
        <f>D_Emissions!H59</f>
        <v>TJ / year</v>
      </c>
      <c r="I72" s="272" t="str">
        <f>D_Emissions!I59</f>
        <v/>
      </c>
      <c r="J72" s="272" t="str">
        <f>D_Emissions!J59</f>
        <v/>
      </c>
      <c r="K72" s="272" t="str">
        <f>D_Emissions!K59</f>
        <v/>
      </c>
      <c r="L72" s="272" t="str">
        <f>D_Emissions!L59</f>
        <v/>
      </c>
      <c r="M72" s="274" t="str">
        <f>D_Emissions!M59</f>
        <v/>
      </c>
      <c r="N72" s="17"/>
      <c r="O72" s="17"/>
    </row>
    <row r="73" spans="2:17" ht="15" customHeight="1" x14ac:dyDescent="0.25">
      <c r="B73" s="17"/>
      <c r="C73" s="17"/>
      <c r="D73" s="17"/>
      <c r="E73" s="17"/>
      <c r="F73" s="17"/>
      <c r="G73" s="17"/>
      <c r="H73" s="17"/>
      <c r="I73" s="17"/>
      <c r="J73" s="17"/>
      <c r="K73" s="17"/>
      <c r="L73" s="17"/>
      <c r="M73" s="17"/>
      <c r="N73" s="17"/>
      <c r="O73" s="17"/>
    </row>
    <row r="74" spans="2:17" ht="13.8" x14ac:dyDescent="0.25">
      <c r="B74" s="17"/>
      <c r="C74" s="19">
        <v>2</v>
      </c>
      <c r="D74" s="1234" t="str">
        <f>Translations!$B$1168</f>
        <v>Attribution of emissions to sub-installations (section D.II)</v>
      </c>
      <c r="E74" s="1176"/>
      <c r="F74" s="1176"/>
      <c r="G74" s="1176"/>
      <c r="H74" s="1176"/>
      <c r="I74" s="1176"/>
      <c r="J74" s="1176"/>
      <c r="K74" s="1176"/>
      <c r="L74" s="1176"/>
      <c r="M74" s="1176"/>
      <c r="N74" s="1176"/>
      <c r="O74" s="17"/>
    </row>
    <row r="75" spans="2:17" ht="5.0999999999999996" customHeight="1" x14ac:dyDescent="0.25">
      <c r="B75" s="8"/>
      <c r="C75" s="8"/>
      <c r="D75" s="8"/>
      <c r="E75" s="8"/>
      <c r="F75" s="8"/>
      <c r="G75" s="8"/>
      <c r="H75" s="8"/>
      <c r="I75" s="8"/>
      <c r="J75" s="8"/>
      <c r="K75" s="8"/>
      <c r="L75" s="8"/>
      <c r="M75" s="8"/>
      <c r="N75" s="8"/>
      <c r="O75" s="17"/>
      <c r="P75" s="9"/>
      <c r="Q75" s="9"/>
    </row>
    <row r="76" spans="2:17" x14ac:dyDescent="0.25">
      <c r="B76" s="8"/>
      <c r="C76" s="8"/>
      <c r="D76" s="17"/>
      <c r="E76" s="1223" t="str">
        <f>Translations!$B$1169</f>
        <v>Data is taken automatically from corresponding entries in sheets F and G in the light blue boxes under each sub-installation.</v>
      </c>
      <c r="F76" s="1176"/>
      <c r="G76" s="1176"/>
      <c r="H76" s="1176"/>
      <c r="I76" s="1176"/>
      <c r="J76" s="1176"/>
      <c r="K76" s="1176"/>
      <c r="L76" s="1176"/>
      <c r="M76" s="1176"/>
      <c r="N76" s="1176"/>
      <c r="O76" s="17"/>
      <c r="P76" s="9"/>
    </row>
    <row r="77" spans="2:17" x14ac:dyDescent="0.25">
      <c r="B77" s="8"/>
      <c r="C77" s="8"/>
      <c r="D77" s="17"/>
      <c r="E77" s="1223" t="str">
        <f>Translations!$B$1170</f>
        <v>The attributable emissions are determined as follows:</v>
      </c>
      <c r="F77" s="1176"/>
      <c r="G77" s="1176"/>
      <c r="H77" s="1176"/>
      <c r="I77" s="1176"/>
      <c r="J77" s="1176"/>
      <c r="K77" s="1176"/>
      <c r="L77" s="1176"/>
      <c r="M77" s="1176"/>
      <c r="N77" s="1176"/>
      <c r="O77" s="17"/>
      <c r="P77" s="9"/>
    </row>
    <row r="78" spans="2:17" ht="25.5" customHeight="1" x14ac:dyDescent="0.25">
      <c r="B78" s="8"/>
      <c r="C78" s="8"/>
      <c r="D78" s="17"/>
      <c r="E78" s="310" t="s">
        <v>620</v>
      </c>
      <c r="F78" s="1314"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78" s="1314"/>
      <c r="H78" s="1314"/>
      <c r="I78" s="1314"/>
      <c r="J78" s="1314"/>
      <c r="K78" s="1314"/>
      <c r="L78" s="1314"/>
      <c r="M78" s="1314"/>
      <c r="N78" s="1314"/>
      <c r="O78" s="17"/>
      <c r="P78" s="9"/>
    </row>
    <row r="79" spans="2:17" ht="12.75" customHeight="1" x14ac:dyDescent="0.25">
      <c r="B79" s="8"/>
      <c r="C79" s="8"/>
      <c r="D79" s="17"/>
      <c r="E79" s="1028" t="s">
        <v>621</v>
      </c>
      <c r="F79" s="1314" t="str">
        <f>Translations!$B$1171</f>
        <v>Emissions associated with further internal source streams</v>
      </c>
      <c r="G79" s="1314"/>
      <c r="H79" s="1314"/>
      <c r="I79" s="1314"/>
      <c r="J79" s="1314"/>
      <c r="K79" s="1314"/>
      <c r="L79" s="1314"/>
      <c r="M79" s="1314"/>
      <c r="N79" s="1314"/>
      <c r="O79" s="17"/>
      <c r="P79" s="9"/>
    </row>
    <row r="80" spans="2:17" ht="12.75" customHeight="1" x14ac:dyDescent="0.25">
      <c r="B80" s="8"/>
      <c r="C80" s="8"/>
      <c r="D80" s="17"/>
      <c r="E80" s="1028" t="s">
        <v>621</v>
      </c>
      <c r="F80" s="1314" t="str">
        <f>Translations!$B$1172</f>
        <v>Amount of GHG imported and exported as feedstock</v>
      </c>
      <c r="G80" s="1314"/>
      <c r="H80" s="1314"/>
      <c r="I80" s="1314"/>
      <c r="J80" s="1314"/>
      <c r="K80" s="1314"/>
      <c r="L80" s="1314"/>
      <c r="M80" s="1314"/>
      <c r="N80" s="1314"/>
      <c r="O80" s="17"/>
      <c r="P80" s="9"/>
    </row>
    <row r="81" spans="2:19" ht="12.75" customHeight="1" x14ac:dyDescent="0.25">
      <c r="B81" s="8"/>
      <c r="C81" s="8"/>
      <c r="D81" s="17"/>
      <c r="E81" s="1028" t="s">
        <v>622</v>
      </c>
      <c r="F81" s="1314" t="s">
        <v>623</v>
      </c>
      <c r="G81" s="1314"/>
      <c r="H81" s="1314"/>
      <c r="I81" s="1314"/>
      <c r="J81" s="1314"/>
      <c r="K81" s="1314"/>
      <c r="L81" s="1314"/>
      <c r="M81" s="1314"/>
      <c r="N81" s="1314"/>
      <c r="O81" s="17"/>
      <c r="P81" s="9"/>
    </row>
    <row r="82" spans="2:19" ht="12.75" customHeight="1" x14ac:dyDescent="0.25">
      <c r="B82" s="8"/>
      <c r="C82" s="8"/>
      <c r="D82" s="17"/>
      <c r="E82" s="1028" t="s">
        <v>214</v>
      </c>
      <c r="F82" s="1314" t="s">
        <v>624</v>
      </c>
      <c r="G82" s="1314"/>
      <c r="H82" s="1314"/>
      <c r="I82" s="1314"/>
      <c r="J82" s="1314"/>
      <c r="K82" s="1314"/>
      <c r="L82" s="1314"/>
      <c r="M82" s="1314"/>
      <c r="N82" s="1314"/>
      <c r="O82" s="17"/>
      <c r="P82" s="9"/>
    </row>
    <row r="83" spans="2:19" x14ac:dyDescent="0.25">
      <c r="B83" s="8"/>
      <c r="C83" s="8"/>
      <c r="D83" s="17"/>
      <c r="E83" s="1028" t="s">
        <v>622</v>
      </c>
      <c r="F83" s="1314" t="s">
        <v>625</v>
      </c>
      <c r="G83" s="1314"/>
      <c r="H83" s="1314"/>
      <c r="I83" s="1314"/>
      <c r="J83" s="1314"/>
      <c r="K83" s="1314"/>
      <c r="L83" s="1314"/>
      <c r="M83" s="1314"/>
      <c r="N83" s="1314"/>
      <c r="O83" s="17"/>
      <c r="P83" s="9"/>
    </row>
    <row r="84" spans="2:19" ht="25.5" customHeight="1" x14ac:dyDescent="0.25">
      <c r="B84" s="8"/>
      <c r="C84" s="8"/>
      <c r="D84" s="17"/>
      <c r="E84" s="1028" t="s">
        <v>214</v>
      </c>
      <c r="F84" s="1314" t="s">
        <v>626</v>
      </c>
      <c r="G84" s="1314"/>
      <c r="H84" s="1314"/>
      <c r="I84" s="1314"/>
      <c r="J84" s="1314"/>
      <c r="K84" s="1314"/>
      <c r="L84" s="1314"/>
      <c r="M84" s="1314"/>
      <c r="N84" s="1314"/>
      <c r="O84" s="17"/>
      <c r="P84" s="9"/>
    </row>
    <row r="85" spans="2:19" x14ac:dyDescent="0.25">
      <c r="B85" s="8"/>
      <c r="C85" s="8"/>
      <c r="D85" s="17"/>
      <c r="E85" s="1028" t="s">
        <v>622</v>
      </c>
      <c r="F85" s="1314" t="str">
        <f>Translations!$B$1177</f>
        <v>Emissions associated with the relevant electricity consumption for sub-installations for which the exchangeability of the fuels and electricity is relevant.</v>
      </c>
      <c r="G85" s="1314"/>
      <c r="H85" s="1314"/>
      <c r="I85" s="1314"/>
      <c r="J85" s="1314"/>
      <c r="K85" s="1314"/>
      <c r="L85" s="1314"/>
      <c r="M85" s="1314"/>
      <c r="N85" s="1314"/>
      <c r="O85" s="17"/>
      <c r="P85" s="9"/>
    </row>
    <row r="86" spans="2:19" x14ac:dyDescent="0.25">
      <c r="B86" s="8"/>
      <c r="C86" s="8"/>
      <c r="D86" s="17"/>
      <c r="E86" s="1028" t="s">
        <v>214</v>
      </c>
      <c r="F86" s="1314" t="str">
        <f>Translations!$B$1178</f>
        <v>Emissions associated with electricity produced other than via measurable heat.</v>
      </c>
      <c r="G86" s="1314"/>
      <c r="H86" s="1314"/>
      <c r="I86" s="1314"/>
      <c r="J86" s="1314"/>
      <c r="K86" s="1314"/>
      <c r="L86" s="1314"/>
      <c r="M86" s="1314"/>
      <c r="N86" s="1314"/>
      <c r="O86" s="17"/>
      <c r="P86" s="9"/>
    </row>
    <row r="87" spans="2:19" ht="25.5" customHeight="1" x14ac:dyDescent="0.25">
      <c r="B87" s="8"/>
      <c r="C87" s="8"/>
      <c r="D87" s="17"/>
      <c r="E87" s="1378" t="str">
        <f>Translations!$B$1179</f>
        <v>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v>
      </c>
      <c r="F87" s="1168"/>
      <c r="G87" s="1168"/>
      <c r="H87" s="1168"/>
      <c r="I87" s="1168"/>
      <c r="J87" s="1168"/>
      <c r="K87" s="1168"/>
      <c r="L87" s="1168"/>
      <c r="M87" s="1168"/>
      <c r="N87" s="1168"/>
      <c r="O87" s="17"/>
      <c r="P87" s="9"/>
    </row>
    <row r="88" spans="2:19" ht="25.5" customHeight="1" x14ac:dyDescent="0.25">
      <c r="B88" s="8"/>
      <c r="C88" s="8"/>
      <c r="D88" s="17"/>
      <c r="E88" s="1028" t="s">
        <v>214</v>
      </c>
      <c r="F88" s="1314" t="str">
        <f>Translations!$B$1180</f>
        <v>where no emission factor for imported or exported heat is applicable or known, i.e. where no such value has been entered. In such cases default values based on the heat BM will be used for calculating the attributable emissions, once known.</v>
      </c>
      <c r="G88" s="1314"/>
      <c r="H88" s="1314"/>
      <c r="I88" s="1314"/>
      <c r="J88" s="1314"/>
      <c r="K88" s="1314"/>
      <c r="L88" s="1314"/>
      <c r="M88" s="1314"/>
      <c r="N88" s="1314"/>
      <c r="O88" s="17"/>
      <c r="P88" s="9"/>
    </row>
    <row r="89" spans="2:19" x14ac:dyDescent="0.25">
      <c r="B89" s="8"/>
      <c r="C89" s="8"/>
      <c r="D89" s="17"/>
      <c r="E89" s="1028" t="s">
        <v>214</v>
      </c>
      <c r="F89" s="1314" t="str">
        <f>Translations!$B$1181</f>
        <v>where waste gases are imported. In this case the fuel BM will be used, once known.</v>
      </c>
      <c r="G89" s="1314"/>
      <c r="H89" s="1314"/>
      <c r="I89" s="1314"/>
      <c r="J89" s="1314"/>
      <c r="K89" s="1314"/>
      <c r="L89" s="1314"/>
      <c r="M89" s="1314"/>
      <c r="N89" s="1314"/>
      <c r="O89" s="17"/>
      <c r="P89" s="9"/>
    </row>
    <row r="90" spans="2:19" ht="25.5" customHeight="1" x14ac:dyDescent="0.25">
      <c r="B90" s="8"/>
      <c r="C90" s="8"/>
      <c r="D90" s="17"/>
      <c r="E90" s="1223" t="str">
        <f>Translations!$B$1182</f>
        <v>The value "other emissions" is displayed for control purposes. It include emissions related to electricity production, flaring other than safety flaring, and other emissions which do not lead to free allocation.</v>
      </c>
      <c r="F90" s="1176"/>
      <c r="G90" s="1176"/>
      <c r="H90" s="1176"/>
      <c r="I90" s="1176"/>
      <c r="J90" s="1176"/>
      <c r="K90" s="1176"/>
      <c r="L90" s="1176"/>
      <c r="M90" s="1176"/>
      <c r="N90" s="1176"/>
      <c r="O90" s="17"/>
      <c r="P90" s="9"/>
    </row>
    <row r="91" spans="2:19" ht="12.75" customHeight="1" x14ac:dyDescent="0.25">
      <c r="B91" s="8"/>
      <c r="C91" s="8"/>
      <c r="D91" s="17"/>
      <c r="E91" s="1223" t="str">
        <f>Translations!$B$1183</f>
        <v>If for at least one sub-installation "not applicable (N.A.)" is shown for any given year, the values for "other emissions" will not be shown either, in order to avoid any confusion.</v>
      </c>
      <c r="F91" s="1176"/>
      <c r="G91" s="1176"/>
      <c r="H91" s="1176"/>
      <c r="I91" s="1176"/>
      <c r="J91" s="1176"/>
      <c r="K91" s="1176"/>
      <c r="L91" s="1176"/>
      <c r="M91" s="1176"/>
      <c r="N91" s="1176"/>
      <c r="O91" s="17"/>
      <c r="P91" s="9"/>
    </row>
    <row r="92" spans="2:19" ht="13.8" thickBot="1" x14ac:dyDescent="0.3">
      <c r="B92" s="8"/>
      <c r="C92" s="8"/>
      <c r="D92" s="15"/>
      <c r="E92" s="1259" t="str">
        <f>Translations!$B$1184</f>
        <v>Sub-installation level data:</v>
      </c>
      <c r="F92" s="1259"/>
      <c r="G92" s="1259"/>
      <c r="H92" s="24" t="str">
        <f>EUconst_Unit</f>
        <v>Unit</v>
      </c>
      <c r="I92" s="128">
        <f>D_Emissions!I$309</f>
        <v>2019</v>
      </c>
      <c r="J92" s="128">
        <f>D_Emissions!J$309</f>
        <v>2020</v>
      </c>
      <c r="K92" s="128">
        <f>D_Emissions!K$309</f>
        <v>2021</v>
      </c>
      <c r="L92" s="128">
        <f>D_Emissions!L$309</f>
        <v>2022</v>
      </c>
      <c r="M92" s="128">
        <f>D_Emissions!M$309</f>
        <v>2023</v>
      </c>
      <c r="N92" s="8"/>
      <c r="O92" s="17"/>
      <c r="S92" s="145" t="s">
        <v>627</v>
      </c>
    </row>
    <row r="93" spans="2:19" x14ac:dyDescent="0.25">
      <c r="B93" s="17"/>
      <c r="C93" s="17"/>
      <c r="D93" s="113"/>
      <c r="E93" s="1740" t="str">
        <f t="shared" ref="E93:E102" si="3">IF(INDEX(CNTR_SubInstListIsProdBM,Q93),INDEX(CNTR_SubInstListNames,Q93),"")</f>
        <v/>
      </c>
      <c r="F93" s="1740"/>
      <c r="G93" s="1740"/>
      <c r="H93" s="291" t="str">
        <f t="shared" ref="H93:H110" si="4">EUconst_tCO2epa</f>
        <v>t CO2e/year</v>
      </c>
      <c r="I93" s="840" t="str">
        <f>IF(ISNUMBER(D_Emissions!I$66),IF($E93="","",IF(SUMIF(F_ProductBM!$R:$R,$S93,F_ProductBM!S:S)&gt;0,EUconst_NA,SUMIF(F_ProductBM!$R:$R,$P93,F_ProductBM!S:S))),"")</f>
        <v/>
      </c>
      <c r="J93" s="840" t="str">
        <f>IF(ISNUMBER(D_Emissions!J$66),IF($E93="","",IF(SUMIF(F_ProductBM!$R:$R,$S93,F_ProductBM!T:T)&gt;0,EUconst_NA,SUMIF(F_ProductBM!$R:$R,$P93,F_ProductBM!T:T))),"")</f>
        <v/>
      </c>
      <c r="K93" s="840" t="str">
        <f>IF(ISNUMBER(D_Emissions!K$66),IF($E93="","",IF(SUMIF(F_ProductBM!$R:$R,$S93,F_ProductBM!U:U)&gt;0,EUconst_NA,SUMIF(F_ProductBM!$R:$R,$P93,F_ProductBM!U:U))),"")</f>
        <v/>
      </c>
      <c r="L93" s="840" t="str">
        <f>IF(ISNUMBER(D_Emissions!L$66),IF($E93="","",IF(SUMIF(F_ProductBM!$R:$R,$S93,F_ProductBM!V:V)&gt;0,EUconst_NA,SUMIF(F_ProductBM!$R:$R,$P93,F_ProductBM!V:V))),"")</f>
        <v/>
      </c>
      <c r="M93" s="840" t="str">
        <f>IF(ISNUMBER(D_Emissions!M$66),IF($E93="","",IF(SUMIF(F_ProductBM!$R:$R,$S93,F_ProductBM!W:W)&gt;0,EUconst_NA,SUMIF(F_ProductBM!$R:$R,$P93,F_ProductBM!W:W))),"")</f>
        <v/>
      </c>
      <c r="N93" s="8"/>
      <c r="O93" s="17"/>
      <c r="P93" s="391" t="str">
        <f t="shared" ref="P93:P107" si="5">EUconst_CNTR_AttributedEmissions &amp; E93</f>
        <v>AttrEmissions_</v>
      </c>
      <c r="Q93" s="1029">
        <v>1</v>
      </c>
      <c r="S93" s="63" t="str">
        <f t="shared" ref="S93:S109" si="6">EUconst_ERR_AttrEmBMapplied &amp; E93</f>
        <v>ERR_AttrEmBM_</v>
      </c>
    </row>
    <row r="94" spans="2:19" x14ac:dyDescent="0.25">
      <c r="B94" s="17"/>
      <c r="C94" s="17"/>
      <c r="D94" s="113"/>
      <c r="E94" s="1448" t="str">
        <f t="shared" si="3"/>
        <v/>
      </c>
      <c r="F94" s="1448"/>
      <c r="G94" s="1448"/>
      <c r="H94" s="1030" t="str">
        <f t="shared" si="4"/>
        <v>t CO2e/year</v>
      </c>
      <c r="I94" s="1031" t="str">
        <f>IF(ISNUMBER(D_Emissions!I$66),IF($E94="","",IF(SUMIF(F_ProductBM!$R:$R,$S94,F_ProductBM!S:S)&gt;0,EUconst_NA,SUMIF(F_ProductBM!$R:$R,$P94,F_ProductBM!S:S))),"")</f>
        <v/>
      </c>
      <c r="J94" s="1031" t="str">
        <f>IF(ISNUMBER(D_Emissions!J$66),IF($E94="","",IF(SUMIF(F_ProductBM!$R:$R,$S94,F_ProductBM!T:T)&gt;0,EUconst_NA,SUMIF(F_ProductBM!$R:$R,$P94,F_ProductBM!T:T))),"")</f>
        <v/>
      </c>
      <c r="K94" s="1031" t="str">
        <f>IF(ISNUMBER(D_Emissions!K$66),IF($E94="","",IF(SUMIF(F_ProductBM!$R:$R,$S94,F_ProductBM!U:U)&gt;0,EUconst_NA,SUMIF(F_ProductBM!$R:$R,$P94,F_ProductBM!U:U))),"")</f>
        <v/>
      </c>
      <c r="L94" s="1031" t="str">
        <f>IF(ISNUMBER(D_Emissions!L$66),IF($E94="","",IF(SUMIF(F_ProductBM!$R:$R,$S94,F_ProductBM!V:V)&gt;0,EUconst_NA,SUMIF(F_ProductBM!$R:$R,$P94,F_ProductBM!V:V))),"")</f>
        <v/>
      </c>
      <c r="M94" s="1031" t="str">
        <f>IF(ISNUMBER(D_Emissions!M$66),IF($E94="","",IF(SUMIF(F_ProductBM!$R:$R,$S94,F_ProductBM!W:W)&gt;0,EUconst_NA,SUMIF(F_ProductBM!$R:$R,$P94,F_ProductBM!W:W))),"")</f>
        <v/>
      </c>
      <c r="N94" s="8"/>
      <c r="O94" s="17"/>
      <c r="P94" s="285" t="str">
        <f t="shared" si="5"/>
        <v>AttrEmissions_</v>
      </c>
      <c r="Q94" s="1032">
        <v>2</v>
      </c>
      <c r="S94" s="63" t="str">
        <f t="shared" si="6"/>
        <v>ERR_AttrEmBM_</v>
      </c>
    </row>
    <row r="95" spans="2:19" ht="12.75" customHeight="1" x14ac:dyDescent="0.25">
      <c r="B95" s="17"/>
      <c r="C95" s="17"/>
      <c r="D95" s="113"/>
      <c r="E95" s="1448" t="str">
        <f t="shared" si="3"/>
        <v/>
      </c>
      <c r="F95" s="1448"/>
      <c r="G95" s="1448"/>
      <c r="H95" s="1030" t="str">
        <f t="shared" si="4"/>
        <v>t CO2e/year</v>
      </c>
      <c r="I95" s="1031" t="str">
        <f>IF(ISNUMBER(D_Emissions!I$66),IF($E95="","",IF(SUMIF(F_ProductBM!$R:$R,$S95,F_ProductBM!S:S)&gt;0,EUconst_NA,SUMIF(F_ProductBM!$R:$R,$P95,F_ProductBM!S:S))),"")</f>
        <v/>
      </c>
      <c r="J95" s="1031" t="str">
        <f>IF(ISNUMBER(D_Emissions!J$66),IF($E95="","",IF(SUMIF(F_ProductBM!$R:$R,$S95,F_ProductBM!T:T)&gt;0,EUconst_NA,SUMIF(F_ProductBM!$R:$R,$P95,F_ProductBM!T:T))),"")</f>
        <v/>
      </c>
      <c r="K95" s="1031" t="str">
        <f>IF(ISNUMBER(D_Emissions!K$66),IF($E95="","",IF(SUMIF(F_ProductBM!$R:$R,$S95,F_ProductBM!U:U)&gt;0,EUconst_NA,SUMIF(F_ProductBM!$R:$R,$P95,F_ProductBM!U:U))),"")</f>
        <v/>
      </c>
      <c r="L95" s="1031" t="str">
        <f>IF(ISNUMBER(D_Emissions!L$66),IF($E95="","",IF(SUMIF(F_ProductBM!$R:$R,$S95,F_ProductBM!V:V)&gt;0,EUconst_NA,SUMIF(F_ProductBM!$R:$R,$P95,F_ProductBM!V:V))),"")</f>
        <v/>
      </c>
      <c r="M95" s="1031" t="str">
        <f>IF(ISNUMBER(D_Emissions!M$66),IF($E95="","",IF(SUMIF(F_ProductBM!$R:$R,$S95,F_ProductBM!W:W)&gt;0,EUconst_NA,SUMIF(F_ProductBM!$R:$R,$P95,F_ProductBM!W:W))),"")</f>
        <v/>
      </c>
      <c r="N95" s="8"/>
      <c r="O95" s="17"/>
      <c r="P95" s="285" t="str">
        <f t="shared" si="5"/>
        <v>AttrEmissions_</v>
      </c>
      <c r="Q95" s="1032">
        <v>3</v>
      </c>
      <c r="S95" s="63" t="str">
        <f t="shared" si="6"/>
        <v>ERR_AttrEmBM_</v>
      </c>
    </row>
    <row r="96" spans="2:19" x14ac:dyDescent="0.25">
      <c r="B96" s="17"/>
      <c r="C96" s="17"/>
      <c r="D96" s="113"/>
      <c r="E96" s="1448" t="str">
        <f t="shared" si="3"/>
        <v/>
      </c>
      <c r="F96" s="1448"/>
      <c r="G96" s="1448"/>
      <c r="H96" s="1030" t="str">
        <f t="shared" si="4"/>
        <v>t CO2e/year</v>
      </c>
      <c r="I96" s="1031" t="str">
        <f>IF(ISNUMBER(D_Emissions!I$66),IF($E96="","",IF(SUMIF(F_ProductBM!$R:$R,$S96,F_ProductBM!S:S)&gt;0,EUconst_NA,SUMIF(F_ProductBM!$R:$R,$P96,F_ProductBM!S:S))),"")</f>
        <v/>
      </c>
      <c r="J96" s="1031" t="str">
        <f>IF(ISNUMBER(D_Emissions!J$66),IF($E96="","",IF(SUMIF(F_ProductBM!$R:$R,$S96,F_ProductBM!T:T)&gt;0,EUconst_NA,SUMIF(F_ProductBM!$R:$R,$P96,F_ProductBM!T:T))),"")</f>
        <v/>
      </c>
      <c r="K96" s="1031" t="str">
        <f>IF(ISNUMBER(D_Emissions!K$66),IF($E96="","",IF(SUMIF(F_ProductBM!$R:$R,$S96,F_ProductBM!U:U)&gt;0,EUconst_NA,SUMIF(F_ProductBM!$R:$R,$P96,F_ProductBM!U:U))),"")</f>
        <v/>
      </c>
      <c r="L96" s="1031" t="str">
        <f>IF(ISNUMBER(D_Emissions!L$66),IF($E96="","",IF(SUMIF(F_ProductBM!$R:$R,$S96,F_ProductBM!V:V)&gt;0,EUconst_NA,SUMIF(F_ProductBM!$R:$R,$P96,F_ProductBM!V:V))),"")</f>
        <v/>
      </c>
      <c r="M96" s="1031" t="str">
        <f>IF(ISNUMBER(D_Emissions!M$66),IF($E96="","",IF(SUMIF(F_ProductBM!$R:$R,$S96,F_ProductBM!W:W)&gt;0,EUconst_NA,SUMIF(F_ProductBM!$R:$R,$P96,F_ProductBM!W:W))),"")</f>
        <v/>
      </c>
      <c r="N96" s="8"/>
      <c r="O96" s="17"/>
      <c r="P96" s="285" t="str">
        <f t="shared" si="5"/>
        <v>AttrEmissions_</v>
      </c>
      <c r="Q96" s="1032">
        <v>4</v>
      </c>
      <c r="S96" s="63" t="str">
        <f t="shared" si="6"/>
        <v>ERR_AttrEmBM_</v>
      </c>
    </row>
    <row r="97" spans="2:19" x14ac:dyDescent="0.25">
      <c r="B97" s="17"/>
      <c r="C97" s="17"/>
      <c r="D97" s="113"/>
      <c r="E97" s="1448" t="str">
        <f t="shared" si="3"/>
        <v/>
      </c>
      <c r="F97" s="1448"/>
      <c r="G97" s="1448"/>
      <c r="H97" s="1030" t="str">
        <f t="shared" si="4"/>
        <v>t CO2e/year</v>
      </c>
      <c r="I97" s="1031" t="str">
        <f>IF(ISNUMBER(D_Emissions!I$66),IF($E97="","",IF(SUMIF(F_ProductBM!$R:$R,$S97,F_ProductBM!S:S)&gt;0,EUconst_NA,SUMIF(F_ProductBM!$R:$R,$P97,F_ProductBM!S:S))),"")</f>
        <v/>
      </c>
      <c r="J97" s="1031" t="str">
        <f>IF(ISNUMBER(D_Emissions!J$66),IF($E97="","",IF(SUMIF(F_ProductBM!$R:$R,$S97,F_ProductBM!T:T)&gt;0,EUconst_NA,SUMIF(F_ProductBM!$R:$R,$P97,F_ProductBM!T:T))),"")</f>
        <v/>
      </c>
      <c r="K97" s="1031" t="str">
        <f>IF(ISNUMBER(D_Emissions!K$66),IF($E97="","",IF(SUMIF(F_ProductBM!$R:$R,$S97,F_ProductBM!U:U)&gt;0,EUconst_NA,SUMIF(F_ProductBM!$R:$R,$P97,F_ProductBM!U:U))),"")</f>
        <v/>
      </c>
      <c r="L97" s="1031" t="str">
        <f>IF(ISNUMBER(D_Emissions!L$66),IF($E97="","",IF(SUMIF(F_ProductBM!$R:$R,$S97,F_ProductBM!V:V)&gt;0,EUconst_NA,SUMIF(F_ProductBM!$R:$R,$P97,F_ProductBM!V:V))),"")</f>
        <v/>
      </c>
      <c r="M97" s="1031" t="str">
        <f>IF(ISNUMBER(D_Emissions!M$66),IF($E97="","",IF(SUMIF(F_ProductBM!$R:$R,$S97,F_ProductBM!W:W)&gt;0,EUconst_NA,SUMIF(F_ProductBM!$R:$R,$P97,F_ProductBM!W:W))),"")</f>
        <v/>
      </c>
      <c r="N97" s="8"/>
      <c r="O97" s="17"/>
      <c r="P97" s="285" t="str">
        <f t="shared" si="5"/>
        <v>AttrEmissions_</v>
      </c>
      <c r="Q97" s="1032">
        <v>5</v>
      </c>
      <c r="S97" s="63" t="str">
        <f t="shared" si="6"/>
        <v>ERR_AttrEmBM_</v>
      </c>
    </row>
    <row r="98" spans="2:19" ht="12.75" customHeight="1" x14ac:dyDescent="0.25">
      <c r="B98" s="17"/>
      <c r="C98" s="17"/>
      <c r="D98" s="113"/>
      <c r="E98" s="1448" t="str">
        <f t="shared" si="3"/>
        <v/>
      </c>
      <c r="F98" s="1448"/>
      <c r="G98" s="1448"/>
      <c r="H98" s="1030" t="str">
        <f t="shared" si="4"/>
        <v>t CO2e/year</v>
      </c>
      <c r="I98" s="1031" t="str">
        <f>IF(ISNUMBER(D_Emissions!I$66),IF($E98="","",IF(SUMIF(F_ProductBM!$R:$R,$S98,F_ProductBM!S:S)&gt;0,EUconst_NA,SUMIF(F_ProductBM!$R:$R,$P98,F_ProductBM!S:S))),"")</f>
        <v/>
      </c>
      <c r="J98" s="1031" t="str">
        <f>IF(ISNUMBER(D_Emissions!J$66),IF($E98="","",IF(SUMIF(F_ProductBM!$R:$R,$S98,F_ProductBM!T:T)&gt;0,EUconst_NA,SUMIF(F_ProductBM!$R:$R,$P98,F_ProductBM!T:T))),"")</f>
        <v/>
      </c>
      <c r="K98" s="1031" t="str">
        <f>IF(ISNUMBER(D_Emissions!K$66),IF($E98="","",IF(SUMIF(F_ProductBM!$R:$R,$S98,F_ProductBM!U:U)&gt;0,EUconst_NA,SUMIF(F_ProductBM!$R:$R,$P98,F_ProductBM!U:U))),"")</f>
        <v/>
      </c>
      <c r="L98" s="1031" t="str">
        <f>IF(ISNUMBER(D_Emissions!L$66),IF($E98="","",IF(SUMIF(F_ProductBM!$R:$R,$S98,F_ProductBM!V:V)&gt;0,EUconst_NA,SUMIF(F_ProductBM!$R:$R,$P98,F_ProductBM!V:V))),"")</f>
        <v/>
      </c>
      <c r="M98" s="1031" t="str">
        <f>IF(ISNUMBER(D_Emissions!M$66),IF($E98="","",IF(SUMIF(F_ProductBM!$R:$R,$S98,F_ProductBM!W:W)&gt;0,EUconst_NA,SUMIF(F_ProductBM!$R:$R,$P98,F_ProductBM!W:W))),"")</f>
        <v/>
      </c>
      <c r="N98" s="8"/>
      <c r="O98" s="17"/>
      <c r="P98" s="285" t="str">
        <f t="shared" si="5"/>
        <v>AttrEmissions_</v>
      </c>
      <c r="Q98" s="1032">
        <v>6</v>
      </c>
      <c r="S98" s="63" t="str">
        <f t="shared" si="6"/>
        <v>ERR_AttrEmBM_</v>
      </c>
    </row>
    <row r="99" spans="2:19" ht="12.75" customHeight="1" x14ac:dyDescent="0.25">
      <c r="B99" s="17"/>
      <c r="C99" s="17"/>
      <c r="D99" s="113"/>
      <c r="E99" s="1448" t="str">
        <f t="shared" si="3"/>
        <v/>
      </c>
      <c r="F99" s="1448"/>
      <c r="G99" s="1448"/>
      <c r="H99" s="1030" t="str">
        <f t="shared" si="4"/>
        <v>t CO2e/year</v>
      </c>
      <c r="I99" s="1031" t="str">
        <f>IF(ISNUMBER(D_Emissions!I$66),IF($E99="","",IF(SUMIF(F_ProductBM!$R:$R,$S99,F_ProductBM!S:S)&gt;0,EUconst_NA,SUMIF(F_ProductBM!$R:$R,$P99,F_ProductBM!S:S))),"")</f>
        <v/>
      </c>
      <c r="J99" s="1031" t="str">
        <f>IF(ISNUMBER(D_Emissions!J$66),IF($E99="","",IF(SUMIF(F_ProductBM!$R:$R,$S99,F_ProductBM!T:T)&gt;0,EUconst_NA,SUMIF(F_ProductBM!$R:$R,$P99,F_ProductBM!T:T))),"")</f>
        <v/>
      </c>
      <c r="K99" s="1031" t="str">
        <f>IF(ISNUMBER(D_Emissions!K$66),IF($E99="","",IF(SUMIF(F_ProductBM!$R:$R,$S99,F_ProductBM!U:U)&gt;0,EUconst_NA,SUMIF(F_ProductBM!$R:$R,$P99,F_ProductBM!U:U))),"")</f>
        <v/>
      </c>
      <c r="L99" s="1031" t="str">
        <f>IF(ISNUMBER(D_Emissions!L$66),IF($E99="","",IF(SUMIF(F_ProductBM!$R:$R,$S99,F_ProductBM!V:V)&gt;0,EUconst_NA,SUMIF(F_ProductBM!$R:$R,$P99,F_ProductBM!V:V))),"")</f>
        <v/>
      </c>
      <c r="M99" s="1031" t="str">
        <f>IF(ISNUMBER(D_Emissions!M$66),IF($E99="","",IF(SUMIF(F_ProductBM!$R:$R,$S99,F_ProductBM!W:W)&gt;0,EUconst_NA,SUMIF(F_ProductBM!$R:$R,$P99,F_ProductBM!W:W))),"")</f>
        <v/>
      </c>
      <c r="N99" s="8"/>
      <c r="O99" s="17"/>
      <c r="P99" s="285" t="str">
        <f t="shared" si="5"/>
        <v>AttrEmissions_</v>
      </c>
      <c r="Q99" s="1032">
        <v>7</v>
      </c>
      <c r="S99" s="63" t="str">
        <f t="shared" si="6"/>
        <v>ERR_AttrEmBM_</v>
      </c>
    </row>
    <row r="100" spans="2:19" x14ac:dyDescent="0.25">
      <c r="B100" s="17"/>
      <c r="C100" s="17"/>
      <c r="D100" s="113"/>
      <c r="E100" s="1448" t="str">
        <f t="shared" si="3"/>
        <v/>
      </c>
      <c r="F100" s="1448"/>
      <c r="G100" s="1448"/>
      <c r="H100" s="1030" t="str">
        <f t="shared" si="4"/>
        <v>t CO2e/year</v>
      </c>
      <c r="I100" s="1031" t="str">
        <f>IF(ISNUMBER(D_Emissions!I$66),IF($E100="","",IF(SUMIF(F_ProductBM!$R:$R,$S100,F_ProductBM!S:S)&gt;0,EUconst_NA,SUMIF(F_ProductBM!$R:$R,$P100,F_ProductBM!S:S))),"")</f>
        <v/>
      </c>
      <c r="J100" s="1031" t="str">
        <f>IF(ISNUMBER(D_Emissions!J$66),IF($E100="","",IF(SUMIF(F_ProductBM!$R:$R,$S100,F_ProductBM!T:T)&gt;0,EUconst_NA,SUMIF(F_ProductBM!$R:$R,$P100,F_ProductBM!T:T))),"")</f>
        <v/>
      </c>
      <c r="K100" s="1031" t="str">
        <f>IF(ISNUMBER(D_Emissions!K$66),IF($E100="","",IF(SUMIF(F_ProductBM!$R:$R,$S100,F_ProductBM!U:U)&gt;0,EUconst_NA,SUMIF(F_ProductBM!$R:$R,$P100,F_ProductBM!U:U))),"")</f>
        <v/>
      </c>
      <c r="L100" s="1031" t="str">
        <f>IF(ISNUMBER(D_Emissions!L$66),IF($E100="","",IF(SUMIF(F_ProductBM!$R:$R,$S100,F_ProductBM!V:V)&gt;0,EUconst_NA,SUMIF(F_ProductBM!$R:$R,$P100,F_ProductBM!V:V))),"")</f>
        <v/>
      </c>
      <c r="M100" s="1031" t="str">
        <f>IF(ISNUMBER(D_Emissions!M$66),IF($E100="","",IF(SUMIF(F_ProductBM!$R:$R,$S100,F_ProductBM!W:W)&gt;0,EUconst_NA,SUMIF(F_ProductBM!$R:$R,$P100,F_ProductBM!W:W))),"")</f>
        <v/>
      </c>
      <c r="N100" s="8"/>
      <c r="O100" s="17"/>
      <c r="P100" s="285" t="str">
        <f t="shared" si="5"/>
        <v>AttrEmissions_</v>
      </c>
      <c r="Q100" s="1032">
        <v>8</v>
      </c>
      <c r="S100" s="63" t="str">
        <f t="shared" si="6"/>
        <v>ERR_AttrEmBM_</v>
      </c>
    </row>
    <row r="101" spans="2:19" ht="12.75" customHeight="1" x14ac:dyDescent="0.25">
      <c r="B101" s="17"/>
      <c r="C101" s="17"/>
      <c r="D101" s="113"/>
      <c r="E101" s="1448" t="str">
        <f t="shared" si="3"/>
        <v/>
      </c>
      <c r="F101" s="1448"/>
      <c r="G101" s="1448"/>
      <c r="H101" s="1030" t="str">
        <f t="shared" si="4"/>
        <v>t CO2e/year</v>
      </c>
      <c r="I101" s="1031" t="str">
        <f>IF(ISNUMBER(D_Emissions!I$66),IF($E101="","",IF(SUMIF(F_ProductBM!$R:$R,$S101,F_ProductBM!S:S)&gt;0,EUconst_NA,SUMIF(F_ProductBM!$R:$R,$P101,F_ProductBM!S:S))),"")</f>
        <v/>
      </c>
      <c r="J101" s="1031" t="str">
        <f>IF(ISNUMBER(D_Emissions!J$66),IF($E101="","",IF(SUMIF(F_ProductBM!$R:$R,$S101,F_ProductBM!T:T)&gt;0,EUconst_NA,SUMIF(F_ProductBM!$R:$R,$P101,F_ProductBM!T:T))),"")</f>
        <v/>
      </c>
      <c r="K101" s="1031" t="str">
        <f>IF(ISNUMBER(D_Emissions!K$66),IF($E101="","",IF(SUMIF(F_ProductBM!$R:$R,$S101,F_ProductBM!U:U)&gt;0,EUconst_NA,SUMIF(F_ProductBM!$R:$R,$P101,F_ProductBM!U:U))),"")</f>
        <v/>
      </c>
      <c r="L101" s="1031" t="str">
        <f>IF(ISNUMBER(D_Emissions!L$66),IF($E101="","",IF(SUMIF(F_ProductBM!$R:$R,$S101,F_ProductBM!V:V)&gt;0,EUconst_NA,SUMIF(F_ProductBM!$R:$R,$P101,F_ProductBM!V:V))),"")</f>
        <v/>
      </c>
      <c r="M101" s="1031" t="str">
        <f>IF(ISNUMBER(D_Emissions!M$66),IF($E101="","",IF(SUMIF(F_ProductBM!$R:$R,$S101,F_ProductBM!W:W)&gt;0,EUconst_NA,SUMIF(F_ProductBM!$R:$R,$P101,F_ProductBM!W:W))),"")</f>
        <v/>
      </c>
      <c r="N101" s="8"/>
      <c r="O101" s="17"/>
      <c r="P101" s="285" t="str">
        <f t="shared" si="5"/>
        <v>AttrEmissions_</v>
      </c>
      <c r="Q101" s="1032">
        <v>9</v>
      </c>
      <c r="S101" s="63" t="str">
        <f t="shared" si="6"/>
        <v>ERR_AttrEmBM_</v>
      </c>
    </row>
    <row r="102" spans="2:19" ht="13.5" customHeight="1" thickBot="1" x14ac:dyDescent="0.3">
      <c r="B102" s="17"/>
      <c r="C102" s="17"/>
      <c r="D102" s="113"/>
      <c r="E102" s="1465" t="str">
        <f t="shared" si="3"/>
        <v/>
      </c>
      <c r="F102" s="1465"/>
      <c r="G102" s="1465"/>
      <c r="H102" s="927" t="str">
        <f t="shared" si="4"/>
        <v>t CO2e/year</v>
      </c>
      <c r="I102" s="841" t="str">
        <f>IF(ISNUMBER(D_Emissions!I$66),IF($E102="","",IF(SUMIF(F_ProductBM!$R:$R,$S102,F_ProductBM!S:S)&gt;0,EUconst_NA,SUMIF(F_ProductBM!$R:$R,$P102,F_ProductBM!S:S))),"")</f>
        <v/>
      </c>
      <c r="J102" s="841" t="str">
        <f>IF(ISNUMBER(D_Emissions!J$66),IF($E102="","",IF(SUMIF(F_ProductBM!$R:$R,$S102,F_ProductBM!T:T)&gt;0,EUconst_NA,SUMIF(F_ProductBM!$R:$R,$P102,F_ProductBM!T:T))),"")</f>
        <v/>
      </c>
      <c r="K102" s="841" t="str">
        <f>IF(ISNUMBER(D_Emissions!K$66),IF($E102="","",IF(SUMIF(F_ProductBM!$R:$R,$S102,F_ProductBM!U:U)&gt;0,EUconst_NA,SUMIF(F_ProductBM!$R:$R,$P102,F_ProductBM!U:U))),"")</f>
        <v/>
      </c>
      <c r="L102" s="841" t="str">
        <f>IF(ISNUMBER(D_Emissions!L$66),IF($E102="","",IF(SUMIF(F_ProductBM!$R:$R,$S102,F_ProductBM!V:V)&gt;0,EUconst_NA,SUMIF(F_ProductBM!$R:$R,$P102,F_ProductBM!V:V))),"")</f>
        <v/>
      </c>
      <c r="M102" s="841" t="str">
        <f>IF(ISNUMBER(D_Emissions!M$66),IF($E102="","",IF(SUMIF(F_ProductBM!$R:$R,$S102,F_ProductBM!W:W)&gt;0,EUconst_NA,SUMIF(F_ProductBM!$R:$R,$P102,F_ProductBM!W:W))),"")</f>
        <v/>
      </c>
      <c r="N102" s="8"/>
      <c r="O102" s="17"/>
      <c r="P102" s="286" t="str">
        <f t="shared" si="5"/>
        <v>AttrEmissions_</v>
      </c>
      <c r="Q102" s="1033">
        <v>10</v>
      </c>
      <c r="S102" s="63" t="str">
        <f t="shared" si="6"/>
        <v>ERR_AttrEmBM_</v>
      </c>
    </row>
    <row r="103" spans="2:19" ht="12.75" customHeight="1" x14ac:dyDescent="0.25">
      <c r="B103" s="17"/>
      <c r="C103" s="17"/>
      <c r="D103" s="113"/>
      <c r="E103" s="1248" t="str">
        <f t="shared" ref="E103:E109" si="7">INDEX(EUconst_FallBackListNames,Q103)</f>
        <v>Heat benchmark sub-installation, CL</v>
      </c>
      <c r="F103" s="1248"/>
      <c r="G103" s="1248"/>
      <c r="H103" s="1030" t="str">
        <f t="shared" si="4"/>
        <v>t CO2e/year</v>
      </c>
      <c r="I103" s="1031" t="str">
        <f>IF(ISNUMBER(D_Emissions!I$66),IF(INDEX(CNTR_FallBackSubInstRelevant,$Q103),IF(SUMIF('G_Fall-back'!$R:$R,$S103,'G_Fall-back'!S:S)&gt;0,EUconst_NA,SUMIF('G_Fall-back'!$R:$R,$P103,'G_Fall-back'!S:S)),""),"")</f>
        <v/>
      </c>
      <c r="J103" s="1031" t="str">
        <f>IF(ISNUMBER(D_Emissions!J$66),IF(INDEX(CNTR_FallBackSubInstRelevant,$Q103),IF(SUMIF('G_Fall-back'!$R:$R,$S103,'G_Fall-back'!T:T)&gt;0,EUconst_NA,SUMIF('G_Fall-back'!$R:$R,$P103,'G_Fall-back'!T:T)),""),"")</f>
        <v/>
      </c>
      <c r="K103" s="1031" t="str">
        <f>IF(ISNUMBER(D_Emissions!K$66),IF(INDEX(CNTR_FallBackSubInstRelevant,$Q103),IF(SUMIF('G_Fall-back'!$R:$R,$S103,'G_Fall-back'!U:U)&gt;0,EUconst_NA,SUMIF('G_Fall-back'!$R:$R,$P103,'G_Fall-back'!U:U)),""),"")</f>
        <v/>
      </c>
      <c r="L103" s="1031" t="str">
        <f>IF(ISNUMBER(D_Emissions!L$66),IF(INDEX(CNTR_FallBackSubInstRelevant,$Q103),IF(SUMIF('G_Fall-back'!$R:$R,$S103,'G_Fall-back'!V:V)&gt;0,EUconst_NA,SUMIF('G_Fall-back'!$R:$R,$P103,'G_Fall-back'!V:V)),""),"")</f>
        <v/>
      </c>
      <c r="M103" s="1031" t="str">
        <f>IF(ISNUMBER(D_Emissions!M$66),IF(INDEX(CNTR_FallBackSubInstRelevant,$Q103),IF(SUMIF('G_Fall-back'!$R:$R,$S103,'G_Fall-back'!W:W)&gt;0,EUconst_NA,SUMIF('G_Fall-back'!$R:$R,$P103,'G_Fall-back'!W:W)),""),"")</f>
        <v/>
      </c>
      <c r="N103" s="8"/>
      <c r="O103" s="17"/>
      <c r="P103" s="391" t="str">
        <f t="shared" si="5"/>
        <v>AttrEmissions_Heat benchmark sub-installation, CL</v>
      </c>
      <c r="Q103" s="1029">
        <v>1</v>
      </c>
      <c r="S103" s="63" t="str">
        <f t="shared" si="6"/>
        <v>ERR_AttrEmBM_Heat benchmark sub-installation, CL</v>
      </c>
    </row>
    <row r="104" spans="2:19" ht="12.75" customHeight="1" x14ac:dyDescent="0.25">
      <c r="B104" s="17"/>
      <c r="C104" s="17"/>
      <c r="D104" s="113"/>
      <c r="E104" s="1251" t="str">
        <f t="shared" si="7"/>
        <v>Heat benchmark sub-installation, non-CL</v>
      </c>
      <c r="F104" s="1251"/>
      <c r="G104" s="1251"/>
      <c r="H104" s="1034" t="str">
        <f t="shared" si="4"/>
        <v>t CO2e/year</v>
      </c>
      <c r="I104" s="1035" t="str">
        <f>IF(ISNUMBER(D_Emissions!I$66),IF(INDEX(CNTR_FallBackSubInstRelevant,$Q104),IF(SUMIF('G_Fall-back'!$R:$R,$S104,'G_Fall-back'!S:S)&gt;0,EUconst_NA,SUMIF('G_Fall-back'!$R:$R,$P104,'G_Fall-back'!S:S)),""),"")</f>
        <v/>
      </c>
      <c r="J104" s="1035" t="str">
        <f>IF(ISNUMBER(D_Emissions!J$66),IF(INDEX(CNTR_FallBackSubInstRelevant,$Q104),IF(SUMIF('G_Fall-back'!$R:$R,$S104,'G_Fall-back'!T:T)&gt;0,EUconst_NA,SUMIF('G_Fall-back'!$R:$R,$P104,'G_Fall-back'!T:T)),""),"")</f>
        <v/>
      </c>
      <c r="K104" s="1035" t="str">
        <f>IF(ISNUMBER(D_Emissions!K$66),IF(INDEX(CNTR_FallBackSubInstRelevant,$Q104),IF(SUMIF('G_Fall-back'!$R:$R,$S104,'G_Fall-back'!U:U)&gt;0,EUconst_NA,SUMIF('G_Fall-back'!$R:$R,$P104,'G_Fall-back'!U:U)),""),"")</f>
        <v/>
      </c>
      <c r="L104" s="1035" t="str">
        <f>IF(ISNUMBER(D_Emissions!L$66),IF(INDEX(CNTR_FallBackSubInstRelevant,$Q104),IF(SUMIF('G_Fall-back'!$R:$R,$S104,'G_Fall-back'!V:V)&gt;0,EUconst_NA,SUMIF('G_Fall-back'!$R:$R,$P104,'G_Fall-back'!V:V)),""),"")</f>
        <v/>
      </c>
      <c r="M104" s="1035" t="str">
        <f>IF(ISNUMBER(D_Emissions!M$66),IF(INDEX(CNTR_FallBackSubInstRelevant,$Q104),IF(SUMIF('G_Fall-back'!$R:$R,$S104,'G_Fall-back'!W:W)&gt;0,EUconst_NA,SUMIF('G_Fall-back'!$R:$R,$P104,'G_Fall-back'!W:W)),""),"")</f>
        <v/>
      </c>
      <c r="N104" s="8"/>
      <c r="O104" s="17"/>
      <c r="P104" s="285" t="str">
        <f t="shared" si="5"/>
        <v>AttrEmissions_Heat benchmark sub-installation, non-CL</v>
      </c>
      <c r="Q104" s="1032">
        <v>2</v>
      </c>
      <c r="S104" s="63" t="str">
        <f t="shared" si="6"/>
        <v>ERR_AttrEmBM_Heat benchmark sub-installation, non-CL</v>
      </c>
    </row>
    <row r="105" spans="2:19" ht="12.75" customHeight="1" x14ac:dyDescent="0.25">
      <c r="B105" s="17"/>
      <c r="C105" s="17"/>
      <c r="D105" s="113"/>
      <c r="E105" s="1251" t="str">
        <f t="shared" si="7"/>
        <v>District heating sub-installation</v>
      </c>
      <c r="F105" s="1251"/>
      <c r="G105" s="1251"/>
      <c r="H105" s="833" t="str">
        <f t="shared" si="4"/>
        <v>t CO2e/year</v>
      </c>
      <c r="I105" s="1035" t="str">
        <f>IF(ISNUMBER(D_Emissions!I$66),IF(INDEX(CNTR_FallBackSubInstRelevant,$Q105),IF(SUMIF('G_Fall-back'!$R:$R,$S105,'G_Fall-back'!S:S)&gt;0,EUconst_NA,SUMIF('G_Fall-back'!$R:$R,$P105,'G_Fall-back'!S:S)),""),"")</f>
        <v/>
      </c>
      <c r="J105" s="1035" t="str">
        <f>IF(ISNUMBER(D_Emissions!J$66),IF(INDEX(CNTR_FallBackSubInstRelevant,$Q105),IF(SUMIF('G_Fall-back'!$R:$R,$S105,'G_Fall-back'!T:T)&gt;0,EUconst_NA,SUMIF('G_Fall-back'!$R:$R,$P105,'G_Fall-back'!T:T)),""),"")</f>
        <v/>
      </c>
      <c r="K105" s="1035" t="str">
        <f>IF(ISNUMBER(D_Emissions!K$66),IF(INDEX(CNTR_FallBackSubInstRelevant,$Q105),IF(SUMIF('G_Fall-back'!$R:$R,$S105,'G_Fall-back'!U:U)&gt;0,EUconst_NA,SUMIF('G_Fall-back'!$R:$R,$P105,'G_Fall-back'!U:U)),""),"")</f>
        <v/>
      </c>
      <c r="L105" s="1035" t="str">
        <f>IF(ISNUMBER(D_Emissions!L$66),IF(INDEX(CNTR_FallBackSubInstRelevant,$Q105),IF(SUMIF('G_Fall-back'!$R:$R,$S105,'G_Fall-back'!V:V)&gt;0,EUconst_NA,SUMIF('G_Fall-back'!$R:$R,$P105,'G_Fall-back'!V:V)),""),"")</f>
        <v/>
      </c>
      <c r="M105" s="1035" t="str">
        <f>IF(ISNUMBER(D_Emissions!M$66),IF(INDEX(CNTR_FallBackSubInstRelevant,$Q105),IF(SUMIF('G_Fall-back'!$R:$R,$S105,'G_Fall-back'!W:W)&gt;0,EUconst_NA,SUMIF('G_Fall-back'!$R:$R,$P105,'G_Fall-back'!W:W)),""),"")</f>
        <v/>
      </c>
      <c r="N105" s="8"/>
      <c r="O105" s="17"/>
      <c r="P105" s="285" t="str">
        <f t="shared" si="5"/>
        <v>AttrEmissions_District heating sub-installation</v>
      </c>
      <c r="Q105" s="1029">
        <v>3</v>
      </c>
      <c r="S105" s="63" t="str">
        <f t="shared" si="6"/>
        <v>ERR_AttrEmBM_District heating sub-installation</v>
      </c>
    </row>
    <row r="106" spans="2:19" ht="12.75" customHeight="1" x14ac:dyDescent="0.25">
      <c r="B106" s="17"/>
      <c r="C106" s="17"/>
      <c r="D106" s="113"/>
      <c r="E106" s="1251" t="str">
        <f t="shared" si="7"/>
        <v>Fuel benchmark sub-installation, CL</v>
      </c>
      <c r="F106" s="1251"/>
      <c r="G106" s="1251"/>
      <c r="H106" s="1034" t="str">
        <f t="shared" si="4"/>
        <v>t CO2e/year</v>
      </c>
      <c r="I106" s="1036" t="str">
        <f>IF(ISNUMBER(D_Emissions!I$66),IF(INDEX(CNTR_FallBackSubInstRelevant,$Q106),IF(SUMIF('G_Fall-back'!$R:$R,$S106,'G_Fall-back'!S:S)&gt;0,EUconst_NA,SUMIF('G_Fall-back'!$R:$R,$P106,'G_Fall-back'!S:S)),""),"")</f>
        <v/>
      </c>
      <c r="J106" s="1036" t="str">
        <f>IF(ISNUMBER(D_Emissions!J$66),IF(INDEX(CNTR_FallBackSubInstRelevant,$Q106),IF(SUMIF('G_Fall-back'!$R:$R,$S106,'G_Fall-back'!T:T)&gt;0,EUconst_NA,SUMIF('G_Fall-back'!$R:$R,$P106,'G_Fall-back'!T:T)),""),"")</f>
        <v/>
      </c>
      <c r="K106" s="1036" t="str">
        <f>IF(ISNUMBER(D_Emissions!K$66),IF(INDEX(CNTR_FallBackSubInstRelevant,$Q106),IF(SUMIF('G_Fall-back'!$R:$R,$S106,'G_Fall-back'!U:U)&gt;0,EUconst_NA,SUMIF('G_Fall-back'!$R:$R,$P106,'G_Fall-back'!U:U)),""),"")</f>
        <v/>
      </c>
      <c r="L106" s="1036" t="str">
        <f>IF(ISNUMBER(D_Emissions!L$66),IF(INDEX(CNTR_FallBackSubInstRelevant,$Q106),IF(SUMIF('G_Fall-back'!$R:$R,$S106,'G_Fall-back'!V:V)&gt;0,EUconst_NA,SUMIF('G_Fall-back'!$R:$R,$P106,'G_Fall-back'!V:V)),""),"")</f>
        <v/>
      </c>
      <c r="M106" s="1036" t="str">
        <f>IF(ISNUMBER(D_Emissions!M$66),IF(INDEX(CNTR_FallBackSubInstRelevant,$Q106),IF(SUMIF('G_Fall-back'!$R:$R,$S106,'G_Fall-back'!W:W)&gt;0,EUconst_NA,SUMIF('G_Fall-back'!$R:$R,$P106,'G_Fall-back'!W:W)),""),"")</f>
        <v/>
      </c>
      <c r="N106" s="8"/>
      <c r="O106" s="17"/>
      <c r="P106" s="285" t="str">
        <f t="shared" si="5"/>
        <v>AttrEmissions_Fuel benchmark sub-installation, CL</v>
      </c>
      <c r="Q106" s="1032">
        <v>4</v>
      </c>
      <c r="S106" s="63" t="str">
        <f t="shared" si="6"/>
        <v>ERR_AttrEmBM_Fuel benchmark sub-installation, CL</v>
      </c>
    </row>
    <row r="107" spans="2:19" ht="12.75" customHeight="1" thickBot="1" x14ac:dyDescent="0.3">
      <c r="B107" s="17"/>
      <c r="C107" s="17"/>
      <c r="D107" s="113"/>
      <c r="E107" s="1744" t="str">
        <f t="shared" si="7"/>
        <v>Fuel benchmark sub-installation, non-CL</v>
      </c>
      <c r="F107" s="1744"/>
      <c r="G107" s="1744"/>
      <c r="H107" s="1037" t="str">
        <f t="shared" si="4"/>
        <v>t CO2e/year</v>
      </c>
      <c r="I107" s="1038" t="str">
        <f>IF(ISNUMBER(D_Emissions!I$66),IF(INDEX(CNTR_FallBackSubInstRelevant,$Q107),IF(SUMIF('G_Fall-back'!$R:$R,$S107,'G_Fall-back'!S:S)&gt;0,EUconst_NA,SUMIF('G_Fall-back'!$R:$R,$P107,'G_Fall-back'!S:S)),""),"")</f>
        <v/>
      </c>
      <c r="J107" s="1038" t="str">
        <f>IF(ISNUMBER(D_Emissions!J$66),IF(INDEX(CNTR_FallBackSubInstRelevant,$Q107),IF(SUMIF('G_Fall-back'!$R:$R,$S107,'G_Fall-back'!T:T)&gt;0,EUconst_NA,SUMIF('G_Fall-back'!$R:$R,$P107,'G_Fall-back'!T:T)),""),"")</f>
        <v/>
      </c>
      <c r="K107" s="1038" t="str">
        <f>IF(ISNUMBER(D_Emissions!K$66),IF(INDEX(CNTR_FallBackSubInstRelevant,$Q107),IF(SUMIF('G_Fall-back'!$R:$R,$S107,'G_Fall-back'!U:U)&gt;0,EUconst_NA,SUMIF('G_Fall-back'!$R:$R,$P107,'G_Fall-back'!U:U)),""),"")</f>
        <v/>
      </c>
      <c r="L107" s="1038" t="str">
        <f>IF(ISNUMBER(D_Emissions!L$66),IF(INDEX(CNTR_FallBackSubInstRelevant,$Q107),IF(SUMIF('G_Fall-back'!$R:$R,$S107,'G_Fall-back'!V:V)&gt;0,EUconst_NA,SUMIF('G_Fall-back'!$R:$R,$P107,'G_Fall-back'!V:V)),""),"")</f>
        <v/>
      </c>
      <c r="M107" s="1038" t="str">
        <f>IF(ISNUMBER(D_Emissions!M$66),IF(INDEX(CNTR_FallBackSubInstRelevant,$Q107),IF(SUMIF('G_Fall-back'!$R:$R,$S107,'G_Fall-back'!W:W)&gt;0,EUconst_NA,SUMIF('G_Fall-back'!$R:$R,$P107,'G_Fall-back'!W:W)),""),"")</f>
        <v/>
      </c>
      <c r="N107" s="8"/>
      <c r="O107" s="17"/>
      <c r="P107" s="297" t="str">
        <f t="shared" si="5"/>
        <v>AttrEmissions_Fuel benchmark sub-installation, non-CL</v>
      </c>
      <c r="Q107" s="1039">
        <v>5</v>
      </c>
      <c r="S107" s="63" t="str">
        <f t="shared" si="6"/>
        <v>ERR_AttrEmBM_Fuel benchmark sub-installation, non-CL</v>
      </c>
    </row>
    <row r="108" spans="2:19" ht="12.75" customHeight="1" x14ac:dyDescent="0.25">
      <c r="B108" s="17"/>
      <c r="C108" s="17"/>
      <c r="D108" s="113"/>
      <c r="E108" s="1742" t="str">
        <f t="shared" si="7"/>
        <v>Process emissions sub-installation, CL</v>
      </c>
      <c r="F108" s="1745"/>
      <c r="G108" s="1745"/>
      <c r="H108" s="289" t="str">
        <f t="shared" si="4"/>
        <v>t CO2e/year</v>
      </c>
      <c r="I108" s="112" t="str">
        <f>IF(ISNUMBER(D_Emissions!I$66),IF(INDEX(CNTR_FallBackSubInstRelevant,$Q108),SUMIF('G_Fall-back'!$P:$P,$P108,'G_Fall-back'!S:S),""),"")</f>
        <v/>
      </c>
      <c r="J108" s="112" t="str">
        <f>IF(ISNUMBER(D_Emissions!J$66),IF(INDEX(CNTR_FallBackSubInstRelevant,$Q108),SUMIF('G_Fall-back'!$P:$P,$P108,'G_Fall-back'!T:T),""),"")</f>
        <v/>
      </c>
      <c r="K108" s="112" t="str">
        <f>IF(ISNUMBER(D_Emissions!K$66),IF(INDEX(CNTR_FallBackSubInstRelevant,$Q108),SUMIF('G_Fall-back'!$P:$P,$P108,'G_Fall-back'!U:U),""),"")</f>
        <v/>
      </c>
      <c r="L108" s="112" t="str">
        <f>IF(ISNUMBER(D_Emissions!L$66),IF(INDEX(CNTR_FallBackSubInstRelevant,$Q108),SUMIF('G_Fall-back'!$P:$P,$P108,'G_Fall-back'!V:V),""),"")</f>
        <v/>
      </c>
      <c r="M108" s="112" t="str">
        <f>IF(ISNUMBER(D_Emissions!M$66),IF(INDEX(CNTR_FallBackSubInstRelevant,$Q108),SUMIF('G_Fall-back'!$P:$P,$P108,'G_Fall-back'!W:W),""),"")</f>
        <v/>
      </c>
      <c r="N108" s="8"/>
      <c r="O108" s="17"/>
      <c r="P108" s="1040" t="str">
        <f>EUconst_CNTR_HAL &amp; E108</f>
        <v>HAL_Process emissions sub-installation, CL</v>
      </c>
      <c r="Q108" s="1032">
        <v>6</v>
      </c>
      <c r="S108" s="63" t="str">
        <f t="shared" si="6"/>
        <v>ERR_AttrEmBM_Process emissions sub-installation, CL</v>
      </c>
    </row>
    <row r="109" spans="2:19" ht="13.5" customHeight="1" thickBot="1" x14ac:dyDescent="0.3">
      <c r="B109" s="17"/>
      <c r="C109" s="17"/>
      <c r="D109" s="113"/>
      <c r="E109" s="1732" t="str">
        <f t="shared" si="7"/>
        <v>Process emissions sub-installation, non-CL</v>
      </c>
      <c r="F109" s="1747"/>
      <c r="G109" s="1747"/>
      <c r="H109" s="290" t="str">
        <f t="shared" si="4"/>
        <v>t CO2e/year</v>
      </c>
      <c r="I109" s="111" t="str">
        <f>IF(ISNUMBER(D_Emissions!I$66),IF(INDEX(CNTR_FallBackSubInstRelevant,$Q109),SUMIF('G_Fall-back'!$P:$P,$P109,'G_Fall-back'!S:S),""),"")</f>
        <v/>
      </c>
      <c r="J109" s="111" t="str">
        <f>IF(ISNUMBER(D_Emissions!J$66),IF(INDEX(CNTR_FallBackSubInstRelevant,$Q109),SUMIF('G_Fall-back'!$P:$P,$P109,'G_Fall-back'!T:T),""),"")</f>
        <v/>
      </c>
      <c r="K109" s="111" t="str">
        <f>IF(ISNUMBER(D_Emissions!K$66),IF(INDEX(CNTR_FallBackSubInstRelevant,$Q109),SUMIF('G_Fall-back'!$P:$P,$P109,'G_Fall-back'!U:U),""),"")</f>
        <v/>
      </c>
      <c r="L109" s="111" t="str">
        <f>IF(ISNUMBER(D_Emissions!L$66),IF(INDEX(CNTR_FallBackSubInstRelevant,$Q109),SUMIF('G_Fall-back'!$P:$P,$P109,'G_Fall-back'!V:V),""),"")</f>
        <v/>
      </c>
      <c r="M109" s="111" t="str">
        <f>IF(ISNUMBER(D_Emissions!M$66),IF(INDEX(CNTR_FallBackSubInstRelevant,$Q109),SUMIF('G_Fall-back'!$P:$P,$P109,'G_Fall-back'!W:W),""),"")</f>
        <v/>
      </c>
      <c r="N109" s="8"/>
      <c r="O109" s="17"/>
      <c r="P109" s="1041" t="str">
        <f>EUconst_CNTR_HAL &amp; E109</f>
        <v>HAL_Process emissions sub-installation, non-CL</v>
      </c>
      <c r="Q109" s="1033">
        <v>7</v>
      </c>
      <c r="S109" s="63" t="str">
        <f t="shared" si="6"/>
        <v>ERR_AttrEmBM_Process emissions sub-installation, non-CL</v>
      </c>
    </row>
    <row r="110" spans="2:19" x14ac:dyDescent="0.25">
      <c r="B110" s="17"/>
      <c r="C110" s="17"/>
      <c r="D110" s="113"/>
      <c r="E110" s="1565" t="str">
        <f>Translations!$B$1185</f>
        <v>Control: Other emissions</v>
      </c>
      <c r="F110" s="1565"/>
      <c r="G110" s="1565"/>
      <c r="H110" s="927" t="str">
        <f t="shared" si="4"/>
        <v>t CO2e/year</v>
      </c>
      <c r="I110" s="304" t="str">
        <f>IF(ISNUMBER(D_Emissions!I$66),IF(COUNTIF(I93:I109,EUconst_NA)&gt;0,EUconst_NA,D_Emissions!I$66-SUM(I93:I109)),"")</f>
        <v/>
      </c>
      <c r="J110" s="304" t="str">
        <f>IF(ISNUMBER(D_Emissions!J$66),IF(COUNTIF(J93:J109,EUconst_NA)&gt;0,EUconst_NA,D_Emissions!J$66-SUM(J93:J109)),"")</f>
        <v/>
      </c>
      <c r="K110" s="304" t="str">
        <f>IF(ISNUMBER(D_Emissions!K$66),IF(COUNTIF(K93:K109,EUconst_NA)&gt;0,EUconst_NA,D_Emissions!K$66-SUM(K93:K109)),"")</f>
        <v/>
      </c>
      <c r="L110" s="304" t="str">
        <f>IF(ISNUMBER(D_Emissions!L$66),IF(COUNTIF(L93:L109,EUconst_NA)&gt;0,EUconst_NA,D_Emissions!L$66-SUM(L93:L109)),"")</f>
        <v/>
      </c>
      <c r="M110" s="304" t="str">
        <f>IF(ISNUMBER(D_Emissions!M$66),IF(COUNTIF(M93:M109,EUconst_NA)&gt;0,EUconst_NA,D_Emissions!M$66-SUM(M93:M109)),"")</f>
        <v/>
      </c>
      <c r="N110" s="8"/>
      <c r="O110" s="17"/>
      <c r="P110" s="815"/>
    </row>
    <row r="111" spans="2:19" x14ac:dyDescent="0.25">
      <c r="B111" s="8"/>
      <c r="C111" s="8"/>
      <c r="D111" s="17"/>
      <c r="E111" s="884"/>
      <c r="F111" s="884"/>
      <c r="G111" s="884"/>
      <c r="H111" s="884"/>
      <c r="I111" s="884"/>
      <c r="J111" s="77"/>
      <c r="K111" s="77"/>
      <c r="L111" s="77"/>
      <c r="M111" s="8"/>
      <c r="N111" s="8"/>
      <c r="O111" s="17"/>
      <c r="P111" s="235"/>
    </row>
    <row r="112" spans="2:19" x14ac:dyDescent="0.25">
      <c r="B112" s="17"/>
      <c r="C112" s="17"/>
      <c r="D112" s="17"/>
      <c r="E112" s="22" t="str">
        <f t="shared" ref="E112:E129" si="8">E92</f>
        <v>Sub-installation level data:</v>
      </c>
      <c r="F112" s="22"/>
      <c r="G112" s="22"/>
      <c r="H112" s="24" t="str">
        <f>EUconst_Unit</f>
        <v>Unit</v>
      </c>
      <c r="I112" s="128">
        <f>D_Emissions!I$309</f>
        <v>2019</v>
      </c>
      <c r="J112" s="128">
        <f>D_Emissions!J$309</f>
        <v>2020</v>
      </c>
      <c r="K112" s="128">
        <f>D_Emissions!K$309</f>
        <v>2021</v>
      </c>
      <c r="L112" s="128">
        <f>D_Emissions!L$309</f>
        <v>2022</v>
      </c>
      <c r="M112" s="128">
        <f>D_Emissions!M$309</f>
        <v>2023</v>
      </c>
      <c r="N112" s="8"/>
      <c r="O112" s="17"/>
      <c r="P112" s="235"/>
    </row>
    <row r="113" spans="2:16" x14ac:dyDescent="0.25">
      <c r="B113" s="17"/>
      <c r="C113" s="17"/>
      <c r="D113" s="113"/>
      <c r="E113" s="1740" t="str">
        <f t="shared" si="8"/>
        <v/>
      </c>
      <c r="F113" s="1740"/>
      <c r="G113" s="1740"/>
      <c r="H113" s="291" t="s">
        <v>354</v>
      </c>
      <c r="I113" s="840" t="str">
        <f>IF(I93=EUconst_NA,EUconst_NA,IF(AND(ISNUMBER(D_Emissions!I$66),I93&lt;&gt;""),I93/D_Emissions!I$66*100,""))</f>
        <v/>
      </c>
      <c r="J113" s="840" t="str">
        <f>IF(J93=EUconst_NA,EUconst_NA,IF(AND(ISNUMBER(D_Emissions!J$66),J93&lt;&gt;""),J93/D_Emissions!J$66*100,""))</f>
        <v/>
      </c>
      <c r="K113" s="840" t="str">
        <f>IF(K93=EUconst_NA,EUconst_NA,IF(AND(ISNUMBER(D_Emissions!K$66),K93&lt;&gt;""),K93/D_Emissions!K$66*100,""))</f>
        <v/>
      </c>
      <c r="L113" s="840" t="str">
        <f>IF(L93=EUconst_NA,EUconst_NA,IF(AND(ISNUMBER(D_Emissions!L$66),L93&lt;&gt;""),L93/D_Emissions!L$66*100,""))</f>
        <v/>
      </c>
      <c r="M113" s="840" t="str">
        <f>IF(M93=EUconst_NA,EUconst_NA,IF(AND(ISNUMBER(D_Emissions!M$66),M93&lt;&gt;""),M93/D_Emissions!M$66*100,""))</f>
        <v/>
      </c>
      <c r="N113" s="8"/>
      <c r="O113" s="17"/>
      <c r="P113" s="235"/>
    </row>
    <row r="114" spans="2:16" x14ac:dyDescent="0.25">
      <c r="B114" s="17"/>
      <c r="C114" s="17"/>
      <c r="D114" s="113"/>
      <c r="E114" s="1448" t="str">
        <f t="shared" si="8"/>
        <v/>
      </c>
      <c r="F114" s="1448"/>
      <c r="G114" s="1448"/>
      <c r="H114" s="1030" t="s">
        <v>354</v>
      </c>
      <c r="I114" s="1031" t="str">
        <f>IF(I94=EUconst_NA,EUconst_NA,IF(AND(ISNUMBER(D_Emissions!I$66),I94&lt;&gt;""),I94/D_Emissions!I$66*100,""))</f>
        <v/>
      </c>
      <c r="J114" s="1031" t="str">
        <f>IF(J94=EUconst_NA,EUconst_NA,IF(AND(ISNUMBER(D_Emissions!J$66),J94&lt;&gt;""),J94/D_Emissions!J$66*100,""))</f>
        <v/>
      </c>
      <c r="K114" s="1031" t="str">
        <f>IF(K94=EUconst_NA,EUconst_NA,IF(AND(ISNUMBER(D_Emissions!K$66),K94&lt;&gt;""),K94/D_Emissions!K$66*100,""))</f>
        <v/>
      </c>
      <c r="L114" s="1031" t="str">
        <f>IF(L94=EUconst_NA,EUconst_NA,IF(AND(ISNUMBER(D_Emissions!L$66),L94&lt;&gt;""),L94/D_Emissions!L$66*100,""))</f>
        <v/>
      </c>
      <c r="M114" s="1031" t="str">
        <f>IF(M94=EUconst_NA,EUconst_NA,IF(AND(ISNUMBER(D_Emissions!M$66),M94&lt;&gt;""),M94/D_Emissions!M$66*100,""))</f>
        <v/>
      </c>
      <c r="N114" s="8"/>
      <c r="O114" s="17"/>
      <c r="P114" s="235"/>
    </row>
    <row r="115" spans="2:16" x14ac:dyDescent="0.25">
      <c r="B115" s="17"/>
      <c r="C115" s="17"/>
      <c r="D115" s="113"/>
      <c r="E115" s="1448" t="str">
        <f t="shared" si="8"/>
        <v/>
      </c>
      <c r="F115" s="1448"/>
      <c r="G115" s="1448"/>
      <c r="H115" s="1030" t="s">
        <v>354</v>
      </c>
      <c r="I115" s="1031" t="str">
        <f>IF(I95=EUconst_NA,EUconst_NA,IF(AND(ISNUMBER(D_Emissions!I$66),I95&lt;&gt;""),I95/D_Emissions!I$66*100,""))</f>
        <v/>
      </c>
      <c r="J115" s="1031" t="str">
        <f>IF(J95=EUconst_NA,EUconst_NA,IF(AND(ISNUMBER(D_Emissions!J$66),J95&lt;&gt;""),J95/D_Emissions!J$66*100,""))</f>
        <v/>
      </c>
      <c r="K115" s="1031" t="str">
        <f>IF(K95=EUconst_NA,EUconst_NA,IF(AND(ISNUMBER(D_Emissions!K$66),K95&lt;&gt;""),K95/D_Emissions!K$66*100,""))</f>
        <v/>
      </c>
      <c r="L115" s="1031" t="str">
        <f>IF(L95=EUconst_NA,EUconst_NA,IF(AND(ISNUMBER(D_Emissions!L$66),L95&lt;&gt;""),L95/D_Emissions!L$66*100,""))</f>
        <v/>
      </c>
      <c r="M115" s="1031" t="str">
        <f>IF(M95=EUconst_NA,EUconst_NA,IF(AND(ISNUMBER(D_Emissions!M$66),M95&lt;&gt;""),M95/D_Emissions!M$66*100,""))</f>
        <v/>
      </c>
      <c r="N115" s="8"/>
      <c r="O115" s="17"/>
      <c r="P115" s="235"/>
    </row>
    <row r="116" spans="2:16" x14ac:dyDescent="0.25">
      <c r="B116" s="17"/>
      <c r="C116" s="17"/>
      <c r="D116" s="113"/>
      <c r="E116" s="1448" t="str">
        <f t="shared" si="8"/>
        <v/>
      </c>
      <c r="F116" s="1448"/>
      <c r="G116" s="1448"/>
      <c r="H116" s="1030" t="s">
        <v>354</v>
      </c>
      <c r="I116" s="1031" t="str">
        <f>IF(I96=EUconst_NA,EUconst_NA,IF(AND(ISNUMBER(D_Emissions!I$66),I96&lt;&gt;""),I96/D_Emissions!I$66*100,""))</f>
        <v/>
      </c>
      <c r="J116" s="1031" t="str">
        <f>IF(J96=EUconst_NA,EUconst_NA,IF(AND(ISNUMBER(D_Emissions!J$66),J96&lt;&gt;""),J96/D_Emissions!J$66*100,""))</f>
        <v/>
      </c>
      <c r="K116" s="1031" t="str">
        <f>IF(K96=EUconst_NA,EUconst_NA,IF(AND(ISNUMBER(D_Emissions!K$66),K96&lt;&gt;""),K96/D_Emissions!K$66*100,""))</f>
        <v/>
      </c>
      <c r="L116" s="1031" t="str">
        <f>IF(L96=EUconst_NA,EUconst_NA,IF(AND(ISNUMBER(D_Emissions!L$66),L96&lt;&gt;""),L96/D_Emissions!L$66*100,""))</f>
        <v/>
      </c>
      <c r="M116" s="1031" t="str">
        <f>IF(M96=EUconst_NA,EUconst_NA,IF(AND(ISNUMBER(D_Emissions!M$66),M96&lt;&gt;""),M96/D_Emissions!M$66*100,""))</f>
        <v/>
      </c>
      <c r="N116" s="8"/>
      <c r="O116" s="17"/>
      <c r="P116" s="235"/>
    </row>
    <row r="117" spans="2:16" x14ac:dyDescent="0.25">
      <c r="B117" s="17"/>
      <c r="C117" s="17"/>
      <c r="D117" s="113"/>
      <c r="E117" s="1448" t="str">
        <f t="shared" si="8"/>
        <v/>
      </c>
      <c r="F117" s="1448"/>
      <c r="G117" s="1448"/>
      <c r="H117" s="1030" t="s">
        <v>354</v>
      </c>
      <c r="I117" s="1031" t="str">
        <f>IF(I97=EUconst_NA,EUconst_NA,IF(AND(ISNUMBER(D_Emissions!I$66),I97&lt;&gt;""),I97/D_Emissions!I$66*100,""))</f>
        <v/>
      </c>
      <c r="J117" s="1031" t="str">
        <f>IF(J97=EUconst_NA,EUconst_NA,IF(AND(ISNUMBER(D_Emissions!J$66),J97&lt;&gt;""),J97/D_Emissions!J$66*100,""))</f>
        <v/>
      </c>
      <c r="K117" s="1031" t="str">
        <f>IF(K97=EUconst_NA,EUconst_NA,IF(AND(ISNUMBER(D_Emissions!K$66),K97&lt;&gt;""),K97/D_Emissions!K$66*100,""))</f>
        <v/>
      </c>
      <c r="L117" s="1031" t="str">
        <f>IF(L97=EUconst_NA,EUconst_NA,IF(AND(ISNUMBER(D_Emissions!L$66),L97&lt;&gt;""),L97/D_Emissions!L$66*100,""))</f>
        <v/>
      </c>
      <c r="M117" s="1031" t="str">
        <f>IF(M97=EUconst_NA,EUconst_NA,IF(AND(ISNUMBER(D_Emissions!M$66),M97&lt;&gt;""),M97/D_Emissions!M$66*100,""))</f>
        <v/>
      </c>
      <c r="N117" s="8"/>
      <c r="O117" s="17"/>
      <c r="P117" s="235"/>
    </row>
    <row r="118" spans="2:16" x14ac:dyDescent="0.25">
      <c r="B118" s="17"/>
      <c r="C118" s="17"/>
      <c r="D118" s="113"/>
      <c r="E118" s="1448" t="str">
        <f t="shared" si="8"/>
        <v/>
      </c>
      <c r="F118" s="1448"/>
      <c r="G118" s="1448"/>
      <c r="H118" s="1030" t="s">
        <v>354</v>
      </c>
      <c r="I118" s="1031" t="str">
        <f>IF(I98=EUconst_NA,EUconst_NA,IF(AND(ISNUMBER(D_Emissions!I$66),I98&lt;&gt;""),I98/D_Emissions!I$66*100,""))</f>
        <v/>
      </c>
      <c r="J118" s="1031" t="str">
        <f>IF(J98=EUconst_NA,EUconst_NA,IF(AND(ISNUMBER(D_Emissions!J$66),J98&lt;&gt;""),J98/D_Emissions!J$66*100,""))</f>
        <v/>
      </c>
      <c r="K118" s="1031" t="str">
        <f>IF(K98=EUconst_NA,EUconst_NA,IF(AND(ISNUMBER(D_Emissions!K$66),K98&lt;&gt;""),K98/D_Emissions!K$66*100,""))</f>
        <v/>
      </c>
      <c r="L118" s="1031" t="str">
        <f>IF(L98=EUconst_NA,EUconst_NA,IF(AND(ISNUMBER(D_Emissions!L$66),L98&lt;&gt;""),L98/D_Emissions!L$66*100,""))</f>
        <v/>
      </c>
      <c r="M118" s="1031" t="str">
        <f>IF(M98=EUconst_NA,EUconst_NA,IF(AND(ISNUMBER(D_Emissions!M$66),M98&lt;&gt;""),M98/D_Emissions!M$66*100,""))</f>
        <v/>
      </c>
      <c r="N118" s="8"/>
      <c r="O118" s="17"/>
      <c r="P118" s="235"/>
    </row>
    <row r="119" spans="2:16" x14ac:dyDescent="0.25">
      <c r="B119" s="17"/>
      <c r="C119" s="17"/>
      <c r="D119" s="113"/>
      <c r="E119" s="1448" t="str">
        <f t="shared" si="8"/>
        <v/>
      </c>
      <c r="F119" s="1448"/>
      <c r="G119" s="1448"/>
      <c r="H119" s="1030" t="s">
        <v>354</v>
      </c>
      <c r="I119" s="1031" t="str">
        <f>IF(I99=EUconst_NA,EUconst_NA,IF(AND(ISNUMBER(D_Emissions!I$66),I99&lt;&gt;""),I99/D_Emissions!I$66*100,""))</f>
        <v/>
      </c>
      <c r="J119" s="1031" t="str">
        <f>IF(J99=EUconst_NA,EUconst_NA,IF(AND(ISNUMBER(D_Emissions!J$66),J99&lt;&gt;""),J99/D_Emissions!J$66*100,""))</f>
        <v/>
      </c>
      <c r="K119" s="1031" t="str">
        <f>IF(K99=EUconst_NA,EUconst_NA,IF(AND(ISNUMBER(D_Emissions!K$66),K99&lt;&gt;""),K99/D_Emissions!K$66*100,""))</f>
        <v/>
      </c>
      <c r="L119" s="1031" t="str">
        <f>IF(L99=EUconst_NA,EUconst_NA,IF(AND(ISNUMBER(D_Emissions!L$66),L99&lt;&gt;""),L99/D_Emissions!L$66*100,""))</f>
        <v/>
      </c>
      <c r="M119" s="1031" t="str">
        <f>IF(M99=EUconst_NA,EUconst_NA,IF(AND(ISNUMBER(D_Emissions!M$66),M99&lt;&gt;""),M99/D_Emissions!M$66*100,""))</f>
        <v/>
      </c>
      <c r="N119" s="8"/>
      <c r="O119" s="17"/>
      <c r="P119" s="235"/>
    </row>
    <row r="120" spans="2:16" x14ac:dyDescent="0.25">
      <c r="B120" s="17"/>
      <c r="C120" s="17"/>
      <c r="D120" s="113"/>
      <c r="E120" s="1448" t="str">
        <f t="shared" si="8"/>
        <v/>
      </c>
      <c r="F120" s="1448"/>
      <c r="G120" s="1448"/>
      <c r="H120" s="1030" t="s">
        <v>354</v>
      </c>
      <c r="I120" s="1031" t="str">
        <f>IF(I100=EUconst_NA,EUconst_NA,IF(AND(ISNUMBER(D_Emissions!I$66),I100&lt;&gt;""),I100/D_Emissions!I$66*100,""))</f>
        <v/>
      </c>
      <c r="J120" s="1031" t="str">
        <f>IF(J100=EUconst_NA,EUconst_NA,IF(AND(ISNUMBER(D_Emissions!J$66),J100&lt;&gt;""),J100/D_Emissions!J$66*100,""))</f>
        <v/>
      </c>
      <c r="K120" s="1031" t="str">
        <f>IF(K100=EUconst_NA,EUconst_NA,IF(AND(ISNUMBER(D_Emissions!K$66),K100&lt;&gt;""),K100/D_Emissions!K$66*100,""))</f>
        <v/>
      </c>
      <c r="L120" s="1031" t="str">
        <f>IF(L100=EUconst_NA,EUconst_NA,IF(AND(ISNUMBER(D_Emissions!L$66),L100&lt;&gt;""),L100/D_Emissions!L$66*100,""))</f>
        <v/>
      </c>
      <c r="M120" s="1031" t="str">
        <f>IF(M100=EUconst_NA,EUconst_NA,IF(AND(ISNUMBER(D_Emissions!M$66),M100&lt;&gt;""),M100/D_Emissions!M$66*100,""))</f>
        <v/>
      </c>
      <c r="N120" s="8"/>
      <c r="O120" s="17"/>
      <c r="P120" s="235"/>
    </row>
    <row r="121" spans="2:16" x14ac:dyDescent="0.25">
      <c r="B121" s="17"/>
      <c r="C121" s="17"/>
      <c r="D121" s="113"/>
      <c r="E121" s="1448" t="str">
        <f t="shared" si="8"/>
        <v/>
      </c>
      <c r="F121" s="1448"/>
      <c r="G121" s="1448"/>
      <c r="H121" s="1030" t="s">
        <v>354</v>
      </c>
      <c r="I121" s="1031" t="str">
        <f>IF(I101=EUconst_NA,EUconst_NA,IF(AND(ISNUMBER(D_Emissions!I$66),I101&lt;&gt;""),I101/D_Emissions!I$66*100,""))</f>
        <v/>
      </c>
      <c r="J121" s="1031" t="str">
        <f>IF(J101=EUconst_NA,EUconst_NA,IF(AND(ISNUMBER(D_Emissions!J$66),J101&lt;&gt;""),J101/D_Emissions!J$66*100,""))</f>
        <v/>
      </c>
      <c r="K121" s="1031" t="str">
        <f>IF(K101=EUconst_NA,EUconst_NA,IF(AND(ISNUMBER(D_Emissions!K$66),K101&lt;&gt;""),K101/D_Emissions!K$66*100,""))</f>
        <v/>
      </c>
      <c r="L121" s="1031" t="str">
        <f>IF(L101=EUconst_NA,EUconst_NA,IF(AND(ISNUMBER(D_Emissions!L$66),L101&lt;&gt;""),L101/D_Emissions!L$66*100,""))</f>
        <v/>
      </c>
      <c r="M121" s="1031" t="str">
        <f>IF(M101=EUconst_NA,EUconst_NA,IF(AND(ISNUMBER(D_Emissions!M$66),M101&lt;&gt;""),M101/D_Emissions!M$66*100,""))</f>
        <v/>
      </c>
      <c r="N121" s="8"/>
      <c r="O121" s="17"/>
      <c r="P121" s="235"/>
    </row>
    <row r="122" spans="2:16" x14ac:dyDescent="0.25">
      <c r="B122" s="17"/>
      <c r="C122" s="17"/>
      <c r="D122" s="113"/>
      <c r="E122" s="1465" t="str">
        <f t="shared" si="8"/>
        <v/>
      </c>
      <c r="F122" s="1465"/>
      <c r="G122" s="1465"/>
      <c r="H122" s="835" t="s">
        <v>354</v>
      </c>
      <c r="I122" s="841" t="str">
        <f>IF(I102=EUconst_NA,EUconst_NA,IF(AND(ISNUMBER(D_Emissions!I$66),I102&lt;&gt;""),I102/D_Emissions!I$66*100,""))</f>
        <v/>
      </c>
      <c r="J122" s="841" t="str">
        <f>IF(J102=EUconst_NA,EUconst_NA,IF(AND(ISNUMBER(D_Emissions!J$66),J102&lt;&gt;""),J102/D_Emissions!J$66*100,""))</f>
        <v/>
      </c>
      <c r="K122" s="841" t="str">
        <f>IF(K102=EUconst_NA,EUconst_NA,IF(AND(ISNUMBER(D_Emissions!K$66),K102&lt;&gt;""),K102/D_Emissions!K$66*100,""))</f>
        <v/>
      </c>
      <c r="L122" s="841" t="str">
        <f>IF(L102=EUconst_NA,EUconst_NA,IF(AND(ISNUMBER(D_Emissions!L$66),L102&lt;&gt;""),L102/D_Emissions!L$66*100,""))</f>
        <v/>
      </c>
      <c r="M122" s="841" t="str">
        <f>IF(M102=EUconst_NA,EUconst_NA,IF(AND(ISNUMBER(D_Emissions!M$66),M102&lt;&gt;""),M102/D_Emissions!M$66*100,""))</f>
        <v/>
      </c>
      <c r="N122" s="8"/>
      <c r="O122" s="17"/>
      <c r="P122" s="235"/>
    </row>
    <row r="123" spans="2:16" ht="12.75" customHeight="1" x14ac:dyDescent="0.25">
      <c r="B123" s="17"/>
      <c r="C123" s="17"/>
      <c r="D123" s="113"/>
      <c r="E123" s="1415" t="str">
        <f t="shared" si="8"/>
        <v>Heat benchmark sub-installation, CL</v>
      </c>
      <c r="F123" s="1415"/>
      <c r="G123" s="1415"/>
      <c r="H123" s="1030" t="s">
        <v>354</v>
      </c>
      <c r="I123" s="1031" t="str">
        <f>IF(I103=EUconst_NA,EUconst_NA,IF(AND(ISNUMBER(D_Emissions!I$66),I103&lt;&gt;""),I103/D_Emissions!I$66*100,""))</f>
        <v/>
      </c>
      <c r="J123" s="1031" t="str">
        <f>IF(J103=EUconst_NA,EUconst_NA,IF(AND(ISNUMBER(D_Emissions!J$66),J103&lt;&gt;""),J103/D_Emissions!J$66*100,""))</f>
        <v/>
      </c>
      <c r="K123" s="1031" t="str">
        <f>IF(K103=EUconst_NA,EUconst_NA,IF(AND(ISNUMBER(D_Emissions!K$66),K103&lt;&gt;""),K103/D_Emissions!K$66*100,""))</f>
        <v/>
      </c>
      <c r="L123" s="1031" t="str">
        <f>IF(L103=EUconst_NA,EUconst_NA,IF(AND(ISNUMBER(D_Emissions!L$66),L103&lt;&gt;""),L103/D_Emissions!L$66*100,""))</f>
        <v/>
      </c>
      <c r="M123" s="1031" t="str">
        <f>IF(M103=EUconst_NA,EUconst_NA,IF(AND(ISNUMBER(D_Emissions!M$66),M103&lt;&gt;""),M103/D_Emissions!M$66*100,""))</f>
        <v/>
      </c>
      <c r="N123" s="8"/>
      <c r="O123" s="17"/>
      <c r="P123" s="235"/>
    </row>
    <row r="124" spans="2:16" ht="12.75" customHeight="1" x14ac:dyDescent="0.25">
      <c r="B124" s="17"/>
      <c r="C124" s="17"/>
      <c r="D124" s="113"/>
      <c r="E124" s="1251" t="str">
        <f t="shared" si="8"/>
        <v>Heat benchmark sub-installation, non-CL</v>
      </c>
      <c r="F124" s="1251"/>
      <c r="G124" s="1251"/>
      <c r="H124" s="833" t="s">
        <v>354</v>
      </c>
      <c r="I124" s="1035" t="str">
        <f>IF(I104=EUconst_NA,EUconst_NA,IF(AND(ISNUMBER(D_Emissions!I$66),I104&lt;&gt;""),I104/D_Emissions!I$66*100,""))</f>
        <v/>
      </c>
      <c r="J124" s="1035" t="str">
        <f>IF(J104=EUconst_NA,EUconst_NA,IF(AND(ISNUMBER(D_Emissions!J$66),J104&lt;&gt;""),J104/D_Emissions!J$66*100,""))</f>
        <v/>
      </c>
      <c r="K124" s="1035" t="str">
        <f>IF(K104=EUconst_NA,EUconst_NA,IF(AND(ISNUMBER(D_Emissions!K$66),K104&lt;&gt;""),K104/D_Emissions!K$66*100,""))</f>
        <v/>
      </c>
      <c r="L124" s="1035" t="str">
        <f>IF(L104=EUconst_NA,EUconst_NA,IF(AND(ISNUMBER(D_Emissions!L$66),L104&lt;&gt;""),L104/D_Emissions!L$66*100,""))</f>
        <v/>
      </c>
      <c r="M124" s="1035" t="str">
        <f>IF(M104=EUconst_NA,EUconst_NA,IF(AND(ISNUMBER(D_Emissions!M$66),M104&lt;&gt;""),M104/D_Emissions!M$66*100,""))</f>
        <v/>
      </c>
      <c r="N124" s="8"/>
      <c r="O124" s="17"/>
      <c r="P124" s="235"/>
    </row>
    <row r="125" spans="2:16" ht="12.75" customHeight="1" x14ac:dyDescent="0.25">
      <c r="B125" s="17"/>
      <c r="C125" s="17"/>
      <c r="D125" s="113"/>
      <c r="E125" s="1251" t="str">
        <f t="shared" si="8"/>
        <v>District heating sub-installation</v>
      </c>
      <c r="F125" s="1251"/>
      <c r="G125" s="1251"/>
      <c r="H125" s="833" t="s">
        <v>354</v>
      </c>
      <c r="I125" s="1035" t="str">
        <f>IF(I105=EUconst_NA,EUconst_NA,IF(AND(ISNUMBER(D_Emissions!I$66),I105&lt;&gt;""),I105/D_Emissions!I$66*100,""))</f>
        <v/>
      </c>
      <c r="J125" s="1035" t="str">
        <f>IF(J105=EUconst_NA,EUconst_NA,IF(AND(ISNUMBER(D_Emissions!J$66),J105&lt;&gt;""),J105/D_Emissions!J$66*100,""))</f>
        <v/>
      </c>
      <c r="K125" s="1035" t="str">
        <f>IF(K105=EUconst_NA,EUconst_NA,IF(AND(ISNUMBER(D_Emissions!K$66),K105&lt;&gt;""),K105/D_Emissions!K$66*100,""))</f>
        <v/>
      </c>
      <c r="L125" s="1035" t="str">
        <f>IF(L105=EUconst_NA,EUconst_NA,IF(AND(ISNUMBER(D_Emissions!L$66),L105&lt;&gt;""),L105/D_Emissions!L$66*100,""))</f>
        <v/>
      </c>
      <c r="M125" s="1035" t="str">
        <f>IF(M105=EUconst_NA,EUconst_NA,IF(AND(ISNUMBER(D_Emissions!M$66),M105&lt;&gt;""),M105/D_Emissions!M$66*100,""))</f>
        <v/>
      </c>
      <c r="N125" s="8"/>
      <c r="O125" s="17"/>
      <c r="P125" s="235"/>
    </row>
    <row r="126" spans="2:16" ht="12.75" customHeight="1" x14ac:dyDescent="0.25">
      <c r="B126" s="17"/>
      <c r="C126" s="17"/>
      <c r="D126" s="113"/>
      <c r="E126" s="1251" t="str">
        <f t="shared" si="8"/>
        <v>Fuel benchmark sub-installation, CL</v>
      </c>
      <c r="F126" s="1251"/>
      <c r="G126" s="1251"/>
      <c r="H126" s="833" t="s">
        <v>354</v>
      </c>
      <c r="I126" s="1036" t="str">
        <f>IF(I106=EUconst_NA,EUconst_NA,IF(AND(ISNUMBER(D_Emissions!I$66),I106&lt;&gt;""),I106/D_Emissions!I$66*100,""))</f>
        <v/>
      </c>
      <c r="J126" s="1036" t="str">
        <f>IF(J106=EUconst_NA,EUconst_NA,IF(AND(ISNUMBER(D_Emissions!J$66),J106&lt;&gt;""),J106/D_Emissions!J$66*100,""))</f>
        <v/>
      </c>
      <c r="K126" s="1036" t="str">
        <f>IF(K106=EUconst_NA,EUconst_NA,IF(AND(ISNUMBER(D_Emissions!K$66),K106&lt;&gt;""),K106/D_Emissions!K$66*100,""))</f>
        <v/>
      </c>
      <c r="L126" s="1036" t="str">
        <f>IF(L106=EUconst_NA,EUconst_NA,IF(AND(ISNUMBER(D_Emissions!L$66),L106&lt;&gt;""),L106/D_Emissions!L$66*100,""))</f>
        <v/>
      </c>
      <c r="M126" s="1036" t="str">
        <f>IF(M106=EUconst_NA,EUconst_NA,IF(AND(ISNUMBER(D_Emissions!M$66),M106&lt;&gt;""),M106/D_Emissions!M$66*100,""))</f>
        <v/>
      </c>
      <c r="N126" s="8"/>
      <c r="O126" s="17"/>
      <c r="P126" s="235"/>
    </row>
    <row r="127" spans="2:16" ht="12.75" customHeight="1" thickBot="1" x14ac:dyDescent="0.3">
      <c r="B127" s="17"/>
      <c r="C127" s="17"/>
      <c r="D127" s="113"/>
      <c r="E127" s="1744" t="str">
        <f t="shared" si="8"/>
        <v>Fuel benchmark sub-installation, non-CL</v>
      </c>
      <c r="F127" s="1744"/>
      <c r="G127" s="1744"/>
      <c r="H127" s="1037" t="s">
        <v>354</v>
      </c>
      <c r="I127" s="1038" t="str">
        <f>IF(I107=EUconst_NA,EUconst_NA,IF(AND(ISNUMBER(D_Emissions!I$66),I107&lt;&gt;""),I107/D_Emissions!I$66*100,""))</f>
        <v/>
      </c>
      <c r="J127" s="1038" t="str">
        <f>IF(J107=EUconst_NA,EUconst_NA,IF(AND(ISNUMBER(D_Emissions!J$66),J107&lt;&gt;""),J107/D_Emissions!J$66*100,""))</f>
        <v/>
      </c>
      <c r="K127" s="1038" t="str">
        <f>IF(K107=EUconst_NA,EUconst_NA,IF(AND(ISNUMBER(D_Emissions!K$66),K107&lt;&gt;""),K107/D_Emissions!K$66*100,""))</f>
        <v/>
      </c>
      <c r="L127" s="1038" t="str">
        <f>IF(L107=EUconst_NA,EUconst_NA,IF(AND(ISNUMBER(D_Emissions!L$66),L107&lt;&gt;""),L107/D_Emissions!L$66*100,""))</f>
        <v/>
      </c>
      <c r="M127" s="1038" t="str">
        <f>IF(M107=EUconst_NA,EUconst_NA,IF(AND(ISNUMBER(D_Emissions!M$66),M107&lt;&gt;""),M107/D_Emissions!M$66*100,""))</f>
        <v/>
      </c>
      <c r="N127" s="8"/>
      <c r="O127" s="17"/>
      <c r="P127" s="235"/>
    </row>
    <row r="128" spans="2:16" x14ac:dyDescent="0.25">
      <c r="B128" s="17"/>
      <c r="C128" s="17"/>
      <c r="D128" s="113"/>
      <c r="E128" s="1742" t="str">
        <f t="shared" si="8"/>
        <v>Process emissions sub-installation, CL</v>
      </c>
      <c r="F128" s="1743"/>
      <c r="G128" s="1743"/>
      <c r="H128" s="289" t="s">
        <v>354</v>
      </c>
      <c r="I128" s="112" t="str">
        <f>IF(I108=EUconst_NA,EUconst_NA,IF(AND(ISNUMBER(D_Emissions!I$66),I108&lt;&gt;""),I108/D_Emissions!I$66*100,""))</f>
        <v/>
      </c>
      <c r="J128" s="112" t="str">
        <f>IF(J108=EUconst_NA,EUconst_NA,IF(AND(ISNUMBER(D_Emissions!J$66),J108&lt;&gt;""),J108/D_Emissions!J$66*100,""))</f>
        <v/>
      </c>
      <c r="K128" s="112" t="str">
        <f>IF(K108=EUconst_NA,EUconst_NA,IF(AND(ISNUMBER(D_Emissions!K$66),K108&lt;&gt;""),K108/D_Emissions!K$66*100,""))</f>
        <v/>
      </c>
      <c r="L128" s="112" t="str">
        <f>IF(L108=EUconst_NA,EUconst_NA,IF(AND(ISNUMBER(D_Emissions!L$66),L108&lt;&gt;""),L108/D_Emissions!L$66*100,""))</f>
        <v/>
      </c>
      <c r="M128" s="112" t="str">
        <f>IF(M108=EUconst_NA,EUconst_NA,IF(AND(ISNUMBER(D_Emissions!M$66),M108&lt;&gt;""),M108/D_Emissions!M$66*100,""))</f>
        <v/>
      </c>
      <c r="N128" s="8"/>
      <c r="O128" s="17"/>
      <c r="P128" s="235"/>
    </row>
    <row r="129" spans="2:17" ht="13.8" thickBot="1" x14ac:dyDescent="0.3">
      <c r="B129" s="17"/>
      <c r="C129" s="17"/>
      <c r="D129" s="113"/>
      <c r="E129" s="1732" t="str">
        <f t="shared" si="8"/>
        <v>Process emissions sub-installation, non-CL</v>
      </c>
      <c r="F129" s="1733"/>
      <c r="G129" s="1733"/>
      <c r="H129" s="290" t="s">
        <v>354</v>
      </c>
      <c r="I129" s="111" t="str">
        <f>IF(I109=EUconst_NA,EUconst_NA,IF(AND(ISNUMBER(D_Emissions!I$66),I109&lt;&gt;""),I109/D_Emissions!I$66*100,""))</f>
        <v/>
      </c>
      <c r="J129" s="111" t="str">
        <f>IF(J109=EUconst_NA,EUconst_NA,IF(AND(ISNUMBER(D_Emissions!J$66),J109&lt;&gt;""),J109/D_Emissions!J$66*100,""))</f>
        <v/>
      </c>
      <c r="K129" s="111" t="str">
        <f>IF(K109=EUconst_NA,EUconst_NA,IF(AND(ISNUMBER(D_Emissions!K$66),K109&lt;&gt;""),K109/D_Emissions!K$66*100,""))</f>
        <v/>
      </c>
      <c r="L129" s="111" t="str">
        <f>IF(L109=EUconst_NA,EUconst_NA,IF(AND(ISNUMBER(D_Emissions!L$66),L109&lt;&gt;""),L109/D_Emissions!L$66*100,""))</f>
        <v/>
      </c>
      <c r="M129" s="111" t="str">
        <f>IF(M109=EUconst_NA,EUconst_NA,IF(AND(ISNUMBER(D_Emissions!M$66),M109&lt;&gt;""),M109/D_Emissions!M$66*100,""))</f>
        <v/>
      </c>
      <c r="N129" s="8"/>
      <c r="O129" s="17"/>
      <c r="P129" s="235"/>
    </row>
    <row r="130" spans="2:17" ht="13.8" thickBot="1" x14ac:dyDescent="0.3">
      <c r="B130" s="17"/>
      <c r="C130" s="17"/>
      <c r="D130" s="113"/>
      <c r="E130" s="1565" t="str">
        <f>E110</f>
        <v>Control: Other emissions</v>
      </c>
      <c r="F130" s="1565"/>
      <c r="G130" s="1565"/>
      <c r="H130" s="927" t="s">
        <v>354</v>
      </c>
      <c r="I130" s="304" t="str">
        <f>IF(I110=EUconst_NA,EUconst_NA,IF(AND(ISNUMBER(D_Emissions!I$66),I110&lt;&gt;""),I110/D_Emissions!I$66*100,""))</f>
        <v/>
      </c>
      <c r="J130" s="304" t="str">
        <f>IF(J110=EUconst_NA,EUconst_NA,IF(AND(ISNUMBER(D_Emissions!J$66),J110&lt;&gt;""),J110/D_Emissions!J$66*100,""))</f>
        <v/>
      </c>
      <c r="K130" s="304" t="str">
        <f>IF(K110=EUconst_NA,EUconst_NA,IF(AND(ISNUMBER(D_Emissions!K$66),K110&lt;&gt;""),K110/D_Emissions!K$66*100,""))</f>
        <v/>
      </c>
      <c r="L130" s="304" t="str">
        <f>IF(L110=EUconst_NA,EUconst_NA,IF(AND(ISNUMBER(D_Emissions!L$66),L110&lt;&gt;""),L110/D_Emissions!L$66*100,""))</f>
        <v/>
      </c>
      <c r="M130" s="304" t="str">
        <f>IF(M110=EUconst_NA,EUconst_NA,IF(AND(ISNUMBER(D_Emissions!M$66),M110&lt;&gt;""),M110/D_Emissions!M$66*100,""))</f>
        <v/>
      </c>
      <c r="N130" s="8"/>
      <c r="O130" s="17"/>
      <c r="P130" s="1000"/>
    </row>
    <row r="131" spans="2:17" ht="12.75" customHeight="1" x14ac:dyDescent="0.25">
      <c r="B131" s="17"/>
      <c r="C131" s="17"/>
      <c r="D131" s="17"/>
      <c r="E131" s="17"/>
      <c r="F131" s="17"/>
      <c r="G131" s="17"/>
      <c r="H131" s="17"/>
      <c r="I131" s="17"/>
      <c r="J131" s="17"/>
      <c r="K131" s="17"/>
      <c r="L131" s="17"/>
      <c r="M131" s="17"/>
      <c r="N131" s="17"/>
      <c r="O131" s="17"/>
    </row>
    <row r="132" spans="2:17" ht="13.8" x14ac:dyDescent="0.25">
      <c r="B132" s="17"/>
      <c r="C132" s="19">
        <v>3</v>
      </c>
      <c r="D132" s="1234" t="str">
        <f>Translations!$B$1186</f>
        <v>Cogeneration tool - Section D.III</v>
      </c>
      <c r="E132" s="1176"/>
      <c r="F132" s="1176"/>
      <c r="G132" s="1176"/>
      <c r="H132" s="1176"/>
      <c r="I132" s="1176"/>
      <c r="J132" s="1176"/>
      <c r="K132" s="1176"/>
      <c r="L132" s="1176"/>
      <c r="M132" s="1176"/>
      <c r="N132" s="1176"/>
      <c r="O132" s="17"/>
    </row>
    <row r="133" spans="2:17" ht="5.0999999999999996" customHeight="1" x14ac:dyDescent="0.25">
      <c r="B133" s="8"/>
      <c r="C133" s="8"/>
      <c r="D133" s="8"/>
      <c r="E133" s="8"/>
      <c r="F133" s="8"/>
      <c r="G133" s="8"/>
      <c r="H133" s="8"/>
      <c r="I133" s="8"/>
      <c r="J133" s="8"/>
      <c r="K133" s="8"/>
      <c r="L133" s="8"/>
      <c r="M133" s="8"/>
      <c r="N133" s="8"/>
      <c r="O133" s="17"/>
      <c r="P133" s="9"/>
      <c r="Q133" s="9"/>
    </row>
    <row r="134" spans="2:17" ht="12.75" customHeight="1" x14ac:dyDescent="0.25">
      <c r="B134" s="17"/>
      <c r="C134" s="8"/>
      <c r="D134" s="15" t="s">
        <v>190</v>
      </c>
      <c r="E134" s="1208" t="str">
        <f>Translations!$B$1187</f>
        <v>Cogeneration tool 1</v>
      </c>
      <c r="F134" s="1208"/>
      <c r="G134" s="1208"/>
      <c r="H134" s="1208"/>
      <c r="I134" s="1208"/>
      <c r="J134" s="1208"/>
      <c r="K134" s="1208"/>
      <c r="L134" s="1433"/>
      <c r="M134" s="340" t="str">
        <f>IF(ISBLANK(D_Emissions!M76),"",D_Emissions!M76)</f>
        <v/>
      </c>
      <c r="N134" s="625"/>
      <c r="O134" s="17"/>
    </row>
    <row r="135" spans="2:17" ht="5.0999999999999996" customHeight="1" x14ac:dyDescent="0.25">
      <c r="B135" s="17"/>
      <c r="C135" s="17"/>
      <c r="D135" s="17"/>
      <c r="E135" s="17"/>
      <c r="F135" s="17"/>
      <c r="G135" s="17"/>
      <c r="H135" s="17"/>
      <c r="I135" s="17"/>
      <c r="J135" s="17"/>
      <c r="K135" s="17"/>
      <c r="L135" s="17"/>
      <c r="M135" s="17"/>
      <c r="N135" s="17"/>
      <c r="O135" s="17"/>
    </row>
    <row r="136" spans="2:17" ht="12.75" customHeight="1" x14ac:dyDescent="0.25">
      <c r="B136" s="17"/>
      <c r="C136" s="17"/>
      <c r="D136" s="17"/>
      <c r="E136" s="1259" t="str">
        <f>Translations!$B$1188</f>
        <v>Energy balance</v>
      </c>
      <c r="F136" s="1212"/>
      <c r="G136" s="1212"/>
      <c r="H136" s="24" t="str">
        <f>D_Emissions!H87</f>
        <v>Unit</v>
      </c>
      <c r="I136" s="128">
        <f>D_Emissions!I87</f>
        <v>2019</v>
      </c>
      <c r="J136" s="128">
        <f>D_Emissions!J87</f>
        <v>2020</v>
      </c>
      <c r="K136" s="128">
        <f>D_Emissions!K87</f>
        <v>2021</v>
      </c>
      <c r="L136" s="128">
        <f>D_Emissions!L87</f>
        <v>2022</v>
      </c>
      <c r="M136" s="128">
        <f>D_Emissions!M87</f>
        <v>2023</v>
      </c>
      <c r="N136" s="17"/>
      <c r="O136" s="17"/>
    </row>
    <row r="137" spans="2:17" ht="12.75" customHeight="1" x14ac:dyDescent="0.25">
      <c r="B137" s="17"/>
      <c r="C137" s="17"/>
      <c r="D137" s="17"/>
      <c r="E137" s="1412" t="str">
        <f>D_Emissions!E88</f>
        <v>Fuel input into CHP</v>
      </c>
      <c r="F137" s="1412"/>
      <c r="G137" s="1412"/>
      <c r="H137" s="43" t="str">
        <f>D_Emissions!H88</f>
        <v>TJ / year</v>
      </c>
      <c r="I137" s="439" t="str">
        <f>IF(ISBLANK(D_Emissions!I88),"",D_Emissions!I88)</f>
        <v/>
      </c>
      <c r="J137" s="439" t="str">
        <f>IF(ISBLANK(D_Emissions!J88),"",D_Emissions!J88)</f>
        <v/>
      </c>
      <c r="K137" s="439" t="str">
        <f>IF(ISBLANK(D_Emissions!K88),"",D_Emissions!K88)</f>
        <v/>
      </c>
      <c r="L137" s="439" t="str">
        <f>IF(ISBLANK(D_Emissions!L88),"",D_Emissions!L88)</f>
        <v/>
      </c>
      <c r="M137" s="439" t="str">
        <f>IF(ISBLANK(D_Emissions!M88),"",D_Emissions!M88)</f>
        <v/>
      </c>
      <c r="N137" s="17"/>
      <c r="O137" s="17"/>
    </row>
    <row r="138" spans="2:17" ht="12.75" customHeight="1" x14ac:dyDescent="0.25">
      <c r="B138" s="17"/>
      <c r="C138" s="17"/>
      <c r="D138" s="17"/>
      <c r="E138" s="1248" t="str">
        <f>D_Emissions!E93</f>
        <v>Heat output from CHP</v>
      </c>
      <c r="F138" s="1248"/>
      <c r="G138" s="1248"/>
      <c r="H138" s="856" t="str">
        <f>D_Emissions!H93</f>
        <v>TJ / year</v>
      </c>
      <c r="I138" s="436" t="str">
        <f>IF(ISBLANK(D_Emissions!I93),"",D_Emissions!I93)</f>
        <v/>
      </c>
      <c r="J138" s="436" t="str">
        <f>IF(ISBLANK(D_Emissions!J93),"",D_Emissions!J93)</f>
        <v/>
      </c>
      <c r="K138" s="436" t="str">
        <f>IF(ISBLANK(D_Emissions!K93),"",D_Emissions!K93)</f>
        <v/>
      </c>
      <c r="L138" s="436" t="str">
        <f>IF(ISBLANK(D_Emissions!L93),"",D_Emissions!L93)</f>
        <v/>
      </c>
      <c r="M138" s="436" t="str">
        <f>IF(ISBLANK(D_Emissions!M93),"",D_Emissions!M93)</f>
        <v/>
      </c>
      <c r="N138" s="17"/>
      <c r="O138" s="17"/>
    </row>
    <row r="139" spans="2:17" ht="12.75" customHeight="1" x14ac:dyDescent="0.25">
      <c r="B139" s="17"/>
      <c r="C139" s="17"/>
      <c r="D139" s="17"/>
      <c r="E139" s="1254" t="str">
        <f>D_Emissions!E99</f>
        <v>Electricity output from CHP</v>
      </c>
      <c r="F139" s="1254"/>
      <c r="G139" s="1254"/>
      <c r="H139" s="860" t="str">
        <f>D_Emissions!H99</f>
        <v>TJ / year</v>
      </c>
      <c r="I139" s="437" t="str">
        <f>IF(ISBLANK(D_Emissions!I99),"",D_Emissions!I99)</f>
        <v/>
      </c>
      <c r="J139" s="437" t="str">
        <f>IF(ISBLANK(D_Emissions!J99),"",D_Emissions!J99)</f>
        <v/>
      </c>
      <c r="K139" s="437" t="str">
        <f>IF(ISBLANK(D_Emissions!K99),"",D_Emissions!K99)</f>
        <v/>
      </c>
      <c r="L139" s="437" t="str">
        <f>IF(ISBLANK(D_Emissions!L99),"",D_Emissions!L99)</f>
        <v/>
      </c>
      <c r="M139" s="437" t="str">
        <f>IF(ISBLANK(D_Emissions!M99),"",D_Emissions!M99)</f>
        <v/>
      </c>
      <c r="N139" s="17"/>
      <c r="O139" s="17"/>
    </row>
    <row r="140" spans="2:17" ht="5.0999999999999996" customHeight="1" x14ac:dyDescent="0.25">
      <c r="B140" s="17"/>
      <c r="C140" s="17"/>
      <c r="D140" s="17"/>
      <c r="E140" s="17"/>
      <c r="F140" s="17"/>
      <c r="G140" s="17"/>
      <c r="H140" s="17"/>
      <c r="I140" s="17"/>
      <c r="J140" s="17"/>
      <c r="K140" s="17"/>
      <c r="L140" s="17"/>
      <c r="M140" s="17"/>
      <c r="N140" s="17"/>
      <c r="O140" s="17"/>
    </row>
    <row r="141" spans="2:17" ht="12.75" customHeight="1" x14ac:dyDescent="0.25">
      <c r="B141" s="17"/>
      <c r="C141" s="17"/>
      <c r="D141" s="17"/>
      <c r="E141" s="1259" t="str">
        <f>Translations!$B$1189</f>
        <v>Emissions</v>
      </c>
      <c r="F141" s="1212"/>
      <c r="G141" s="1212"/>
      <c r="H141" s="24" t="str">
        <f>D_Emissions!H92</f>
        <v>Unit</v>
      </c>
      <c r="I141" s="128">
        <f>D_Emissions!I92</f>
        <v>2019</v>
      </c>
      <c r="J141" s="128">
        <f>D_Emissions!J92</f>
        <v>2020</v>
      </c>
      <c r="K141" s="128">
        <f>D_Emissions!K92</f>
        <v>2021</v>
      </c>
      <c r="L141" s="128">
        <f>D_Emissions!L92</f>
        <v>2022</v>
      </c>
      <c r="M141" s="128">
        <f>D_Emissions!M92</f>
        <v>2023</v>
      </c>
      <c r="N141" s="17"/>
      <c r="O141" s="17"/>
    </row>
    <row r="142" spans="2:17" ht="12.75" customHeight="1" x14ac:dyDescent="0.25">
      <c r="B142" s="17"/>
      <c r="C142" s="17"/>
      <c r="D142" s="17"/>
      <c r="E142" s="1248" t="str">
        <f>D_Emissions!E104</f>
        <v>From fuel input to CHP</v>
      </c>
      <c r="F142" s="1248"/>
      <c r="G142" s="1248"/>
      <c r="H142" s="856" t="str">
        <f>D_Emissions!H104</f>
        <v>t CO2 / year</v>
      </c>
      <c r="I142" s="436" t="str">
        <f>IF(ISBLANK(D_Emissions!I104),"",D_Emissions!I104)</f>
        <v/>
      </c>
      <c r="J142" s="436" t="str">
        <f>IF(ISBLANK(D_Emissions!J104),"",D_Emissions!J104)</f>
        <v/>
      </c>
      <c r="K142" s="436" t="str">
        <f>IF(ISBLANK(D_Emissions!K104),"",D_Emissions!K104)</f>
        <v/>
      </c>
      <c r="L142" s="436" t="str">
        <f>IF(ISBLANK(D_Emissions!L104),"",D_Emissions!L104)</f>
        <v/>
      </c>
      <c r="M142" s="436" t="str">
        <f>IF(ISBLANK(D_Emissions!M104),"",D_Emissions!M104)</f>
        <v/>
      </c>
      <c r="N142" s="17"/>
      <c r="O142" s="17"/>
    </row>
    <row r="143" spans="2:17" ht="12.75" customHeight="1" x14ac:dyDescent="0.25">
      <c r="B143" s="17"/>
      <c r="C143" s="17"/>
      <c r="D143" s="17"/>
      <c r="E143" s="1254" t="str">
        <f>D_Emissions!E105</f>
        <v>From flue gas cleaning</v>
      </c>
      <c r="F143" s="1254"/>
      <c r="G143" s="1254"/>
      <c r="H143" s="860" t="str">
        <f>D_Emissions!H105</f>
        <v>t CO2 / year</v>
      </c>
      <c r="I143" s="437" t="str">
        <f>IF(ISBLANK(D_Emissions!I105),"",D_Emissions!I105)</f>
        <v/>
      </c>
      <c r="J143" s="437" t="str">
        <f>IF(ISBLANK(D_Emissions!J105),"",D_Emissions!J105)</f>
        <v/>
      </c>
      <c r="K143" s="437" t="str">
        <f>IF(ISBLANK(D_Emissions!K105),"",D_Emissions!K105)</f>
        <v/>
      </c>
      <c r="L143" s="437" t="str">
        <f>IF(ISBLANK(D_Emissions!L105),"",D_Emissions!L105)</f>
        <v/>
      </c>
      <c r="M143" s="437" t="str">
        <f>IF(ISBLANK(D_Emissions!M105),"",D_Emissions!M105)</f>
        <v/>
      </c>
      <c r="N143" s="17"/>
      <c r="O143" s="17"/>
    </row>
    <row r="144" spans="2:17" ht="12.75" customHeight="1" x14ac:dyDescent="0.25">
      <c r="B144" s="17"/>
      <c r="C144" s="17"/>
      <c r="D144" s="17"/>
      <c r="E144" s="1412" t="str">
        <f>D_Emissions!E106</f>
        <v>Total emissions</v>
      </c>
      <c r="F144" s="1412"/>
      <c r="G144" s="1412"/>
      <c r="H144" s="43" t="str">
        <f>D_Emissions!H106</f>
        <v>t CO2 / year</v>
      </c>
      <c r="I144" s="439" t="str">
        <f>D_Emissions!I106</f>
        <v/>
      </c>
      <c r="J144" s="439" t="str">
        <f>D_Emissions!J106</f>
        <v/>
      </c>
      <c r="K144" s="439" t="str">
        <f>D_Emissions!K106</f>
        <v/>
      </c>
      <c r="L144" s="439" t="str">
        <f>D_Emissions!L106</f>
        <v/>
      </c>
      <c r="M144" s="439" t="str">
        <f>D_Emissions!M106</f>
        <v/>
      </c>
      <c r="N144" s="17"/>
      <c r="O144" s="17"/>
    </row>
    <row r="145" spans="2:15" ht="5.0999999999999996" customHeight="1" x14ac:dyDescent="0.25">
      <c r="B145" s="17"/>
      <c r="C145" s="17"/>
      <c r="D145" s="17"/>
      <c r="E145" s="276"/>
      <c r="F145" s="276"/>
      <c r="G145" s="276"/>
      <c r="H145" s="276"/>
      <c r="I145" s="276"/>
      <c r="J145" s="276"/>
      <c r="K145" s="276"/>
      <c r="L145" s="276"/>
      <c r="M145" s="276"/>
      <c r="N145" s="17"/>
      <c r="O145" s="17"/>
    </row>
    <row r="146" spans="2:15" ht="12.75" customHeight="1" x14ac:dyDescent="0.25">
      <c r="B146" s="17"/>
      <c r="C146" s="17"/>
      <c r="D146" s="17"/>
      <c r="E146" s="1259" t="str">
        <f>Translations!$B$1190</f>
        <v>Efficiencies</v>
      </c>
      <c r="F146" s="1212"/>
      <c r="G146" s="1212"/>
      <c r="H146" s="24" t="str">
        <f>D_Emissions!H113</f>
        <v>Unit</v>
      </c>
      <c r="I146" s="128">
        <f>D_Emissions!I113</f>
        <v>2019</v>
      </c>
      <c r="J146" s="128">
        <f>D_Emissions!J113</f>
        <v>2020</v>
      </c>
      <c r="K146" s="128">
        <f>D_Emissions!K113</f>
        <v>2021</v>
      </c>
      <c r="L146" s="128">
        <f>D_Emissions!L113</f>
        <v>2022</v>
      </c>
      <c r="M146" s="128">
        <f>D_Emissions!M113</f>
        <v>2023</v>
      </c>
      <c r="N146" s="17"/>
      <c r="O146" s="17"/>
    </row>
    <row r="147" spans="2:15" ht="12.75" customHeight="1" x14ac:dyDescent="0.25">
      <c r="B147" s="17"/>
      <c r="C147" s="17"/>
      <c r="D147" s="17"/>
      <c r="E147" s="1248" t="str">
        <f>D_Emissions!E114</f>
        <v>Heat production</v>
      </c>
      <c r="F147" s="1248"/>
      <c r="G147" s="1248"/>
      <c r="H147" s="345" t="str">
        <f>D_Emissions!H114</f>
        <v>-</v>
      </c>
      <c r="I147" s="1042" t="str">
        <f>D_Emissions!I114</f>
        <v/>
      </c>
      <c r="J147" s="1042" t="str">
        <f>D_Emissions!J114</f>
        <v/>
      </c>
      <c r="K147" s="1042" t="str">
        <f>D_Emissions!K114</f>
        <v/>
      </c>
      <c r="L147" s="1042" t="str">
        <f>D_Emissions!L114</f>
        <v/>
      </c>
      <c r="M147" s="1042" t="str">
        <f>D_Emissions!M114</f>
        <v/>
      </c>
      <c r="N147" s="17"/>
      <c r="O147" s="17"/>
    </row>
    <row r="148" spans="2:15" ht="12.75" customHeight="1" x14ac:dyDescent="0.25">
      <c r="B148" s="17"/>
      <c r="C148" s="17"/>
      <c r="D148" s="17"/>
      <c r="E148" s="1254" t="str">
        <f>D_Emissions!E115</f>
        <v>Electricity production</v>
      </c>
      <c r="F148" s="1254"/>
      <c r="G148" s="1254"/>
      <c r="H148" s="346" t="str">
        <f>D_Emissions!H115</f>
        <v>-</v>
      </c>
      <c r="I148" s="1043" t="str">
        <f>D_Emissions!I115</f>
        <v/>
      </c>
      <c r="J148" s="1043" t="str">
        <f>D_Emissions!J115</f>
        <v/>
      </c>
      <c r="K148" s="1043" t="str">
        <f>D_Emissions!K115</f>
        <v/>
      </c>
      <c r="L148" s="1043" t="str">
        <f>D_Emissions!L115</f>
        <v/>
      </c>
      <c r="M148" s="1043" t="str">
        <f>D_Emissions!M115</f>
        <v/>
      </c>
      <c r="N148" s="17"/>
      <c r="O148" s="17"/>
    </row>
    <row r="149" spans="2:15" ht="12.75" customHeight="1" x14ac:dyDescent="0.25">
      <c r="B149" s="17"/>
      <c r="C149" s="17"/>
      <c r="D149" s="17"/>
      <c r="E149" s="1248" t="str">
        <f>Translations!$B$1191</f>
        <v>Heat production (reference)</v>
      </c>
      <c r="F149" s="1248"/>
      <c r="G149" s="1248"/>
      <c r="H149" s="345" t="str">
        <f>D_Emissions!H123</f>
        <v>-</v>
      </c>
      <c r="I149" s="1044" t="str">
        <f>IF(ISBLANK(D_Emissions!I123),"",D_Emissions!I123)</f>
        <v/>
      </c>
      <c r="J149" s="1044" t="str">
        <f>IF(ISBLANK(D_Emissions!J123),"",D_Emissions!J123)</f>
        <v/>
      </c>
      <c r="K149" s="1044" t="str">
        <f>IF(ISBLANK(D_Emissions!K123),"",D_Emissions!K123)</f>
        <v/>
      </c>
      <c r="L149" s="1044" t="str">
        <f>IF(ISBLANK(D_Emissions!L123),"",D_Emissions!L123)</f>
        <v/>
      </c>
      <c r="M149" s="1044" t="str">
        <f>IF(ISBLANK(D_Emissions!M123),"",D_Emissions!M123)</f>
        <v/>
      </c>
      <c r="N149" s="17"/>
      <c r="O149" s="17"/>
    </row>
    <row r="150" spans="2:15" ht="12.75" customHeight="1" x14ac:dyDescent="0.25">
      <c r="B150" s="17"/>
      <c r="C150" s="17"/>
      <c r="D150" s="17"/>
      <c r="E150" s="1254" t="str">
        <f>Translations!$B$1192</f>
        <v>Electricity production (reference)</v>
      </c>
      <c r="F150" s="1254"/>
      <c r="G150" s="1254"/>
      <c r="H150" s="346" t="str">
        <f>D_Emissions!H124</f>
        <v>-</v>
      </c>
      <c r="I150" s="1045" t="str">
        <f>IF(ISBLANK(D_Emissions!I124),"",D_Emissions!I124)</f>
        <v/>
      </c>
      <c r="J150" s="1045" t="str">
        <f>IF(ISBLANK(D_Emissions!J124),"",D_Emissions!J124)</f>
        <v/>
      </c>
      <c r="K150" s="1045" t="str">
        <f>IF(ISBLANK(D_Emissions!K124),"",D_Emissions!K124)</f>
        <v/>
      </c>
      <c r="L150" s="1045" t="str">
        <f>IF(ISBLANK(D_Emissions!L124),"",D_Emissions!L124)</f>
        <v/>
      </c>
      <c r="M150" s="1045" t="str">
        <f>IF(ISBLANK(D_Emissions!M124),"",D_Emissions!M124)</f>
        <v/>
      </c>
      <c r="N150" s="17"/>
      <c r="O150" s="17"/>
    </row>
    <row r="151" spans="2:15" ht="5.0999999999999996" customHeight="1" x14ac:dyDescent="0.25">
      <c r="B151" s="17"/>
      <c r="C151" s="17"/>
      <c r="D151" s="17"/>
      <c r="E151" s="17"/>
      <c r="F151" s="17"/>
      <c r="G151" s="17"/>
      <c r="H151" s="17"/>
      <c r="I151" s="17"/>
      <c r="J151" s="17"/>
      <c r="K151" s="17"/>
      <c r="L151" s="17"/>
      <c r="M151" s="17"/>
      <c r="N151" s="17"/>
      <c r="O151" s="17"/>
    </row>
    <row r="152" spans="2:15" ht="12.75" customHeight="1" x14ac:dyDescent="0.25">
      <c r="B152" s="17"/>
      <c r="C152" s="17"/>
      <c r="D152" s="17"/>
      <c r="E152" s="1259" t="str">
        <f>Translations!$B$1193</f>
        <v>Results</v>
      </c>
      <c r="F152" s="1212"/>
      <c r="G152" s="1212"/>
      <c r="H152" s="24" t="str">
        <f>D_Emissions!H176</f>
        <v>Unit</v>
      </c>
      <c r="I152" s="128">
        <f>D_Emissions!I176</f>
        <v>2019</v>
      </c>
      <c r="J152" s="128">
        <f>D_Emissions!J176</f>
        <v>2020</v>
      </c>
      <c r="K152" s="128">
        <f>D_Emissions!K176</f>
        <v>2021</v>
      </c>
      <c r="L152" s="128">
        <f>D_Emissions!L176</f>
        <v>2022</v>
      </c>
      <c r="M152" s="128">
        <f>D_Emissions!M176</f>
        <v>2023</v>
      </c>
      <c r="N152" s="17"/>
      <c r="O152" s="17"/>
    </row>
    <row r="153" spans="2:15" ht="12.75" customHeight="1" x14ac:dyDescent="0.25">
      <c r="B153" s="17"/>
      <c r="C153" s="17"/>
      <c r="D153" s="17"/>
      <c r="E153" s="1746" t="str">
        <f>D_Emissions!E131</f>
        <v>Emissions attributable to heat output</v>
      </c>
      <c r="F153" s="1746"/>
      <c r="G153" s="1746"/>
      <c r="H153" s="236" t="str">
        <f>D_Emissions!H131</f>
        <v>t CO2 / year</v>
      </c>
      <c r="I153" s="446" t="str">
        <f>D_Emissions!I131</f>
        <v/>
      </c>
      <c r="J153" s="446" t="str">
        <f>D_Emissions!J131</f>
        <v/>
      </c>
      <c r="K153" s="446" t="str">
        <f>D_Emissions!K131</f>
        <v/>
      </c>
      <c r="L153" s="446" t="str">
        <f>D_Emissions!L131</f>
        <v/>
      </c>
      <c r="M153" s="446" t="str">
        <f>D_Emissions!M131</f>
        <v/>
      </c>
      <c r="N153" s="17"/>
      <c r="O153" s="17"/>
    </row>
    <row r="154" spans="2:15" ht="12.75" customHeight="1" x14ac:dyDescent="0.25">
      <c r="B154" s="17"/>
      <c r="C154" s="17"/>
      <c r="D154" s="17"/>
      <c r="E154" s="1412" t="str">
        <f>D_Emissions!E132</f>
        <v>Emission factor, heat</v>
      </c>
      <c r="F154" s="1412"/>
      <c r="G154" s="1412"/>
      <c r="H154" s="43" t="str">
        <f>D_Emissions!H132</f>
        <v>t CO2 / TJ</v>
      </c>
      <c r="I154" s="439" t="str">
        <f>D_Emissions!I132</f>
        <v/>
      </c>
      <c r="J154" s="439" t="str">
        <f>D_Emissions!J132</f>
        <v/>
      </c>
      <c r="K154" s="439" t="str">
        <f>D_Emissions!K132</f>
        <v/>
      </c>
      <c r="L154" s="439" t="str">
        <f>D_Emissions!L132</f>
        <v/>
      </c>
      <c r="M154" s="439" t="str">
        <f>D_Emissions!M132</f>
        <v/>
      </c>
      <c r="N154" s="17"/>
      <c r="O154" s="17"/>
    </row>
    <row r="155" spans="2:15" ht="5.0999999999999996" customHeight="1" x14ac:dyDescent="0.25">
      <c r="B155" s="17"/>
      <c r="C155" s="17"/>
      <c r="D155" s="17"/>
      <c r="E155" s="17"/>
      <c r="F155" s="17"/>
      <c r="G155" s="17"/>
      <c r="H155" s="17"/>
      <c r="I155" s="17"/>
      <c r="J155" s="17"/>
      <c r="K155" s="17"/>
      <c r="L155" s="17"/>
      <c r="M155" s="17"/>
      <c r="N155" s="17"/>
      <c r="O155" s="17"/>
    </row>
    <row r="156" spans="2:15" ht="12.75" customHeight="1" x14ac:dyDescent="0.25">
      <c r="B156" s="17"/>
      <c r="C156" s="17"/>
      <c r="D156" s="17"/>
      <c r="E156" s="1248" t="str">
        <f>D_Emissions!E137</f>
        <v>Fuel input for heat</v>
      </c>
      <c r="F156" s="1248"/>
      <c r="G156" s="1248"/>
      <c r="H156" s="856" t="str">
        <f>D_Emissions!H137</f>
        <v>TJ / year</v>
      </c>
      <c r="I156" s="436" t="str">
        <f>D_Emissions!I137</f>
        <v/>
      </c>
      <c r="J156" s="436" t="str">
        <f>D_Emissions!J137</f>
        <v/>
      </c>
      <c r="K156" s="436" t="str">
        <f>D_Emissions!K137</f>
        <v/>
      </c>
      <c r="L156" s="436" t="str">
        <f>D_Emissions!L137</f>
        <v/>
      </c>
      <c r="M156" s="436" t="str">
        <f>D_Emissions!M137</f>
        <v/>
      </c>
      <c r="N156" s="17"/>
      <c r="O156" s="17"/>
    </row>
    <row r="157" spans="2:15" ht="12.75" customHeight="1" x14ac:dyDescent="0.25">
      <c r="B157" s="17"/>
      <c r="C157" s="17"/>
      <c r="D157" s="17"/>
      <c r="E157" s="1254" t="str">
        <f>D_Emissions!E138</f>
        <v>Fuel input for electricity</v>
      </c>
      <c r="F157" s="1254"/>
      <c r="G157" s="1254"/>
      <c r="H157" s="860" t="str">
        <f>D_Emissions!H138</f>
        <v>TJ / year</v>
      </c>
      <c r="I157" s="437" t="str">
        <f>D_Emissions!I138</f>
        <v/>
      </c>
      <c r="J157" s="437" t="str">
        <f>D_Emissions!J138</f>
        <v/>
      </c>
      <c r="K157" s="437" t="str">
        <f>D_Emissions!K138</f>
        <v/>
      </c>
      <c r="L157" s="437" t="str">
        <f>D_Emissions!L138</f>
        <v/>
      </c>
      <c r="M157" s="437" t="str">
        <f>D_Emissions!M138</f>
        <v/>
      </c>
      <c r="N157" s="17"/>
      <c r="O157" s="17"/>
    </row>
    <row r="158" spans="2:15" ht="12.75" customHeight="1" x14ac:dyDescent="0.25">
      <c r="B158" s="17"/>
      <c r="C158" s="8"/>
      <c r="D158" s="8"/>
      <c r="E158" s="8"/>
      <c r="F158" s="8"/>
      <c r="G158" s="8"/>
      <c r="H158" s="8"/>
      <c r="I158" s="8"/>
      <c r="J158" s="8"/>
      <c r="K158" s="8"/>
      <c r="L158" s="8"/>
      <c r="M158" s="8"/>
      <c r="N158" s="8"/>
      <c r="O158" s="17"/>
    </row>
    <row r="159" spans="2:15" ht="12.75" customHeight="1" x14ac:dyDescent="0.25">
      <c r="B159" s="17"/>
      <c r="C159" s="8"/>
      <c r="D159" s="15" t="s">
        <v>192</v>
      </c>
      <c r="E159" s="1208" t="str">
        <f>Translations!$B$1194</f>
        <v>Cogeneration tool 2</v>
      </c>
      <c r="F159" s="1208"/>
      <c r="G159" s="1208"/>
      <c r="H159" s="1208"/>
      <c r="I159" s="1208"/>
      <c r="J159" s="1208"/>
      <c r="K159" s="1208"/>
      <c r="L159" s="1433"/>
      <c r="M159" s="340" t="str">
        <f>M134</f>
        <v/>
      </c>
      <c r="N159" s="625"/>
      <c r="O159" s="17"/>
    </row>
    <row r="160" spans="2:15" ht="5.0999999999999996" customHeight="1" x14ac:dyDescent="0.25">
      <c r="B160" s="17"/>
      <c r="C160" s="17"/>
      <c r="D160" s="17"/>
      <c r="E160" s="17"/>
      <c r="F160" s="17"/>
      <c r="G160" s="17"/>
      <c r="H160" s="17"/>
      <c r="I160" s="17"/>
      <c r="J160" s="17"/>
      <c r="K160" s="17"/>
      <c r="L160" s="17"/>
      <c r="M160" s="17"/>
      <c r="N160" s="17"/>
      <c r="O160" s="17"/>
    </row>
    <row r="161" spans="2:15" ht="12.75" customHeight="1" x14ac:dyDescent="0.25">
      <c r="B161" s="17"/>
      <c r="C161" s="17"/>
      <c r="D161" s="17"/>
      <c r="E161" s="1259" t="str">
        <f>Translations!$B$1188</f>
        <v>Energy balance</v>
      </c>
      <c r="F161" s="1212"/>
      <c r="G161" s="1212"/>
      <c r="H161" s="24" t="str">
        <f>D_Emissions!H145</f>
        <v>Unit</v>
      </c>
      <c r="I161" s="128">
        <f>D_Emissions!I145</f>
        <v>2019</v>
      </c>
      <c r="J161" s="128">
        <f>D_Emissions!J145</f>
        <v>2020</v>
      </c>
      <c r="K161" s="128">
        <f>D_Emissions!K145</f>
        <v>2021</v>
      </c>
      <c r="L161" s="128">
        <f>D_Emissions!L145</f>
        <v>2022</v>
      </c>
      <c r="M161" s="128">
        <f>D_Emissions!M145</f>
        <v>2023</v>
      </c>
      <c r="N161" s="17"/>
      <c r="O161" s="17"/>
    </row>
    <row r="162" spans="2:15" ht="12.75" customHeight="1" x14ac:dyDescent="0.25">
      <c r="B162" s="17"/>
      <c r="C162" s="17"/>
      <c r="D162" s="17"/>
      <c r="E162" s="1412" t="str">
        <f>D_Emissions!E146</f>
        <v>Fuel input into CHP</v>
      </c>
      <c r="F162" s="1412"/>
      <c r="G162" s="1412"/>
      <c r="H162" s="43" t="str">
        <f>D_Emissions!H146</f>
        <v>TJ / year</v>
      </c>
      <c r="I162" s="439" t="str">
        <f>IF(ISBLANK(D_Emissions!I146),"",D_Emissions!I146)</f>
        <v/>
      </c>
      <c r="J162" s="439" t="str">
        <f>IF(ISBLANK(D_Emissions!J146),"",D_Emissions!J146)</f>
        <v/>
      </c>
      <c r="K162" s="439" t="str">
        <f>IF(ISBLANK(D_Emissions!K146),"",D_Emissions!K146)</f>
        <v/>
      </c>
      <c r="L162" s="439" t="str">
        <f>IF(ISBLANK(D_Emissions!L146),"",D_Emissions!L146)</f>
        <v/>
      </c>
      <c r="M162" s="439" t="str">
        <f>IF(ISBLANK(D_Emissions!M146),"",D_Emissions!M146)</f>
        <v/>
      </c>
      <c r="N162" s="17"/>
      <c r="O162" s="17"/>
    </row>
    <row r="163" spans="2:15" ht="12.75" customHeight="1" x14ac:dyDescent="0.25">
      <c r="B163" s="17"/>
      <c r="C163" s="17"/>
      <c r="D163" s="17"/>
      <c r="E163" s="1248" t="str">
        <f>D_Emissions!E150</f>
        <v>Heat output from CHP</v>
      </c>
      <c r="F163" s="1248"/>
      <c r="G163" s="1248"/>
      <c r="H163" s="856" t="str">
        <f>D_Emissions!H150</f>
        <v>TJ / year</v>
      </c>
      <c r="I163" s="436" t="str">
        <f>IF(ISBLANK(D_Emissions!I150),"",D_Emissions!I150)</f>
        <v/>
      </c>
      <c r="J163" s="436" t="str">
        <f>IF(ISBLANK(D_Emissions!J150),"",D_Emissions!J150)</f>
        <v/>
      </c>
      <c r="K163" s="436" t="str">
        <f>IF(ISBLANK(D_Emissions!K150),"",D_Emissions!K150)</f>
        <v/>
      </c>
      <c r="L163" s="436" t="str">
        <f>IF(ISBLANK(D_Emissions!L150),"",D_Emissions!L150)</f>
        <v/>
      </c>
      <c r="M163" s="436" t="str">
        <f>IF(ISBLANK(D_Emissions!M150),"",D_Emissions!M150)</f>
        <v/>
      </c>
      <c r="N163" s="17"/>
      <c r="O163" s="17"/>
    </row>
    <row r="164" spans="2:15" ht="12.75" customHeight="1" x14ac:dyDescent="0.25">
      <c r="B164" s="17"/>
      <c r="C164" s="17"/>
      <c r="D164" s="17"/>
      <c r="E164" s="1254" t="str">
        <f>D_Emissions!E155</f>
        <v>Electricity output CHP</v>
      </c>
      <c r="F164" s="1254"/>
      <c r="G164" s="1254"/>
      <c r="H164" s="860" t="str">
        <f>D_Emissions!H155</f>
        <v>TJ / year</v>
      </c>
      <c r="I164" s="437" t="str">
        <f>IF(ISBLANK(D_Emissions!I155),"",D_Emissions!I155)</f>
        <v/>
      </c>
      <c r="J164" s="437" t="str">
        <f>IF(ISBLANK(D_Emissions!J155),"",D_Emissions!J155)</f>
        <v/>
      </c>
      <c r="K164" s="437" t="str">
        <f>IF(ISBLANK(D_Emissions!K155),"",D_Emissions!K155)</f>
        <v/>
      </c>
      <c r="L164" s="437" t="str">
        <f>IF(ISBLANK(D_Emissions!L155),"",D_Emissions!L155)</f>
        <v/>
      </c>
      <c r="M164" s="437" t="str">
        <f>IF(ISBLANK(D_Emissions!M155),"",D_Emissions!M155)</f>
        <v/>
      </c>
      <c r="N164" s="17"/>
      <c r="O164" s="17"/>
    </row>
    <row r="165" spans="2:15" ht="5.0999999999999996" customHeight="1" x14ac:dyDescent="0.25">
      <c r="B165" s="17"/>
      <c r="C165" s="17"/>
      <c r="D165" s="17"/>
      <c r="E165" s="17"/>
      <c r="F165" s="17"/>
      <c r="G165" s="17"/>
      <c r="H165" s="17"/>
      <c r="I165" s="17"/>
      <c r="J165" s="17"/>
      <c r="K165" s="17"/>
      <c r="L165" s="17"/>
      <c r="M165" s="17"/>
      <c r="N165" s="17"/>
      <c r="O165" s="17"/>
    </row>
    <row r="166" spans="2:15" ht="12.75" customHeight="1" x14ac:dyDescent="0.25">
      <c r="B166" s="17"/>
      <c r="C166" s="8"/>
      <c r="D166" s="17"/>
      <c r="E166" s="1259" t="str">
        <f>Translations!$B$1189</f>
        <v>Emissions</v>
      </c>
      <c r="F166" s="1212"/>
      <c r="G166" s="1212"/>
      <c r="H166" s="24" t="str">
        <f>D_Emissions!H158</f>
        <v>Unit</v>
      </c>
      <c r="I166" s="128">
        <f>D_Emissions!I158</f>
        <v>2019</v>
      </c>
      <c r="J166" s="128">
        <f>D_Emissions!J158</f>
        <v>2020</v>
      </c>
      <c r="K166" s="128">
        <f>D_Emissions!K158</f>
        <v>2021</v>
      </c>
      <c r="L166" s="128">
        <f>D_Emissions!L158</f>
        <v>2022</v>
      </c>
      <c r="M166" s="128">
        <f>D_Emissions!M158</f>
        <v>2023</v>
      </c>
      <c r="N166" s="625"/>
      <c r="O166" s="17"/>
    </row>
    <row r="167" spans="2:15" ht="12.75" customHeight="1" x14ac:dyDescent="0.25">
      <c r="B167" s="17"/>
      <c r="C167" s="17"/>
      <c r="D167" s="17"/>
      <c r="E167" s="1248" t="str">
        <f>D_Emissions!E159</f>
        <v>From fuel input to CHP</v>
      </c>
      <c r="F167" s="1248"/>
      <c r="G167" s="1248"/>
      <c r="H167" s="856" t="str">
        <f>D_Emissions!H159</f>
        <v>t CO2 / year</v>
      </c>
      <c r="I167" s="436" t="str">
        <f>IF(ISBLANK(D_Emissions!I159),"",D_Emissions!I159)</f>
        <v/>
      </c>
      <c r="J167" s="436" t="str">
        <f>IF(ISBLANK(D_Emissions!J159),"",D_Emissions!J159)</f>
        <v/>
      </c>
      <c r="K167" s="436" t="str">
        <f>IF(ISBLANK(D_Emissions!K159),"",D_Emissions!K159)</f>
        <v/>
      </c>
      <c r="L167" s="436" t="str">
        <f>IF(ISBLANK(D_Emissions!L159),"",D_Emissions!L159)</f>
        <v/>
      </c>
      <c r="M167" s="436" t="str">
        <f>IF(ISBLANK(D_Emissions!M159),"",D_Emissions!M159)</f>
        <v/>
      </c>
      <c r="N167" s="17"/>
      <c r="O167" s="17"/>
    </row>
    <row r="168" spans="2:15" ht="12.75" customHeight="1" x14ac:dyDescent="0.25">
      <c r="B168" s="17"/>
      <c r="C168" s="17"/>
      <c r="D168" s="17"/>
      <c r="E168" s="1254" t="str">
        <f>D_Emissions!E160</f>
        <v>From flue gas cleaning</v>
      </c>
      <c r="F168" s="1254"/>
      <c r="G168" s="1254"/>
      <c r="H168" s="860" t="str">
        <f>D_Emissions!H160</f>
        <v>t CO2 / year</v>
      </c>
      <c r="I168" s="437" t="str">
        <f>IF(ISBLANK(D_Emissions!I160),"",D_Emissions!I160)</f>
        <v/>
      </c>
      <c r="J168" s="437" t="str">
        <f>IF(ISBLANK(D_Emissions!J160),"",D_Emissions!J160)</f>
        <v/>
      </c>
      <c r="K168" s="437" t="str">
        <f>IF(ISBLANK(D_Emissions!K160),"",D_Emissions!K160)</f>
        <v/>
      </c>
      <c r="L168" s="437" t="str">
        <f>IF(ISBLANK(D_Emissions!L160),"",D_Emissions!L160)</f>
        <v/>
      </c>
      <c r="M168" s="437" t="str">
        <f>IF(ISBLANK(D_Emissions!M160),"",D_Emissions!M160)</f>
        <v/>
      </c>
      <c r="N168" s="17"/>
      <c r="O168" s="17"/>
    </row>
    <row r="169" spans="2:15" ht="12.75" customHeight="1" x14ac:dyDescent="0.25">
      <c r="B169" s="17"/>
      <c r="C169" s="17"/>
      <c r="D169" s="17"/>
      <c r="E169" s="1412" t="str">
        <f>D_Emissions!E161</f>
        <v>Total emissions</v>
      </c>
      <c r="F169" s="1412"/>
      <c r="G169" s="1412"/>
      <c r="H169" s="43" t="str">
        <f>D_Emissions!H161</f>
        <v>t CO2 / year</v>
      </c>
      <c r="I169" s="439" t="str">
        <f>D_Emissions!I161</f>
        <v/>
      </c>
      <c r="J169" s="439" t="str">
        <f>D_Emissions!J161</f>
        <v/>
      </c>
      <c r="K169" s="439" t="str">
        <f>D_Emissions!K161</f>
        <v/>
      </c>
      <c r="L169" s="439" t="str">
        <f>D_Emissions!L161</f>
        <v/>
      </c>
      <c r="M169" s="439" t="str">
        <f>D_Emissions!M161</f>
        <v/>
      </c>
      <c r="N169" s="17"/>
      <c r="O169" s="17"/>
    </row>
    <row r="170" spans="2:15" ht="5.0999999999999996" customHeight="1" x14ac:dyDescent="0.25">
      <c r="B170" s="17"/>
      <c r="C170" s="17"/>
      <c r="D170" s="17"/>
      <c r="E170" s="276"/>
      <c r="F170" s="276"/>
      <c r="G170" s="276"/>
      <c r="H170" s="276"/>
      <c r="I170" s="276"/>
      <c r="J170" s="276"/>
      <c r="K170" s="276"/>
      <c r="L170" s="276"/>
      <c r="M170" s="276"/>
      <c r="N170" s="17"/>
      <c r="O170" s="17"/>
    </row>
    <row r="171" spans="2:15" ht="12.75" customHeight="1" x14ac:dyDescent="0.25">
      <c r="B171" s="17"/>
      <c r="C171" s="17"/>
      <c r="D171" s="17"/>
      <c r="E171" s="1259" t="str">
        <f>Translations!$B$1190</f>
        <v>Efficiencies</v>
      </c>
      <c r="F171" s="1212"/>
      <c r="G171" s="1212"/>
      <c r="H171" s="24" t="str">
        <f>D_Emissions!H166</f>
        <v>Unit</v>
      </c>
      <c r="I171" s="128">
        <f>D_Emissions!I166</f>
        <v>2019</v>
      </c>
      <c r="J171" s="128">
        <f>D_Emissions!J166</f>
        <v>2020</v>
      </c>
      <c r="K171" s="128">
        <f>D_Emissions!K166</f>
        <v>2021</v>
      </c>
      <c r="L171" s="128">
        <f>D_Emissions!L166</f>
        <v>2022</v>
      </c>
      <c r="M171" s="128">
        <f>D_Emissions!M166</f>
        <v>2023</v>
      </c>
      <c r="N171" s="17"/>
      <c r="O171" s="17"/>
    </row>
    <row r="172" spans="2:15" ht="12.75" customHeight="1" x14ac:dyDescent="0.25">
      <c r="B172" s="17"/>
      <c r="C172" s="17"/>
      <c r="D172" s="17"/>
      <c r="E172" s="1248" t="str">
        <f>D_Emissions!E167</f>
        <v>Heat production</v>
      </c>
      <c r="F172" s="1248"/>
      <c r="G172" s="1248"/>
      <c r="H172" s="345" t="str">
        <f>D_Emissions!H167</f>
        <v>-</v>
      </c>
      <c r="I172" s="1042" t="str">
        <f>D_Emissions!I167</f>
        <v/>
      </c>
      <c r="J172" s="1042" t="str">
        <f>D_Emissions!J167</f>
        <v/>
      </c>
      <c r="K172" s="1042" t="str">
        <f>D_Emissions!K167</f>
        <v/>
      </c>
      <c r="L172" s="1042" t="str">
        <f>D_Emissions!L167</f>
        <v/>
      </c>
      <c r="M172" s="1042" t="str">
        <f>D_Emissions!M167</f>
        <v/>
      </c>
      <c r="N172" s="17"/>
      <c r="O172" s="17"/>
    </row>
    <row r="173" spans="2:15" ht="12.75" customHeight="1" x14ac:dyDescent="0.25">
      <c r="B173" s="17"/>
      <c r="C173" s="17"/>
      <c r="D173" s="17"/>
      <c r="E173" s="1254" t="str">
        <f>D_Emissions!E168</f>
        <v>Electricity production</v>
      </c>
      <c r="F173" s="1254"/>
      <c r="G173" s="1254"/>
      <c r="H173" s="346" t="str">
        <f>D_Emissions!H168</f>
        <v>-</v>
      </c>
      <c r="I173" s="1043" t="str">
        <f>D_Emissions!I168</f>
        <v/>
      </c>
      <c r="J173" s="1043" t="str">
        <f>D_Emissions!J168</f>
        <v/>
      </c>
      <c r="K173" s="1043" t="str">
        <f>D_Emissions!K168</f>
        <v/>
      </c>
      <c r="L173" s="1043" t="str">
        <f>D_Emissions!L168</f>
        <v/>
      </c>
      <c r="M173" s="1043" t="str">
        <f>D_Emissions!M168</f>
        <v/>
      </c>
      <c r="N173" s="17"/>
      <c r="O173" s="17"/>
    </row>
    <row r="174" spans="2:15" ht="12.75" customHeight="1" x14ac:dyDescent="0.25">
      <c r="B174" s="17"/>
      <c r="C174" s="17"/>
      <c r="D174" s="17"/>
      <c r="E174" s="1248" t="str">
        <f>Translations!$B$1191</f>
        <v>Heat production (reference)</v>
      </c>
      <c r="F174" s="1248"/>
      <c r="G174" s="1248"/>
      <c r="H174" s="345" t="str">
        <f>D_Emissions!H172</f>
        <v>-</v>
      </c>
      <c r="I174" s="1044" t="str">
        <f>IF(ISBLANK(D_Emissions!I172),"",D_Emissions!I172)</f>
        <v/>
      </c>
      <c r="J174" s="1044" t="str">
        <f>IF(ISBLANK(D_Emissions!J172),"",D_Emissions!J172)</f>
        <v/>
      </c>
      <c r="K174" s="1044" t="str">
        <f>IF(ISBLANK(D_Emissions!K172),"",D_Emissions!K172)</f>
        <v/>
      </c>
      <c r="L174" s="1044" t="str">
        <f>IF(ISBLANK(D_Emissions!L172),"",D_Emissions!L172)</f>
        <v/>
      </c>
      <c r="M174" s="1044" t="str">
        <f>IF(ISBLANK(D_Emissions!M172),"",D_Emissions!M172)</f>
        <v/>
      </c>
      <c r="N174" s="17"/>
      <c r="O174" s="17"/>
    </row>
    <row r="175" spans="2:15" ht="12.75" customHeight="1" x14ac:dyDescent="0.25">
      <c r="B175" s="17"/>
      <c r="C175" s="17"/>
      <c r="D175" s="17"/>
      <c r="E175" s="1254" t="str">
        <f>Translations!$B$1192</f>
        <v>Electricity production (reference)</v>
      </c>
      <c r="F175" s="1254"/>
      <c r="G175" s="1254"/>
      <c r="H175" s="346" t="str">
        <f>D_Emissions!H173</f>
        <v>-</v>
      </c>
      <c r="I175" s="1045" t="str">
        <f>IF(ISBLANK(D_Emissions!I173),"",D_Emissions!I173)</f>
        <v/>
      </c>
      <c r="J175" s="1045" t="str">
        <f>IF(ISBLANK(D_Emissions!J173),"",D_Emissions!J173)</f>
        <v/>
      </c>
      <c r="K175" s="1045" t="str">
        <f>IF(ISBLANK(D_Emissions!K173),"",D_Emissions!K173)</f>
        <v/>
      </c>
      <c r="L175" s="1045" t="str">
        <f>IF(ISBLANK(D_Emissions!L173),"",D_Emissions!L173)</f>
        <v/>
      </c>
      <c r="M175" s="1045" t="str">
        <f>IF(ISBLANK(D_Emissions!M173),"",D_Emissions!M173)</f>
        <v/>
      </c>
      <c r="N175" s="17"/>
      <c r="O175" s="17"/>
    </row>
    <row r="176" spans="2:15" ht="5.0999999999999996" customHeight="1" x14ac:dyDescent="0.25">
      <c r="B176" s="17"/>
      <c r="C176" s="17"/>
      <c r="D176" s="17"/>
      <c r="E176" s="17"/>
      <c r="F176" s="17"/>
      <c r="G176" s="17"/>
      <c r="H176" s="17"/>
      <c r="I176" s="17"/>
      <c r="J176" s="17"/>
      <c r="K176" s="17"/>
      <c r="L176" s="17"/>
      <c r="M176" s="17"/>
      <c r="N176" s="17"/>
      <c r="O176" s="17"/>
    </row>
    <row r="177" spans="2:17" ht="12.75" customHeight="1" x14ac:dyDescent="0.25">
      <c r="B177" s="17"/>
      <c r="C177" s="17"/>
      <c r="D177" s="17"/>
      <c r="E177" s="1259" t="str">
        <f>Translations!$B$1193</f>
        <v>Results</v>
      </c>
      <c r="F177" s="1212"/>
      <c r="G177" s="1212"/>
      <c r="H177" s="24" t="str">
        <f>D_Emissions!H176</f>
        <v>Unit</v>
      </c>
      <c r="I177" s="128">
        <f>D_Emissions!I176</f>
        <v>2019</v>
      </c>
      <c r="J177" s="128">
        <f>D_Emissions!J176</f>
        <v>2020</v>
      </c>
      <c r="K177" s="128">
        <f>D_Emissions!K176</f>
        <v>2021</v>
      </c>
      <c r="L177" s="128">
        <f>D_Emissions!L176</f>
        <v>2022</v>
      </c>
      <c r="M177" s="128">
        <f>D_Emissions!M176</f>
        <v>2023</v>
      </c>
      <c r="N177" s="17"/>
      <c r="O177" s="17"/>
    </row>
    <row r="178" spans="2:17" ht="12.75" customHeight="1" x14ac:dyDescent="0.25">
      <c r="B178" s="17"/>
      <c r="C178" s="17"/>
      <c r="D178" s="17"/>
      <c r="E178" s="1746" t="str">
        <f>D_Emissions!E177</f>
        <v>Emissions attributable to heat output</v>
      </c>
      <c r="F178" s="1746"/>
      <c r="G178" s="1746"/>
      <c r="H178" s="236" t="str">
        <f>D_Emissions!H177</f>
        <v>t CO2 / year</v>
      </c>
      <c r="I178" s="446" t="str">
        <f>D_Emissions!I177</f>
        <v/>
      </c>
      <c r="J178" s="446" t="str">
        <f>D_Emissions!J177</f>
        <v/>
      </c>
      <c r="K178" s="446" t="str">
        <f>D_Emissions!K177</f>
        <v/>
      </c>
      <c r="L178" s="446" t="str">
        <f>D_Emissions!L177</f>
        <v/>
      </c>
      <c r="M178" s="446" t="str">
        <f>D_Emissions!M177</f>
        <v/>
      </c>
      <c r="N178" s="17"/>
      <c r="O178" s="17"/>
    </row>
    <row r="179" spans="2:17" ht="12.75" customHeight="1" x14ac:dyDescent="0.25">
      <c r="B179" s="17"/>
      <c r="C179" s="17"/>
      <c r="D179" s="17"/>
      <c r="E179" s="1412" t="str">
        <f>D_Emissions!E178</f>
        <v>Emission factor, heat</v>
      </c>
      <c r="F179" s="1412"/>
      <c r="G179" s="1412"/>
      <c r="H179" s="43" t="str">
        <f>D_Emissions!H178</f>
        <v>t CO2 / TJ</v>
      </c>
      <c r="I179" s="439" t="str">
        <f>D_Emissions!I178</f>
        <v/>
      </c>
      <c r="J179" s="439" t="str">
        <f>D_Emissions!J178</f>
        <v/>
      </c>
      <c r="K179" s="439" t="str">
        <f>D_Emissions!K178</f>
        <v/>
      </c>
      <c r="L179" s="439" t="str">
        <f>D_Emissions!L178</f>
        <v/>
      </c>
      <c r="M179" s="439" t="str">
        <f>D_Emissions!M178</f>
        <v/>
      </c>
      <c r="N179" s="17"/>
      <c r="O179" s="17"/>
    </row>
    <row r="180" spans="2:17" ht="5.0999999999999996" customHeight="1" x14ac:dyDescent="0.25">
      <c r="B180" s="17"/>
      <c r="C180" s="17"/>
      <c r="D180" s="17"/>
      <c r="E180" s="17"/>
      <c r="F180" s="17"/>
      <c r="G180" s="17"/>
      <c r="H180" s="17"/>
      <c r="I180" s="17"/>
      <c r="J180" s="17"/>
      <c r="K180" s="17"/>
      <c r="L180" s="17"/>
      <c r="M180" s="17"/>
      <c r="N180" s="17"/>
      <c r="O180" s="17"/>
    </row>
    <row r="181" spans="2:17" ht="12.75" customHeight="1" x14ac:dyDescent="0.25">
      <c r="B181" s="17"/>
      <c r="C181" s="17"/>
      <c r="D181" s="17"/>
      <c r="E181" s="1248" t="str">
        <f>D_Emissions!E182</f>
        <v>Fuel input for heat</v>
      </c>
      <c r="F181" s="1248"/>
      <c r="G181" s="1248"/>
      <c r="H181" s="856" t="str">
        <f>D_Emissions!H182</f>
        <v>TJ / year</v>
      </c>
      <c r="I181" s="436" t="str">
        <f>D_Emissions!I182</f>
        <v/>
      </c>
      <c r="J181" s="436" t="str">
        <f>D_Emissions!J182</f>
        <v/>
      </c>
      <c r="K181" s="436" t="str">
        <f>D_Emissions!K182</f>
        <v/>
      </c>
      <c r="L181" s="436" t="str">
        <f>D_Emissions!L182</f>
        <v/>
      </c>
      <c r="M181" s="436" t="str">
        <f>D_Emissions!M182</f>
        <v/>
      </c>
      <c r="N181" s="17"/>
      <c r="O181" s="17"/>
    </row>
    <row r="182" spans="2:17" ht="12.75" customHeight="1" x14ac:dyDescent="0.25">
      <c r="B182" s="17"/>
      <c r="C182" s="17"/>
      <c r="D182" s="17"/>
      <c r="E182" s="1254" t="str">
        <f>D_Emissions!E183</f>
        <v>Fuel input for electricity</v>
      </c>
      <c r="F182" s="1254"/>
      <c r="G182" s="1254"/>
      <c r="H182" s="860" t="str">
        <f>D_Emissions!H183</f>
        <v>TJ / year</v>
      </c>
      <c r="I182" s="437" t="str">
        <f>D_Emissions!I183</f>
        <v/>
      </c>
      <c r="J182" s="437" t="str">
        <f>D_Emissions!J183</f>
        <v/>
      </c>
      <c r="K182" s="437" t="str">
        <f>D_Emissions!K183</f>
        <v/>
      </c>
      <c r="L182" s="437" t="str">
        <f>D_Emissions!L183</f>
        <v/>
      </c>
      <c r="M182" s="437" t="str">
        <f>D_Emissions!M183</f>
        <v/>
      </c>
      <c r="N182" s="17"/>
      <c r="O182" s="17"/>
    </row>
    <row r="183" spans="2:17" ht="12.75" customHeight="1" x14ac:dyDescent="0.25">
      <c r="B183" s="17"/>
      <c r="C183" s="17"/>
      <c r="D183" s="17"/>
      <c r="E183" s="17"/>
      <c r="F183" s="17"/>
      <c r="G183" s="17"/>
      <c r="H183" s="17"/>
      <c r="I183" s="17"/>
      <c r="J183" s="17"/>
      <c r="K183" s="17"/>
      <c r="L183" s="17"/>
      <c r="M183" s="17"/>
      <c r="N183" s="17"/>
      <c r="O183" s="17"/>
    </row>
    <row r="184" spans="2:17" ht="13.8" x14ac:dyDescent="0.25">
      <c r="B184" s="17"/>
      <c r="C184" s="19">
        <v>4</v>
      </c>
      <c r="D184" s="1234" t="str">
        <f>Translations!$B$1195</f>
        <v>Waste gas tool (waste gases not covered by product benchmarks) - Section D.IV</v>
      </c>
      <c r="E184" s="1176"/>
      <c r="F184" s="1176"/>
      <c r="G184" s="1176"/>
      <c r="H184" s="1176"/>
      <c r="I184" s="1176"/>
      <c r="J184" s="1176"/>
      <c r="K184" s="1176"/>
      <c r="L184" s="1176"/>
      <c r="M184" s="1176"/>
      <c r="N184" s="1176"/>
      <c r="O184" s="17"/>
    </row>
    <row r="185" spans="2:17" ht="5.0999999999999996" customHeight="1" x14ac:dyDescent="0.25">
      <c r="B185" s="8"/>
      <c r="C185" s="8"/>
      <c r="D185" s="8"/>
      <c r="E185" s="8"/>
      <c r="F185" s="8"/>
      <c r="G185" s="8"/>
      <c r="H185" s="8"/>
      <c r="I185" s="8"/>
      <c r="J185" s="8"/>
      <c r="K185" s="8"/>
      <c r="L185" s="8"/>
      <c r="M185" s="8"/>
      <c r="N185" s="8"/>
      <c r="O185" s="17"/>
      <c r="P185" s="9"/>
      <c r="Q185" s="9"/>
    </row>
    <row r="186" spans="2:17" ht="12.75" customHeight="1" x14ac:dyDescent="0.25">
      <c r="B186" s="17"/>
      <c r="C186" s="8"/>
      <c r="D186" s="15" t="s">
        <v>190</v>
      </c>
      <c r="E186" s="1165" t="str">
        <f>D_Emissions!E201</f>
        <v>This section relates to the process emissions sub-installation of this type:</v>
      </c>
      <c r="F186" s="1165"/>
      <c r="G186" s="1165"/>
      <c r="H186" s="1165"/>
      <c r="I186" s="1165"/>
      <c r="J186" s="1165"/>
      <c r="K186" s="1425"/>
      <c r="L186" s="1748" t="str">
        <f>IF(ISBLANK(D_Emissions!L201),"",D_Emissions!L201)</f>
        <v/>
      </c>
      <c r="M186" s="1749"/>
      <c r="N186" s="1750"/>
      <c r="O186" s="17"/>
    </row>
    <row r="187" spans="2:17" ht="12.75" customHeight="1" x14ac:dyDescent="0.25">
      <c r="B187" s="17"/>
      <c r="C187" s="8"/>
      <c r="D187" s="15"/>
      <c r="E187" s="1165" t="str">
        <f>D_Emissions!E207</f>
        <v>Type of waste gas:</v>
      </c>
      <c r="F187" s="1176"/>
      <c r="G187" s="1260"/>
      <c r="H187" s="1367" t="str">
        <f>IF(ISBLANK(D_Emissions!H207),"",D_Emissions!H207)</f>
        <v/>
      </c>
      <c r="I187" s="1368"/>
      <c r="J187" s="1368"/>
      <c r="K187" s="1368"/>
      <c r="L187" s="1368"/>
      <c r="M187" s="1368"/>
      <c r="N187" s="1369"/>
      <c r="O187" s="17"/>
    </row>
    <row r="188" spans="2:17" ht="12.75" customHeight="1" x14ac:dyDescent="0.25">
      <c r="B188" s="17"/>
      <c r="C188" s="17"/>
      <c r="D188" s="17"/>
      <c r="E188" s="22"/>
      <c r="F188" s="78"/>
      <c r="G188" s="78"/>
      <c r="H188" s="24" t="str">
        <f>Translations!$B$1196</f>
        <v>Unit</v>
      </c>
      <c r="I188" s="128">
        <v>2014</v>
      </c>
      <c r="J188" s="128">
        <v>2015</v>
      </c>
      <c r="K188" s="128">
        <v>2016</v>
      </c>
      <c r="L188" s="128">
        <v>2017</v>
      </c>
      <c r="M188" s="128">
        <v>2018</v>
      </c>
      <c r="N188" s="8"/>
      <c r="O188" s="17"/>
    </row>
    <row r="189" spans="2:17" ht="12.75" customHeight="1" x14ac:dyDescent="0.25">
      <c r="B189" s="17"/>
      <c r="C189" s="17"/>
      <c r="D189" s="17"/>
      <c r="E189" s="1412" t="str">
        <f>D_Emissions!E216</f>
        <v>Uncorrected process emissions</v>
      </c>
      <c r="F189" s="1412"/>
      <c r="G189" s="1412"/>
      <c r="H189" s="43" t="str">
        <f>D_Emissions!H216</f>
        <v>t CO2e/year</v>
      </c>
      <c r="I189" s="913" t="str">
        <f>IF(ISBLANK(D_Emissions!I216),"",D_Emissions!I216)</f>
        <v/>
      </c>
      <c r="J189" s="913" t="str">
        <f>IF(ISBLANK(D_Emissions!J216),"",D_Emissions!J216)</f>
        <v/>
      </c>
      <c r="K189" s="913" t="str">
        <f>IF(ISBLANK(D_Emissions!K216),"",D_Emissions!K216)</f>
        <v/>
      </c>
      <c r="L189" s="913" t="str">
        <f>IF(ISBLANK(D_Emissions!L216),"",D_Emissions!L216)</f>
        <v/>
      </c>
      <c r="M189" s="913" t="str">
        <f>IF(ISBLANK(D_Emissions!M216),"",D_Emissions!M216)</f>
        <v/>
      </c>
      <c r="N189" s="8"/>
      <c r="O189" s="17"/>
    </row>
    <row r="190" spans="2:17" ht="12.75" customHeight="1" x14ac:dyDescent="0.25">
      <c r="B190" s="17"/>
      <c r="C190" s="17"/>
      <c r="D190" s="17"/>
      <c r="E190" s="1412" t="str">
        <f>Translations!$B$462</f>
        <v>Emissions from waste gases</v>
      </c>
      <c r="F190" s="1412"/>
      <c r="G190" s="1412"/>
      <c r="H190" s="43" t="str">
        <f>D_Emissions!H222</f>
        <v>t CO2e/year</v>
      </c>
      <c r="I190" s="913" t="str">
        <f>IF(ISBLANK(D_Emissions!I222),"",D_Emissions!I222)</f>
        <v/>
      </c>
      <c r="J190" s="913" t="str">
        <f>IF(ISBLANK(D_Emissions!J222),"",D_Emissions!J222)</f>
        <v/>
      </c>
      <c r="K190" s="913" t="str">
        <f>IF(ISBLANK(D_Emissions!K222),"",D_Emissions!K222)</f>
        <v/>
      </c>
      <c r="L190" s="913" t="str">
        <f>IF(ISBLANK(D_Emissions!L222),"",D_Emissions!L222)</f>
        <v/>
      </c>
      <c r="M190" s="913" t="str">
        <f>IF(ISBLANK(D_Emissions!M222),"",D_Emissions!M222)</f>
        <v/>
      </c>
      <c r="N190" s="8"/>
      <c r="O190" s="17"/>
    </row>
    <row r="191" spans="2:17" ht="12.75" customHeight="1" x14ac:dyDescent="0.25">
      <c r="B191" s="17"/>
      <c r="C191" s="17"/>
      <c r="D191" s="17"/>
      <c r="E191" s="1412" t="str">
        <f>Translations!$B$467</f>
        <v>Amount of waste gas per year</v>
      </c>
      <c r="F191" s="1412"/>
      <c r="G191" s="1412"/>
      <c r="H191" s="1046" t="str">
        <f>IF(ISBLANK(D_Emissions!H229),"",D_Emissions!H229)</f>
        <v/>
      </c>
      <c r="I191" s="913" t="str">
        <f>IF(ISBLANK(D_Emissions!I229),"",D_Emissions!I229)</f>
        <v/>
      </c>
      <c r="J191" s="913" t="str">
        <f>IF(ISBLANK(D_Emissions!J229),"",D_Emissions!J229)</f>
        <v/>
      </c>
      <c r="K191" s="913" t="str">
        <f>IF(ISBLANK(D_Emissions!K229),"",D_Emissions!K229)</f>
        <v/>
      </c>
      <c r="L191" s="913" t="str">
        <f>IF(ISBLANK(D_Emissions!L229),"",D_Emissions!L229)</f>
        <v/>
      </c>
      <c r="M191" s="913" t="str">
        <f>IF(ISBLANK(D_Emissions!M229),"",D_Emissions!M229)</f>
        <v/>
      </c>
      <c r="N191" s="17"/>
      <c r="O191" s="17"/>
    </row>
    <row r="192" spans="2:17" ht="12.75" customHeight="1" x14ac:dyDescent="0.25">
      <c r="B192" s="17"/>
      <c r="C192" s="17"/>
      <c r="D192" s="17"/>
      <c r="E192" s="1412" t="str">
        <f>D_Emissions!E234</f>
        <v>Net calorific value</v>
      </c>
      <c r="F192" s="1412"/>
      <c r="G192" s="1412"/>
      <c r="H192" s="1046" t="str">
        <f>D_Emissions!H234</f>
        <v>GJ / Unit</v>
      </c>
      <c r="I192" s="913" t="str">
        <f>IF(ISBLANK(D_Emissions!I234),"",D_Emissions!I234)</f>
        <v/>
      </c>
      <c r="J192" s="913" t="str">
        <f>IF(ISBLANK(D_Emissions!J234),"",D_Emissions!J234)</f>
        <v/>
      </c>
      <c r="K192" s="913" t="str">
        <f>IF(ISBLANK(D_Emissions!K234),"",D_Emissions!K234)</f>
        <v/>
      </c>
      <c r="L192" s="913" t="str">
        <f>IF(ISBLANK(D_Emissions!L234),"",D_Emissions!L234)</f>
        <v/>
      </c>
      <c r="M192" s="913" t="str">
        <f>IF(ISBLANK(D_Emissions!M234),"",D_Emissions!M234)</f>
        <v/>
      </c>
      <c r="N192" s="17"/>
      <c r="O192" s="17"/>
    </row>
    <row r="193" spans="2:15" ht="12.75" customHeight="1" x14ac:dyDescent="0.25">
      <c r="B193" s="17"/>
      <c r="C193" s="17"/>
      <c r="D193" s="17"/>
      <c r="E193" s="1746" t="str">
        <f>Translations!$B$478</f>
        <v>Deduction for waste gases</v>
      </c>
      <c r="F193" s="1746"/>
      <c r="G193" s="1746"/>
      <c r="H193" s="236" t="str">
        <f>D_Emissions!H243</f>
        <v>t CO2 / year</v>
      </c>
      <c r="I193" s="110" t="str">
        <f>D_Emissions!I243</f>
        <v/>
      </c>
      <c r="J193" s="110" t="str">
        <f>D_Emissions!J243</f>
        <v/>
      </c>
      <c r="K193" s="110" t="str">
        <f>D_Emissions!K243</f>
        <v/>
      </c>
      <c r="L193" s="110" t="str">
        <f>D_Emissions!L243</f>
        <v/>
      </c>
      <c r="M193" s="110" t="str">
        <f>D_Emissions!M243</f>
        <v/>
      </c>
      <c r="N193" s="17"/>
      <c r="O193" s="17"/>
    </row>
    <row r="194" spans="2:15" ht="12.75" customHeight="1" x14ac:dyDescent="0.25">
      <c r="B194" s="17"/>
      <c r="C194" s="17"/>
      <c r="D194" s="17"/>
      <c r="E194" s="1746" t="str">
        <f>D_Emissions!E250</f>
        <v>Result of waste gas tool:</v>
      </c>
      <c r="F194" s="1746"/>
      <c r="G194" s="1746"/>
      <c r="H194" s="30" t="str">
        <f>D_Emissions!H250</f>
        <v>t CO2 / year</v>
      </c>
      <c r="I194" s="110" t="str">
        <f>D_Emissions!I250</f>
        <v/>
      </c>
      <c r="J194" s="110" t="str">
        <f>D_Emissions!J250</f>
        <v/>
      </c>
      <c r="K194" s="110" t="str">
        <f>D_Emissions!K250</f>
        <v/>
      </c>
      <c r="L194" s="110" t="str">
        <f>D_Emissions!L250</f>
        <v/>
      </c>
      <c r="M194" s="110" t="str">
        <f>D_Emissions!M250</f>
        <v/>
      </c>
      <c r="N194" s="17"/>
      <c r="O194" s="17"/>
    </row>
    <row r="195" spans="2:15" ht="5.0999999999999996" customHeight="1" x14ac:dyDescent="0.25">
      <c r="B195" s="17"/>
      <c r="C195" s="17"/>
      <c r="D195" s="17"/>
      <c r="E195" s="17"/>
      <c r="F195" s="17"/>
      <c r="G195" s="17"/>
      <c r="H195" s="17"/>
      <c r="I195" s="17"/>
      <c r="J195" s="17"/>
      <c r="K195" s="17"/>
      <c r="L195" s="17"/>
      <c r="M195" s="17"/>
      <c r="N195" s="17"/>
      <c r="O195" s="17"/>
    </row>
    <row r="196" spans="2:15" ht="12.75" customHeight="1" x14ac:dyDescent="0.25">
      <c r="B196" s="17"/>
      <c r="C196" s="17"/>
      <c r="D196" s="17"/>
      <c r="E196" s="1415" t="str">
        <f>D_Emissions!E237</f>
        <v>Reference efficiency for production of electricity:</v>
      </c>
      <c r="F196" s="1415"/>
      <c r="G196" s="1415"/>
      <c r="H196" s="1415"/>
      <c r="I196" s="821"/>
      <c r="J196" s="821" t="str">
        <f>D_Emissions!J237</f>
        <v>using natural gas:</v>
      </c>
      <c r="K196" s="1047">
        <f>IF(ISBLANK(D_Emissions!K237),"",D_Emissions!K237)</f>
        <v>0.52500000000000002</v>
      </c>
      <c r="L196" s="822"/>
      <c r="M196" s="821" t="str">
        <f>D_Emissions!M237</f>
        <v>using waste gas:</v>
      </c>
      <c r="N196" s="1047">
        <f>IF(ISBLANK(D_Emissions!N237),"",D_Emissions!N237)</f>
        <v>0.35</v>
      </c>
      <c r="O196" s="17"/>
    </row>
    <row r="197" spans="2:15" ht="12.75" customHeight="1" x14ac:dyDescent="0.25">
      <c r="B197" s="17"/>
      <c r="C197" s="8"/>
      <c r="D197" s="8"/>
      <c r="E197" s="8"/>
      <c r="F197" s="8"/>
      <c r="G197" s="8"/>
      <c r="H197" s="8"/>
      <c r="I197" s="8"/>
      <c r="J197" s="8"/>
      <c r="K197" s="8"/>
      <c r="L197" s="8"/>
      <c r="M197" s="8"/>
      <c r="N197" s="8"/>
      <c r="O197" s="17"/>
    </row>
    <row r="198" spans="2:15" ht="12.75" customHeight="1" x14ac:dyDescent="0.25">
      <c r="B198" s="17"/>
      <c r="C198" s="8"/>
      <c r="D198" s="15" t="s">
        <v>192</v>
      </c>
      <c r="E198" s="1165" t="str">
        <f>D_Emissions!E257</f>
        <v>This section relates to the process emissions sub-installation of this type:</v>
      </c>
      <c r="F198" s="1165"/>
      <c r="G198" s="1165"/>
      <c r="H198" s="1165"/>
      <c r="I198" s="1165"/>
      <c r="J198" s="1165"/>
      <c r="K198" s="1425"/>
      <c r="L198" s="1748" t="str">
        <f>IF(ISBLANK(D_Emissions!L257),"",D_Emissions!L257)</f>
        <v/>
      </c>
      <c r="M198" s="1749"/>
      <c r="N198" s="1750"/>
      <c r="O198" s="17"/>
    </row>
    <row r="199" spans="2:15" ht="12.75" customHeight="1" x14ac:dyDescent="0.25">
      <c r="B199" s="17"/>
      <c r="C199" s="8"/>
      <c r="D199" s="15"/>
      <c r="E199" s="1165" t="str">
        <f>D_Emissions!E261</f>
        <v>Type of waste gas:</v>
      </c>
      <c r="F199" s="1176"/>
      <c r="G199" s="1260"/>
      <c r="H199" s="1367" t="str">
        <f>IF(ISBLANK(D_Emissions!H261),"",D_Emissions!H261)</f>
        <v/>
      </c>
      <c r="I199" s="1368"/>
      <c r="J199" s="1368"/>
      <c r="K199" s="1368"/>
      <c r="L199" s="1368"/>
      <c r="M199" s="1368"/>
      <c r="N199" s="1369"/>
      <c r="O199" s="17"/>
    </row>
    <row r="200" spans="2:15" ht="12.75" customHeight="1" x14ac:dyDescent="0.25">
      <c r="B200" s="17"/>
      <c r="C200" s="17"/>
      <c r="D200" s="15"/>
      <c r="E200" s="22"/>
      <c r="F200" s="78"/>
      <c r="G200" s="78"/>
      <c r="H200" s="24" t="str">
        <f>D_Emissions!H268</f>
        <v>Unit</v>
      </c>
      <c r="I200" s="128">
        <f>D_Emissions!I268</f>
        <v>2019</v>
      </c>
      <c r="J200" s="128">
        <f>D_Emissions!J268</f>
        <v>2020</v>
      </c>
      <c r="K200" s="128">
        <f>D_Emissions!K268</f>
        <v>2021</v>
      </c>
      <c r="L200" s="128">
        <f>D_Emissions!L268</f>
        <v>2022</v>
      </c>
      <c r="M200" s="128">
        <f>D_Emissions!M268</f>
        <v>2023</v>
      </c>
      <c r="N200" s="8"/>
      <c r="O200" s="17"/>
    </row>
    <row r="201" spans="2:15" ht="12.75" customHeight="1" x14ac:dyDescent="0.25">
      <c r="B201" s="17"/>
      <c r="C201" s="17"/>
      <c r="D201" s="17"/>
      <c r="E201" s="1412" t="str">
        <f>D_Emissions!E269</f>
        <v>Uncorrected process emissions</v>
      </c>
      <c r="F201" s="1412"/>
      <c r="G201" s="1412"/>
      <c r="H201" s="43" t="str">
        <f>D_Emissions!H269</f>
        <v>t CO2e/year</v>
      </c>
      <c r="I201" s="913" t="str">
        <f>IF(ISBLANK(D_Emissions!I269),"",D_Emissions!I269)</f>
        <v/>
      </c>
      <c r="J201" s="913" t="str">
        <f>IF(ISBLANK(D_Emissions!J269),"",D_Emissions!J269)</f>
        <v/>
      </c>
      <c r="K201" s="913" t="str">
        <f>IF(ISBLANK(D_Emissions!K269),"",D_Emissions!K269)</f>
        <v/>
      </c>
      <c r="L201" s="913" t="str">
        <f>IF(ISBLANK(D_Emissions!L269),"",D_Emissions!L269)</f>
        <v/>
      </c>
      <c r="M201" s="913" t="str">
        <f>IF(ISBLANK(D_Emissions!M269),"",D_Emissions!M269)</f>
        <v/>
      </c>
      <c r="N201" s="8"/>
      <c r="O201" s="17"/>
    </row>
    <row r="202" spans="2:15" ht="12.75" customHeight="1" x14ac:dyDescent="0.25">
      <c r="B202" s="17"/>
      <c r="C202" s="17"/>
      <c r="D202" s="17"/>
      <c r="E202" s="1412" t="str">
        <f>Translations!$B$462</f>
        <v>Emissions from waste gases</v>
      </c>
      <c r="F202" s="1412"/>
      <c r="G202" s="1412"/>
      <c r="H202" s="43" t="str">
        <f>D_Emissions!H274</f>
        <v>t CO2e/year</v>
      </c>
      <c r="I202" s="913" t="str">
        <f>IF(ISBLANK(D_Emissions!I274),"",D_Emissions!I274)</f>
        <v/>
      </c>
      <c r="J202" s="913" t="str">
        <f>IF(ISBLANK(D_Emissions!J274),"",D_Emissions!J274)</f>
        <v/>
      </c>
      <c r="K202" s="913" t="str">
        <f>IF(ISBLANK(D_Emissions!K274),"",D_Emissions!K274)</f>
        <v/>
      </c>
      <c r="L202" s="913" t="str">
        <f>IF(ISBLANK(D_Emissions!L274),"",D_Emissions!L274)</f>
        <v/>
      </c>
      <c r="M202" s="913" t="str">
        <f>IF(ISBLANK(D_Emissions!M274),"",D_Emissions!M274)</f>
        <v/>
      </c>
      <c r="N202" s="8"/>
      <c r="O202" s="17"/>
    </row>
    <row r="203" spans="2:15" ht="12.75" customHeight="1" x14ac:dyDescent="0.25">
      <c r="B203" s="17"/>
      <c r="C203" s="17"/>
      <c r="D203" s="17"/>
      <c r="E203" s="1412" t="str">
        <f>Translations!$B$467</f>
        <v>Amount of waste gas per year</v>
      </c>
      <c r="F203" s="1412"/>
      <c r="G203" s="1412"/>
      <c r="H203" s="1046" t="str">
        <f>IF(ISBLANK(D_Emissions!H279),"",D_Emissions!H279)</f>
        <v/>
      </c>
      <c r="I203" s="913" t="str">
        <f>IF(ISBLANK(D_Emissions!I279),"",D_Emissions!I279)</f>
        <v/>
      </c>
      <c r="J203" s="913" t="str">
        <f>IF(ISBLANK(D_Emissions!J279),"",D_Emissions!J279)</f>
        <v/>
      </c>
      <c r="K203" s="913" t="str">
        <f>IF(ISBLANK(D_Emissions!K279),"",D_Emissions!K279)</f>
        <v/>
      </c>
      <c r="L203" s="913" t="str">
        <f>IF(ISBLANK(D_Emissions!L279),"",D_Emissions!L279)</f>
        <v/>
      </c>
      <c r="M203" s="913" t="str">
        <f>IF(ISBLANK(D_Emissions!M279),"",D_Emissions!M279)</f>
        <v/>
      </c>
      <c r="N203" s="8"/>
      <c r="O203" s="17"/>
    </row>
    <row r="204" spans="2:15" ht="12.75" customHeight="1" x14ac:dyDescent="0.25">
      <c r="B204" s="17"/>
      <c r="C204" s="17"/>
      <c r="D204" s="17"/>
      <c r="E204" s="1412" t="str">
        <f>D_Emissions!E283</f>
        <v>Net calorific value</v>
      </c>
      <c r="F204" s="1412"/>
      <c r="G204" s="1412"/>
      <c r="H204" s="1046" t="str">
        <f>D_Emissions!H283</f>
        <v>GJ / Unit</v>
      </c>
      <c r="I204" s="913" t="str">
        <f>IF(ISBLANK(D_Emissions!I283),"",D_Emissions!I283)</f>
        <v/>
      </c>
      <c r="J204" s="913" t="str">
        <f>IF(ISBLANK(D_Emissions!J283),"",D_Emissions!J283)</f>
        <v/>
      </c>
      <c r="K204" s="913" t="str">
        <f>IF(ISBLANK(D_Emissions!K283),"",D_Emissions!K283)</f>
        <v/>
      </c>
      <c r="L204" s="913" t="str">
        <f>IF(ISBLANK(D_Emissions!L283),"",D_Emissions!L283)</f>
        <v/>
      </c>
      <c r="M204" s="913" t="str">
        <f>IF(ISBLANK(D_Emissions!M283),"",D_Emissions!M283)</f>
        <v/>
      </c>
      <c r="N204" s="8"/>
      <c r="O204" s="17"/>
    </row>
    <row r="205" spans="2:15" ht="12.75" customHeight="1" x14ac:dyDescent="0.25">
      <c r="B205" s="17"/>
      <c r="C205" s="17"/>
      <c r="D205" s="17"/>
      <c r="E205" s="1746" t="str">
        <f>Translations!$B$478</f>
        <v>Deduction for waste gases</v>
      </c>
      <c r="F205" s="1746"/>
      <c r="G205" s="1746"/>
      <c r="H205" s="236" t="str">
        <f>D_Emissions!H293</f>
        <v>t CO2 / year</v>
      </c>
      <c r="I205" s="110" t="str">
        <f>D_Emissions!I293</f>
        <v/>
      </c>
      <c r="J205" s="110" t="str">
        <f>D_Emissions!J293</f>
        <v/>
      </c>
      <c r="K205" s="110" t="str">
        <f>D_Emissions!K293</f>
        <v/>
      </c>
      <c r="L205" s="110" t="str">
        <f>D_Emissions!L293</f>
        <v/>
      </c>
      <c r="M205" s="110" t="str">
        <f>D_Emissions!M293</f>
        <v/>
      </c>
      <c r="N205" s="8"/>
      <c r="O205" s="17"/>
    </row>
    <row r="206" spans="2:15" ht="12.75" customHeight="1" x14ac:dyDescent="0.25">
      <c r="B206" s="17"/>
      <c r="C206" s="17"/>
      <c r="D206" s="17"/>
      <c r="E206" s="1746" t="str">
        <f>D_Emissions!E298</f>
        <v>Result of waste gas tool:</v>
      </c>
      <c r="F206" s="1746"/>
      <c r="G206" s="1746"/>
      <c r="H206" s="30" t="str">
        <f>D_Emissions!H298</f>
        <v>t CO2 / year</v>
      </c>
      <c r="I206" s="110" t="str">
        <f>D_Emissions!I298</f>
        <v/>
      </c>
      <c r="J206" s="110" t="str">
        <f>D_Emissions!J298</f>
        <v/>
      </c>
      <c r="K206" s="110" t="str">
        <f>D_Emissions!K298</f>
        <v/>
      </c>
      <c r="L206" s="110" t="str">
        <f>D_Emissions!L298</f>
        <v/>
      </c>
      <c r="M206" s="110" t="str">
        <f>D_Emissions!M298</f>
        <v/>
      </c>
      <c r="N206" s="8"/>
      <c r="O206" s="17"/>
    </row>
    <row r="207" spans="2:15" ht="5.0999999999999996" customHeight="1" x14ac:dyDescent="0.25">
      <c r="B207" s="17"/>
      <c r="C207" s="8"/>
      <c r="D207" s="8"/>
      <c r="E207" s="8"/>
      <c r="F207" s="8"/>
      <c r="G207" s="8"/>
      <c r="H207" s="8"/>
      <c r="I207" s="8"/>
      <c r="J207" s="8"/>
      <c r="K207" s="8"/>
      <c r="L207" s="8"/>
      <c r="M207" s="8"/>
      <c r="N207" s="8"/>
      <c r="O207" s="17"/>
    </row>
    <row r="208" spans="2:15" ht="12.75" customHeight="1" x14ac:dyDescent="0.25">
      <c r="B208" s="17"/>
      <c r="C208" s="17"/>
      <c r="D208" s="17"/>
      <c r="E208" s="1415" t="str">
        <f>D_Emissions!E287</f>
        <v>Reference efficiency for production of electricity:</v>
      </c>
      <c r="F208" s="1415"/>
      <c r="G208" s="1415"/>
      <c r="H208" s="1415"/>
      <c r="I208" s="821"/>
      <c r="J208" s="821" t="str">
        <f>D_Emissions!J287</f>
        <v>using natural gas:</v>
      </c>
      <c r="K208" s="1047">
        <f>IF(ISBLANK(D_Emissions!K287),"",D_Emissions!K287)</f>
        <v>0.52500000000000002</v>
      </c>
      <c r="L208" s="822"/>
      <c r="M208" s="821" t="str">
        <f>D_Emissions!M287</f>
        <v>using waste gas:</v>
      </c>
      <c r="N208" s="1047">
        <f>IF(ISBLANK(D_Emissions!N287),"",D_Emissions!N287)</f>
        <v>0.35</v>
      </c>
      <c r="O208" s="17"/>
    </row>
    <row r="209" spans="1:20" ht="12.75" customHeight="1" x14ac:dyDescent="0.25">
      <c r="B209" s="17"/>
      <c r="C209" s="17"/>
      <c r="D209" s="17"/>
      <c r="E209" s="17"/>
      <c r="F209" s="17"/>
      <c r="G209" s="17"/>
      <c r="H209" s="17"/>
      <c r="I209" s="17"/>
      <c r="J209" s="17"/>
      <c r="K209" s="17"/>
      <c r="L209" s="17"/>
      <c r="M209" s="17"/>
      <c r="N209" s="17"/>
      <c r="O209" s="17"/>
    </row>
    <row r="210" spans="1:20" s="220" customFormat="1" ht="13.8" x14ac:dyDescent="0.25">
      <c r="A210" s="145"/>
      <c r="B210" s="17"/>
      <c r="C210" s="19">
        <v>5</v>
      </c>
      <c r="D210" s="1234" t="str">
        <f>Translations!$B$1197</f>
        <v>Energy input from fuels - split into use categories (Section E.I)</v>
      </c>
      <c r="E210" s="1176"/>
      <c r="F210" s="1176"/>
      <c r="G210" s="1176"/>
      <c r="H210" s="1176"/>
      <c r="I210" s="1176"/>
      <c r="J210" s="1176"/>
      <c r="K210" s="1176"/>
      <c r="L210" s="1176"/>
      <c r="M210" s="1176"/>
      <c r="N210" s="1176"/>
      <c r="O210" s="17"/>
      <c r="P210" s="145"/>
      <c r="Q210" s="145"/>
      <c r="R210" s="145"/>
      <c r="S210" s="145"/>
      <c r="T210" s="145"/>
    </row>
    <row r="211" spans="1:20" s="220" customFormat="1" ht="5.0999999999999996" customHeight="1" x14ac:dyDescent="0.25">
      <c r="A211" s="145"/>
      <c r="B211" s="8"/>
      <c r="C211" s="8"/>
      <c r="D211" s="8"/>
      <c r="E211" s="8"/>
      <c r="F211" s="8"/>
      <c r="G211" s="8"/>
      <c r="H211" s="8"/>
      <c r="I211" s="8"/>
      <c r="J211" s="8"/>
      <c r="K211" s="8"/>
      <c r="L211" s="8"/>
      <c r="M211" s="8"/>
      <c r="N211" s="8"/>
      <c r="O211" s="17"/>
      <c r="P211" s="145"/>
      <c r="Q211" s="145"/>
      <c r="R211" s="145"/>
      <c r="S211" s="145"/>
      <c r="T211" s="145"/>
    </row>
    <row r="212" spans="1:20" x14ac:dyDescent="0.25">
      <c r="A212" s="150"/>
      <c r="B212" s="17"/>
      <c r="C212" s="17"/>
      <c r="D212" s="17"/>
      <c r="E212" s="1447" t="str">
        <f>E_EnergyFlows!E43</f>
        <v>Usage type of fuel input</v>
      </c>
      <c r="F212" s="1443"/>
      <c r="G212" s="1443"/>
      <c r="H212" s="15" t="str">
        <f>E_EnergyFlows!H43</f>
        <v>Unit</v>
      </c>
      <c r="I212" s="128">
        <f>E_EnergyFlows!I43</f>
        <v>2019</v>
      </c>
      <c r="J212" s="128">
        <f>E_EnergyFlows!J43</f>
        <v>2020</v>
      </c>
      <c r="K212" s="128">
        <f>E_EnergyFlows!K43</f>
        <v>2021</v>
      </c>
      <c r="L212" s="128">
        <f>E_EnergyFlows!L43</f>
        <v>2022</v>
      </c>
      <c r="M212" s="128">
        <f>E_EnergyFlows!M43</f>
        <v>2023</v>
      </c>
      <c r="N212" s="17"/>
      <c r="O212" s="17"/>
    </row>
    <row r="213" spans="1:20" x14ac:dyDescent="0.25">
      <c r="A213" s="150"/>
      <c r="B213" s="17"/>
      <c r="C213" s="17"/>
      <c r="D213" s="113"/>
      <c r="E213" s="1505" t="str">
        <f>E_EnergyFlows!E45</f>
        <v>Fuel input for production of measurable heat</v>
      </c>
      <c r="F213" s="1505"/>
      <c r="G213" s="1505"/>
      <c r="H213" s="43" t="str">
        <f t="shared" ref="H213:H235" si="9">EUconst_TJpa</f>
        <v>TJ / year</v>
      </c>
      <c r="I213" s="163" t="str">
        <f>IF(ISNUMBER(CTRL_InputMethodFuelDistribution),IF(CTRL_InputMethodFuelDistribution=1,IF(ISNUMBER(E_EnergyFlows!I35),E_EnergyFlows!I35,""),E_EnergyFlows!I45),"")</f>
        <v/>
      </c>
      <c r="J213" s="163" t="str">
        <f>IF(ISNUMBER(CTRL_InputMethodFuelDistribution),IF(CTRL_InputMethodFuelDistribution=1,IF(ISNUMBER(E_EnergyFlows!J35),E_EnergyFlows!J35,""),E_EnergyFlows!J45),"")</f>
        <v/>
      </c>
      <c r="K213" s="163" t="str">
        <f>IF(ISNUMBER(CTRL_InputMethodFuelDistribution),IF(CTRL_InputMethodFuelDistribution=1,IF(ISNUMBER(E_EnergyFlows!K35),E_EnergyFlows!K35,""),E_EnergyFlows!K45),"")</f>
        <v/>
      </c>
      <c r="L213" s="163" t="str">
        <f>IF(ISNUMBER(CTRL_InputMethodFuelDistribution),IF(CTRL_InputMethodFuelDistribution=1,IF(ISNUMBER(E_EnergyFlows!L35),E_EnergyFlows!L35,""),E_EnergyFlows!L45),"")</f>
        <v/>
      </c>
      <c r="M213" s="163" t="str">
        <f>IF(ISNUMBER(CTRL_InputMethodFuelDistribution),IF(CTRL_InputMethodFuelDistribution=1,IF(ISNUMBER(E_EnergyFlows!M35),E_EnergyFlows!M35,""),E_EnergyFlows!M45),"")</f>
        <v/>
      </c>
      <c r="N213" s="17"/>
      <c r="O213" s="17"/>
    </row>
    <row r="214" spans="1:20" x14ac:dyDescent="0.25">
      <c r="A214" s="150"/>
      <c r="B214" s="17"/>
      <c r="C214" s="17"/>
      <c r="D214" s="113"/>
      <c r="E214" s="1751" t="str">
        <f>E_EnergyFlows!E48</f>
        <v>Fuel input for electricity production</v>
      </c>
      <c r="F214" s="1751"/>
      <c r="G214" s="1751"/>
      <c r="H214" s="43" t="str">
        <f t="shared" si="9"/>
        <v>TJ / year</v>
      </c>
      <c r="I214" s="304" t="str">
        <f>IF(ISNUMBER(CTRL_InputMethodFuelDistribution),IF(CTRL_InputMethodFuelDistribution=1,IF(ISNUMBER(E_EnergyFlows!I38),E_EnergyFlows!I38,""),E_EnergyFlows!I48),"")</f>
        <v/>
      </c>
      <c r="J214" s="304" t="str">
        <f>IF(ISNUMBER(CTRL_InputMethodFuelDistribution),IF(CTRL_InputMethodFuelDistribution=1,IF(ISNUMBER(E_EnergyFlows!J38),E_EnergyFlows!J38,""),E_EnergyFlows!J48),"")</f>
        <v/>
      </c>
      <c r="K214" s="304" t="str">
        <f>IF(ISNUMBER(CTRL_InputMethodFuelDistribution),IF(CTRL_InputMethodFuelDistribution=1,IF(ISNUMBER(E_EnergyFlows!K38),E_EnergyFlows!K38,""),E_EnergyFlows!K48),"")</f>
        <v/>
      </c>
      <c r="L214" s="304" t="str">
        <f>IF(ISNUMBER(CTRL_InputMethodFuelDistribution),IF(CTRL_InputMethodFuelDistribution=1,IF(ISNUMBER(E_EnergyFlows!L38),E_EnergyFlows!L38,""),E_EnergyFlows!L48),"")</f>
        <v/>
      </c>
      <c r="M214" s="304" t="str">
        <f>IF(ISNUMBER(CTRL_InputMethodFuelDistribution),IF(CTRL_InputMethodFuelDistribution=1,IF(ISNUMBER(E_EnergyFlows!M38),E_EnergyFlows!M38,""),E_EnergyFlows!M48),"")</f>
        <v/>
      </c>
      <c r="N214" s="17"/>
      <c r="O214" s="17"/>
    </row>
    <row r="215" spans="1:20" ht="13.5" customHeight="1" thickBot="1" x14ac:dyDescent="0.3">
      <c r="A215" s="150"/>
      <c r="B215" s="17"/>
      <c r="C215" s="17"/>
      <c r="D215" s="113"/>
      <c r="E215" s="1738" t="str">
        <f>E_EnergyFlows!E44</f>
        <v>Fuel input to product BM sub-installations</v>
      </c>
      <c r="F215" s="1738"/>
      <c r="G215" s="1738"/>
      <c r="H215" s="1048" t="str">
        <f t="shared" si="9"/>
        <v>TJ / year</v>
      </c>
      <c r="I215" s="356" t="str">
        <f>IF(ISNUMBER(CTRL_InputMethodFuelDistribution),IF(CTRL_InputMethodFuelDistribution=1,IF(ISNUMBER(E_EnergyFlows!I34),E_EnergyFlows!I34,""),E_EnergyFlows!I44),"")</f>
        <v/>
      </c>
      <c r="J215" s="356" t="str">
        <f>IF(ISNUMBER(CTRL_InputMethodFuelDistribution),IF(CTRL_InputMethodFuelDistribution=1,IF(ISNUMBER(E_EnergyFlows!J34),E_EnergyFlows!J34,""),E_EnergyFlows!J44),"")</f>
        <v/>
      </c>
      <c r="K215" s="356" t="str">
        <f>IF(ISNUMBER(CTRL_InputMethodFuelDistribution),IF(CTRL_InputMethodFuelDistribution=1,IF(ISNUMBER(E_EnergyFlows!K34),E_EnergyFlows!K34,""),E_EnergyFlows!K44),"")</f>
        <v/>
      </c>
      <c r="L215" s="356" t="str">
        <f>IF(ISNUMBER(CTRL_InputMethodFuelDistribution),IF(CTRL_InputMethodFuelDistribution=1,IF(ISNUMBER(E_EnergyFlows!L34),E_EnergyFlows!L34,""),E_EnergyFlows!L44),"")</f>
        <v/>
      </c>
      <c r="M215" s="356" t="str">
        <f>IF(ISNUMBER(CTRL_InputMethodFuelDistribution),IF(CTRL_InputMethodFuelDistribution=1,IF(ISNUMBER(E_EnergyFlows!M34),E_EnergyFlows!M34,""),E_EnergyFlows!M44),"")</f>
        <v/>
      </c>
      <c r="N215" s="17"/>
      <c r="O215" s="17"/>
    </row>
    <row r="216" spans="1:20" x14ac:dyDescent="0.25">
      <c r="A216" s="150"/>
      <c r="B216" s="17"/>
      <c r="C216" s="17"/>
      <c r="D216" s="113"/>
      <c r="E216" s="1501" t="str">
        <f>E_EnergyFlows!E46</f>
        <v>Fuel benchmark sub-installation, CL</v>
      </c>
      <c r="F216" s="1493"/>
      <c r="G216" s="1493"/>
      <c r="H216" s="1049" t="str">
        <f t="shared" si="9"/>
        <v>TJ / year</v>
      </c>
      <c r="I216" s="305" t="str">
        <f>IF(ISNUMBER(CTRL_InputMethodFuelDistribution),IF(CTRL_InputMethodFuelDistribution=1,IF(ISNUMBER(E_EnergyFlows!I36),E_EnergyFlows!I36,""),E_EnergyFlows!I46),"")</f>
        <v/>
      </c>
      <c r="J216" s="305" t="str">
        <f>IF(ISNUMBER(CTRL_InputMethodFuelDistribution),IF(CTRL_InputMethodFuelDistribution=1,IF(ISNUMBER(E_EnergyFlows!J36),E_EnergyFlows!J36,""),E_EnergyFlows!J46),"")</f>
        <v/>
      </c>
      <c r="K216" s="305" t="str">
        <f>IF(ISNUMBER(CTRL_InputMethodFuelDistribution),IF(CTRL_InputMethodFuelDistribution=1,IF(ISNUMBER(E_EnergyFlows!K36),E_EnergyFlows!K36,""),E_EnergyFlows!K46),"")</f>
        <v/>
      </c>
      <c r="L216" s="305" t="str">
        <f>IF(ISNUMBER(CTRL_InputMethodFuelDistribution),IF(CTRL_InputMethodFuelDistribution=1,IF(ISNUMBER(E_EnergyFlows!L36),E_EnergyFlows!L36,""),E_EnergyFlows!L46),"")</f>
        <v/>
      </c>
      <c r="M216" s="306" t="str">
        <f>IF(ISNUMBER(CTRL_InputMethodFuelDistribution),IF(CTRL_InputMethodFuelDistribution=1,IF(ISNUMBER(E_EnergyFlows!M36),E_EnergyFlows!M36,""),E_EnergyFlows!M46),"")</f>
        <v/>
      </c>
      <c r="N216" s="17"/>
      <c r="O216" s="17"/>
    </row>
    <row r="217" spans="1:20" ht="13.8" thickBot="1" x14ac:dyDescent="0.3">
      <c r="A217" s="150"/>
      <c r="B217" s="17"/>
      <c r="C217" s="17"/>
      <c r="D217" s="113"/>
      <c r="E217" s="1474" t="str">
        <f>E_EnergyFlows!E47</f>
        <v>Fuel benchmark sub-installation, non-CL</v>
      </c>
      <c r="F217" s="1475"/>
      <c r="G217" s="1475"/>
      <c r="H217" s="1050" t="str">
        <f t="shared" si="9"/>
        <v>TJ / year</v>
      </c>
      <c r="I217" s="111" t="str">
        <f>IF(ISNUMBER(CTRL_InputMethodFuelDistribution),IF(CTRL_InputMethodFuelDistribution=1,IF(ISNUMBER(E_EnergyFlows!I37),E_EnergyFlows!I37,""),E_EnergyFlows!I47),"")</f>
        <v/>
      </c>
      <c r="J217" s="111" t="str">
        <f>IF(ISNUMBER(CTRL_InputMethodFuelDistribution),IF(CTRL_InputMethodFuelDistribution=1,IF(ISNUMBER(E_EnergyFlows!J37),E_EnergyFlows!J37,""),E_EnergyFlows!J47),"")</f>
        <v/>
      </c>
      <c r="K217" s="111" t="str">
        <f>IF(ISNUMBER(CTRL_InputMethodFuelDistribution),IF(CTRL_InputMethodFuelDistribution=1,IF(ISNUMBER(E_EnergyFlows!K37),E_EnergyFlows!K37,""),E_EnergyFlows!K47),"")</f>
        <v/>
      </c>
      <c r="L217" s="111" t="str">
        <f>IF(ISNUMBER(CTRL_InputMethodFuelDistribution),IF(CTRL_InputMethodFuelDistribution=1,IF(ISNUMBER(E_EnergyFlows!L37),E_EnergyFlows!L37,""),E_EnergyFlows!L47),"")</f>
        <v/>
      </c>
      <c r="M217" s="307" t="str">
        <f>IF(ISNUMBER(CTRL_InputMethodFuelDistribution),IF(CTRL_InputMethodFuelDistribution=1,IF(ISNUMBER(E_EnergyFlows!M37),E_EnergyFlows!M37,""),E_EnergyFlows!M47),"")</f>
        <v/>
      </c>
      <c r="N217" s="17"/>
      <c r="O217" s="17"/>
    </row>
    <row r="218" spans="1:20" x14ac:dyDescent="0.25">
      <c r="A218" s="150"/>
      <c r="B218" s="17"/>
      <c r="C218" s="17"/>
      <c r="D218" s="113"/>
      <c r="E218" s="1464" t="str">
        <f>E_EnergyFlows!E49</f>
        <v>Rest</v>
      </c>
      <c r="F218" s="1464"/>
      <c r="G218" s="1464"/>
      <c r="H218" s="864" t="str">
        <f t="shared" si="9"/>
        <v>TJ / year</v>
      </c>
      <c r="I218" s="304" t="str">
        <f>IF(ISNUMBER(CTRL_InputMethodFuelDistribution),IF(CTRL_InputMethodFuelDistribution=1,IF(ISNUMBER(E_EnergyFlows!I39),E_EnergyFlows!I39,""),E_EnergyFlows!I49),"")</f>
        <v/>
      </c>
      <c r="J218" s="304" t="str">
        <f>IF(ISNUMBER(CTRL_InputMethodFuelDistribution),IF(CTRL_InputMethodFuelDistribution=1,IF(ISNUMBER(E_EnergyFlows!J39),E_EnergyFlows!J39,""),E_EnergyFlows!J49),"")</f>
        <v/>
      </c>
      <c r="K218" s="304" t="str">
        <f>IF(ISNUMBER(CTRL_InputMethodFuelDistribution),IF(CTRL_InputMethodFuelDistribution=1,IF(ISNUMBER(E_EnergyFlows!K39),E_EnergyFlows!K39,""),E_EnergyFlows!K49),"")</f>
        <v/>
      </c>
      <c r="L218" s="304" t="str">
        <f>IF(ISNUMBER(CTRL_InputMethodFuelDistribution),IF(CTRL_InputMethodFuelDistribution=1,IF(ISNUMBER(E_EnergyFlows!L39),E_EnergyFlows!L39,""),E_EnergyFlows!L49),"")</f>
        <v/>
      </c>
      <c r="M218" s="304" t="str">
        <f>IF(ISNUMBER(CTRL_InputMethodFuelDistribution),IF(CTRL_InputMethodFuelDistribution=1,IF(ISNUMBER(E_EnergyFlows!M39),E_EnergyFlows!M39,""),E_EnergyFlows!M49),"")</f>
        <v/>
      </c>
      <c r="N218" s="17"/>
      <c r="O218" s="17"/>
    </row>
    <row r="219" spans="1:20" ht="5.0999999999999996" customHeight="1" x14ac:dyDescent="0.25">
      <c r="A219" s="150"/>
      <c r="B219" s="17"/>
      <c r="C219" s="17"/>
      <c r="D219" s="113"/>
      <c r="E219" s="113"/>
      <c r="F219" s="113"/>
      <c r="G219" s="113"/>
      <c r="H219" s="113"/>
      <c r="I219" s="113"/>
      <c r="J219" s="113"/>
      <c r="K219" s="113"/>
      <c r="L219" s="113"/>
      <c r="M219" s="113"/>
      <c r="N219" s="17"/>
      <c r="O219" s="17"/>
    </row>
    <row r="220" spans="1:20" ht="12.75" customHeight="1" x14ac:dyDescent="0.25">
      <c r="A220" s="232"/>
      <c r="B220" s="17"/>
      <c r="C220" s="17"/>
      <c r="D220" s="17"/>
      <c r="E220" s="27" t="str">
        <f>Translations!$B$1198</f>
        <v>Fuel input to each sub-installation from sheets F and G:</v>
      </c>
      <c r="F220" s="17"/>
      <c r="G220" s="17"/>
      <c r="H220" s="17"/>
      <c r="I220" s="17"/>
      <c r="J220" s="17"/>
      <c r="K220" s="17"/>
      <c r="L220" s="17"/>
      <c r="M220" s="17"/>
      <c r="N220" s="17"/>
      <c r="O220" s="17"/>
    </row>
    <row r="221" spans="1:20" ht="12.75" customHeight="1" x14ac:dyDescent="0.25">
      <c r="B221" s="17"/>
      <c r="C221" s="17"/>
      <c r="D221" s="17"/>
      <c r="E221" s="1463" t="str">
        <f>E113</f>
        <v/>
      </c>
      <c r="F221" s="1463"/>
      <c r="G221" s="1463"/>
      <c r="H221" s="856" t="str">
        <f t="shared" si="9"/>
        <v>TJ / year</v>
      </c>
      <c r="I221" s="436" t="str">
        <f t="shared" ref="I221:M235" si="10">IF($E221="","",INDEX(I$485:I$1288,MATCH($P221,$P$485:$P$1288,0)))</f>
        <v/>
      </c>
      <c r="J221" s="436" t="str">
        <f t="shared" si="10"/>
        <v/>
      </c>
      <c r="K221" s="436" t="str">
        <f t="shared" si="10"/>
        <v/>
      </c>
      <c r="L221" s="436" t="str">
        <f t="shared" si="10"/>
        <v/>
      </c>
      <c r="M221" s="436" t="str">
        <f t="shared" si="10"/>
        <v/>
      </c>
      <c r="N221" s="17"/>
      <c r="O221" s="17"/>
      <c r="P221" s="341" t="str">
        <f t="shared" ref="P221:P235" si="11">EUconst_CNTR_FuelInput &amp; E221</f>
        <v>FuelInput_</v>
      </c>
    </row>
    <row r="222" spans="1:20" ht="12.75" customHeight="1" x14ac:dyDescent="0.25">
      <c r="B222" s="17"/>
      <c r="C222" s="17"/>
      <c r="D222" s="17"/>
      <c r="E222" s="1448" t="str">
        <f t="shared" ref="E222:E230" si="12">E114</f>
        <v/>
      </c>
      <c r="F222" s="1448"/>
      <c r="G222" s="1448"/>
      <c r="H222" s="858" t="str">
        <f t="shared" si="9"/>
        <v>TJ / year</v>
      </c>
      <c r="I222" s="226" t="str">
        <f t="shared" si="10"/>
        <v/>
      </c>
      <c r="J222" s="226" t="str">
        <f t="shared" si="10"/>
        <v/>
      </c>
      <c r="K222" s="226" t="str">
        <f t="shared" si="10"/>
        <v/>
      </c>
      <c r="L222" s="226" t="str">
        <f t="shared" si="10"/>
        <v/>
      </c>
      <c r="M222" s="226" t="str">
        <f t="shared" si="10"/>
        <v/>
      </c>
      <c r="N222" s="17"/>
      <c r="O222" s="17"/>
      <c r="P222" s="341" t="str">
        <f t="shared" si="11"/>
        <v>FuelInput_</v>
      </c>
    </row>
    <row r="223" spans="1:20" ht="12.75" customHeight="1" x14ac:dyDescent="0.25">
      <c r="B223" s="17"/>
      <c r="C223" s="17"/>
      <c r="D223" s="17"/>
      <c r="E223" s="1448" t="str">
        <f t="shared" si="12"/>
        <v/>
      </c>
      <c r="F223" s="1448"/>
      <c r="G223" s="1448"/>
      <c r="H223" s="858" t="str">
        <f t="shared" si="9"/>
        <v>TJ / year</v>
      </c>
      <c r="I223" s="226" t="str">
        <f t="shared" si="10"/>
        <v/>
      </c>
      <c r="J223" s="226" t="str">
        <f t="shared" si="10"/>
        <v/>
      </c>
      <c r="K223" s="226" t="str">
        <f t="shared" si="10"/>
        <v/>
      </c>
      <c r="L223" s="226" t="str">
        <f t="shared" si="10"/>
        <v/>
      </c>
      <c r="M223" s="226" t="str">
        <f t="shared" si="10"/>
        <v/>
      </c>
      <c r="N223" s="17"/>
      <c r="O223" s="17"/>
      <c r="P223" s="341" t="str">
        <f t="shared" si="11"/>
        <v>FuelInput_</v>
      </c>
    </row>
    <row r="224" spans="1:20" ht="12.75" customHeight="1" x14ac:dyDescent="0.25">
      <c r="B224" s="17"/>
      <c r="C224" s="17"/>
      <c r="D224" s="17"/>
      <c r="E224" s="1448" t="str">
        <f t="shared" si="12"/>
        <v/>
      </c>
      <c r="F224" s="1448"/>
      <c r="G224" s="1448"/>
      <c r="H224" s="858" t="str">
        <f t="shared" si="9"/>
        <v>TJ / year</v>
      </c>
      <c r="I224" s="226" t="str">
        <f t="shared" si="10"/>
        <v/>
      </c>
      <c r="J224" s="226" t="str">
        <f t="shared" si="10"/>
        <v/>
      </c>
      <c r="K224" s="226" t="str">
        <f t="shared" si="10"/>
        <v/>
      </c>
      <c r="L224" s="226" t="str">
        <f t="shared" si="10"/>
        <v/>
      </c>
      <c r="M224" s="226" t="str">
        <f t="shared" si="10"/>
        <v/>
      </c>
      <c r="N224" s="17"/>
      <c r="O224" s="17"/>
      <c r="P224" s="341" t="str">
        <f t="shared" si="11"/>
        <v>FuelInput_</v>
      </c>
    </row>
    <row r="225" spans="1:20" ht="12.75" customHeight="1" x14ac:dyDescent="0.25">
      <c r="B225" s="17"/>
      <c r="C225" s="17"/>
      <c r="D225" s="17"/>
      <c r="E225" s="1448" t="str">
        <f t="shared" si="12"/>
        <v/>
      </c>
      <c r="F225" s="1448"/>
      <c r="G225" s="1448"/>
      <c r="H225" s="858" t="str">
        <f t="shared" si="9"/>
        <v>TJ / year</v>
      </c>
      <c r="I225" s="226" t="str">
        <f t="shared" si="10"/>
        <v/>
      </c>
      <c r="J225" s="226" t="str">
        <f t="shared" si="10"/>
        <v/>
      </c>
      <c r="K225" s="226" t="str">
        <f t="shared" si="10"/>
        <v/>
      </c>
      <c r="L225" s="226" t="str">
        <f t="shared" si="10"/>
        <v/>
      </c>
      <c r="M225" s="226" t="str">
        <f t="shared" si="10"/>
        <v/>
      </c>
      <c r="N225" s="17"/>
      <c r="O225" s="17"/>
      <c r="P225" s="341" t="str">
        <f t="shared" si="11"/>
        <v>FuelInput_</v>
      </c>
    </row>
    <row r="226" spans="1:20" ht="12.75" customHeight="1" x14ac:dyDescent="0.25">
      <c r="B226" s="17"/>
      <c r="C226" s="17"/>
      <c r="D226" s="17"/>
      <c r="E226" s="1448" t="str">
        <f t="shared" si="12"/>
        <v/>
      </c>
      <c r="F226" s="1448"/>
      <c r="G226" s="1448"/>
      <c r="H226" s="858" t="str">
        <f t="shared" si="9"/>
        <v>TJ / year</v>
      </c>
      <c r="I226" s="226" t="str">
        <f t="shared" si="10"/>
        <v/>
      </c>
      <c r="J226" s="226" t="str">
        <f t="shared" si="10"/>
        <v/>
      </c>
      <c r="K226" s="226" t="str">
        <f t="shared" si="10"/>
        <v/>
      </c>
      <c r="L226" s="226" t="str">
        <f t="shared" si="10"/>
        <v/>
      </c>
      <c r="M226" s="226" t="str">
        <f t="shared" si="10"/>
        <v/>
      </c>
      <c r="N226" s="17"/>
      <c r="O226" s="17"/>
      <c r="P226" s="341" t="str">
        <f t="shared" si="11"/>
        <v>FuelInput_</v>
      </c>
    </row>
    <row r="227" spans="1:20" ht="12.75" customHeight="1" x14ac:dyDescent="0.25">
      <c r="B227" s="17"/>
      <c r="C227" s="17"/>
      <c r="D227" s="17"/>
      <c r="E227" s="1448" t="str">
        <f t="shared" si="12"/>
        <v/>
      </c>
      <c r="F227" s="1448"/>
      <c r="G227" s="1448"/>
      <c r="H227" s="858" t="str">
        <f t="shared" si="9"/>
        <v>TJ / year</v>
      </c>
      <c r="I227" s="226" t="str">
        <f t="shared" si="10"/>
        <v/>
      </c>
      <c r="J227" s="226" t="str">
        <f t="shared" si="10"/>
        <v/>
      </c>
      <c r="K227" s="226" t="str">
        <f t="shared" si="10"/>
        <v/>
      </c>
      <c r="L227" s="226" t="str">
        <f t="shared" si="10"/>
        <v/>
      </c>
      <c r="M227" s="226" t="str">
        <f t="shared" si="10"/>
        <v/>
      </c>
      <c r="N227" s="17"/>
      <c r="O227" s="17"/>
      <c r="P227" s="341" t="str">
        <f t="shared" si="11"/>
        <v>FuelInput_</v>
      </c>
    </row>
    <row r="228" spans="1:20" ht="12.75" customHeight="1" x14ac:dyDescent="0.25">
      <c r="B228" s="17"/>
      <c r="C228" s="17"/>
      <c r="D228" s="17"/>
      <c r="E228" s="1448" t="str">
        <f t="shared" si="12"/>
        <v/>
      </c>
      <c r="F228" s="1448"/>
      <c r="G228" s="1448"/>
      <c r="H228" s="858" t="str">
        <f t="shared" si="9"/>
        <v>TJ / year</v>
      </c>
      <c r="I228" s="226" t="str">
        <f t="shared" si="10"/>
        <v/>
      </c>
      <c r="J228" s="226" t="str">
        <f t="shared" si="10"/>
        <v/>
      </c>
      <c r="K228" s="226" t="str">
        <f t="shared" si="10"/>
        <v/>
      </c>
      <c r="L228" s="226" t="str">
        <f t="shared" si="10"/>
        <v/>
      </c>
      <c r="M228" s="226" t="str">
        <f t="shared" si="10"/>
        <v/>
      </c>
      <c r="N228" s="17"/>
      <c r="O228" s="17"/>
      <c r="P228" s="341" t="str">
        <f t="shared" si="11"/>
        <v>FuelInput_</v>
      </c>
    </row>
    <row r="229" spans="1:20" ht="12.75" customHeight="1" x14ac:dyDescent="0.25">
      <c r="B229" s="17"/>
      <c r="C229" s="17"/>
      <c r="D229" s="17"/>
      <c r="E229" s="1448" t="str">
        <f t="shared" si="12"/>
        <v/>
      </c>
      <c r="F229" s="1448"/>
      <c r="G229" s="1448"/>
      <c r="H229" s="858" t="str">
        <f t="shared" si="9"/>
        <v>TJ / year</v>
      </c>
      <c r="I229" s="226" t="str">
        <f t="shared" si="10"/>
        <v/>
      </c>
      <c r="J229" s="226" t="str">
        <f t="shared" si="10"/>
        <v/>
      </c>
      <c r="K229" s="226" t="str">
        <f t="shared" si="10"/>
        <v/>
      </c>
      <c r="L229" s="226" t="str">
        <f t="shared" si="10"/>
        <v/>
      </c>
      <c r="M229" s="226" t="str">
        <f t="shared" si="10"/>
        <v/>
      </c>
      <c r="N229" s="17"/>
      <c r="O229" s="17"/>
      <c r="P229" s="341" t="str">
        <f t="shared" si="11"/>
        <v>FuelInput_</v>
      </c>
    </row>
    <row r="230" spans="1:20" ht="12.75" customHeight="1" x14ac:dyDescent="0.25">
      <c r="B230" s="17"/>
      <c r="C230" s="17"/>
      <c r="D230" s="17"/>
      <c r="E230" s="1465" t="str">
        <f t="shared" si="12"/>
        <v/>
      </c>
      <c r="F230" s="1465"/>
      <c r="G230" s="1465"/>
      <c r="H230" s="860" t="str">
        <f t="shared" si="9"/>
        <v>TJ / year</v>
      </c>
      <c r="I230" s="437" t="str">
        <f t="shared" si="10"/>
        <v/>
      </c>
      <c r="J230" s="437" t="str">
        <f t="shared" si="10"/>
        <v/>
      </c>
      <c r="K230" s="437" t="str">
        <f t="shared" si="10"/>
        <v/>
      </c>
      <c r="L230" s="437" t="str">
        <f t="shared" si="10"/>
        <v/>
      </c>
      <c r="M230" s="437" t="str">
        <f t="shared" si="10"/>
        <v/>
      </c>
      <c r="N230" s="17"/>
      <c r="O230" s="17"/>
      <c r="P230" s="341" t="str">
        <f t="shared" si="11"/>
        <v>FuelInput_</v>
      </c>
    </row>
    <row r="231" spans="1:20" ht="12.75" customHeight="1" x14ac:dyDescent="0.25">
      <c r="B231" s="17"/>
      <c r="C231" s="17"/>
      <c r="D231" s="17"/>
      <c r="E231" s="1248" t="str">
        <f>E123</f>
        <v>Heat benchmark sub-installation, CL</v>
      </c>
      <c r="F231" s="1248"/>
      <c r="G231" s="1248"/>
      <c r="H231" s="291" t="str">
        <f t="shared" si="9"/>
        <v>TJ / year</v>
      </c>
      <c r="I231" s="436" t="str">
        <f t="shared" si="10"/>
        <v/>
      </c>
      <c r="J231" s="436" t="str">
        <f t="shared" si="10"/>
        <v/>
      </c>
      <c r="K231" s="436" t="str">
        <f t="shared" si="10"/>
        <v/>
      </c>
      <c r="L231" s="436" t="str">
        <f t="shared" si="10"/>
        <v/>
      </c>
      <c r="M231" s="436" t="str">
        <f t="shared" si="10"/>
        <v/>
      </c>
      <c r="N231" s="17"/>
      <c r="O231" s="17"/>
      <c r="P231" s="341" t="str">
        <f t="shared" si="11"/>
        <v>FuelInput_Heat benchmark sub-installation, CL</v>
      </c>
    </row>
    <row r="232" spans="1:20" ht="12.75" customHeight="1" x14ac:dyDescent="0.25">
      <c r="B232" s="17"/>
      <c r="C232" s="17"/>
      <c r="D232" s="17"/>
      <c r="E232" s="1251" t="str">
        <f>E124</f>
        <v>Heat benchmark sub-installation, non-CL</v>
      </c>
      <c r="F232" s="1251"/>
      <c r="G232" s="1251"/>
      <c r="H232" s="833" t="str">
        <f t="shared" si="9"/>
        <v>TJ / year</v>
      </c>
      <c r="I232" s="226" t="str">
        <f t="shared" si="10"/>
        <v/>
      </c>
      <c r="J232" s="226" t="str">
        <f t="shared" si="10"/>
        <v/>
      </c>
      <c r="K232" s="226" t="str">
        <f t="shared" si="10"/>
        <v/>
      </c>
      <c r="L232" s="226" t="str">
        <f t="shared" si="10"/>
        <v/>
      </c>
      <c r="M232" s="226" t="str">
        <f t="shared" si="10"/>
        <v/>
      </c>
      <c r="N232" s="17"/>
      <c r="O232" s="17"/>
      <c r="P232" s="341" t="str">
        <f t="shared" si="11"/>
        <v>FuelInput_Heat benchmark sub-installation, non-CL</v>
      </c>
    </row>
    <row r="233" spans="1:20" ht="12.75" customHeight="1" x14ac:dyDescent="0.25">
      <c r="B233" s="17"/>
      <c r="C233" s="17"/>
      <c r="D233" s="17"/>
      <c r="E233" s="1251" t="str">
        <f>E125</f>
        <v>District heating sub-installation</v>
      </c>
      <c r="F233" s="1251"/>
      <c r="G233" s="1251"/>
      <c r="H233" s="833" t="str">
        <f t="shared" si="9"/>
        <v>TJ / year</v>
      </c>
      <c r="I233" s="226" t="str">
        <f t="shared" si="10"/>
        <v/>
      </c>
      <c r="J233" s="226" t="str">
        <f t="shared" si="10"/>
        <v/>
      </c>
      <c r="K233" s="226" t="str">
        <f t="shared" si="10"/>
        <v/>
      </c>
      <c r="L233" s="226" t="str">
        <f t="shared" si="10"/>
        <v/>
      </c>
      <c r="M233" s="226" t="str">
        <f t="shared" si="10"/>
        <v/>
      </c>
      <c r="N233" s="17"/>
      <c r="O233" s="17"/>
      <c r="P233" s="341" t="str">
        <f t="shared" si="11"/>
        <v>FuelInput_District heating sub-installation</v>
      </c>
    </row>
    <row r="234" spans="1:20" ht="12.75" customHeight="1" x14ac:dyDescent="0.25">
      <c r="B234" s="17"/>
      <c r="C234" s="17"/>
      <c r="D234" s="17"/>
      <c r="E234" s="1251" t="str">
        <f>E126</f>
        <v>Fuel benchmark sub-installation, CL</v>
      </c>
      <c r="F234" s="1251"/>
      <c r="G234" s="1251"/>
      <c r="H234" s="833" t="str">
        <f t="shared" si="9"/>
        <v>TJ / year</v>
      </c>
      <c r="I234" s="226" t="str">
        <f t="shared" si="10"/>
        <v/>
      </c>
      <c r="J234" s="226" t="str">
        <f t="shared" si="10"/>
        <v/>
      </c>
      <c r="K234" s="226" t="str">
        <f t="shared" si="10"/>
        <v/>
      </c>
      <c r="L234" s="226" t="str">
        <f t="shared" si="10"/>
        <v/>
      </c>
      <c r="M234" s="226" t="str">
        <f t="shared" si="10"/>
        <v/>
      </c>
      <c r="N234" s="17"/>
      <c r="O234" s="17"/>
      <c r="P234" s="341" t="str">
        <f t="shared" si="11"/>
        <v>FuelInput_Fuel benchmark sub-installation, CL</v>
      </c>
    </row>
    <row r="235" spans="1:20" ht="12.75" customHeight="1" x14ac:dyDescent="0.25">
      <c r="B235" s="17"/>
      <c r="C235" s="17"/>
      <c r="D235" s="17"/>
      <c r="E235" s="1254" t="str">
        <f>E127</f>
        <v>Fuel benchmark sub-installation, non-CL</v>
      </c>
      <c r="F235" s="1254"/>
      <c r="G235" s="1254"/>
      <c r="H235" s="835" t="str">
        <f t="shared" si="9"/>
        <v>TJ / year</v>
      </c>
      <c r="I235" s="437" t="str">
        <f t="shared" si="10"/>
        <v/>
      </c>
      <c r="J235" s="437" t="str">
        <f t="shared" si="10"/>
        <v/>
      </c>
      <c r="K235" s="437" t="str">
        <f t="shared" si="10"/>
        <v/>
      </c>
      <c r="L235" s="437" t="str">
        <f t="shared" si="10"/>
        <v/>
      </c>
      <c r="M235" s="437" t="str">
        <f t="shared" si="10"/>
        <v/>
      </c>
      <c r="N235" s="17"/>
      <c r="O235" s="17"/>
      <c r="P235" s="116" t="str">
        <f t="shared" si="11"/>
        <v>FuelInput_Fuel benchmark sub-installation, non-CL</v>
      </c>
    </row>
    <row r="236" spans="1:20" ht="12.75" customHeight="1" x14ac:dyDescent="0.25">
      <c r="B236" s="17"/>
      <c r="C236" s="17"/>
      <c r="D236" s="17"/>
      <c r="E236" s="17"/>
      <c r="F236" s="17"/>
      <c r="G236" s="17"/>
      <c r="H236" s="17"/>
      <c r="I236" s="17"/>
      <c r="J236" s="17"/>
      <c r="K236" s="17"/>
      <c r="L236" s="17"/>
      <c r="M236" s="17"/>
      <c r="N236" s="17"/>
      <c r="O236" s="17"/>
    </row>
    <row r="237" spans="1:20" s="220" customFormat="1" ht="13.8" x14ac:dyDescent="0.25">
      <c r="A237" s="145"/>
      <c r="B237" s="17"/>
      <c r="C237" s="19">
        <v>6</v>
      </c>
      <c r="D237" s="1234" t="str">
        <f>Translations!$B$1199</f>
        <v>Calculation of measurable heat (Section E.II)</v>
      </c>
      <c r="E237" s="1176"/>
      <c r="F237" s="1176"/>
      <c r="G237" s="1176"/>
      <c r="H237" s="1176"/>
      <c r="I237" s="1176"/>
      <c r="J237" s="1176"/>
      <c r="K237" s="1176"/>
      <c r="L237" s="1176"/>
      <c r="M237" s="1176"/>
      <c r="N237" s="1176"/>
      <c r="O237" s="17"/>
      <c r="P237" s="145"/>
      <c r="Q237" s="145"/>
      <c r="R237" s="145"/>
      <c r="S237" s="145"/>
      <c r="T237" s="145"/>
    </row>
    <row r="238" spans="1:20" s="220" customFormat="1" ht="5.0999999999999996" customHeight="1" x14ac:dyDescent="0.25">
      <c r="A238" s="145"/>
      <c r="B238" s="8"/>
      <c r="C238" s="8"/>
      <c r="D238" s="8"/>
      <c r="E238" s="8"/>
      <c r="F238" s="8"/>
      <c r="G238" s="8"/>
      <c r="H238" s="8"/>
      <c r="I238" s="8"/>
      <c r="J238" s="8"/>
      <c r="K238" s="8"/>
      <c r="L238" s="8"/>
      <c r="M238" s="8"/>
      <c r="N238" s="8"/>
      <c r="O238" s="17"/>
      <c r="P238" s="145"/>
      <c r="Q238" s="145"/>
      <c r="R238" s="145"/>
      <c r="S238" s="145"/>
      <c r="T238" s="145"/>
    </row>
    <row r="239" spans="1:20" x14ac:dyDescent="0.25">
      <c r="A239" s="150"/>
      <c r="B239" s="8"/>
      <c r="C239" s="15"/>
      <c r="D239" s="15" t="str">
        <f>E_EnergyFlows!D80</f>
        <v>(a)</v>
      </c>
      <c r="E239" s="1447" t="str">
        <f>E_EnergyFlows!E80</f>
        <v>Total net amount of measurable heat produced in the installation:</v>
      </c>
      <c r="F239" s="1443"/>
      <c r="G239" s="1443"/>
      <c r="H239" s="1443"/>
      <c r="I239" s="1443"/>
      <c r="J239" s="1443"/>
      <c r="K239" s="1443"/>
      <c r="L239" s="1443"/>
      <c r="M239" s="1443"/>
      <c r="N239" s="1443"/>
      <c r="O239" s="17"/>
      <c r="P239" s="190"/>
      <c r="Q239" s="150"/>
      <c r="R239" s="150"/>
      <c r="S239" s="150"/>
    </row>
    <row r="240" spans="1:20" x14ac:dyDescent="0.25">
      <c r="A240" s="150"/>
      <c r="B240" s="17"/>
      <c r="C240" s="17"/>
      <c r="D240" s="17"/>
      <c r="E240" s="22"/>
      <c r="F240" s="78"/>
      <c r="G240" s="78"/>
      <c r="H240" s="23" t="str">
        <f>E_EnergyFlows!H83</f>
        <v>Unit</v>
      </c>
      <c r="I240" s="128">
        <f>E_EnergyFlows!I83</f>
        <v>2019</v>
      </c>
      <c r="J240" s="128">
        <f>E_EnergyFlows!J83</f>
        <v>2020</v>
      </c>
      <c r="K240" s="128">
        <f>E_EnergyFlows!K83</f>
        <v>2021</v>
      </c>
      <c r="L240" s="128">
        <f>E_EnergyFlows!L83</f>
        <v>2022</v>
      </c>
      <c r="M240" s="128">
        <f>E_EnergyFlows!M83</f>
        <v>2023</v>
      </c>
      <c r="N240" s="8"/>
      <c r="O240" s="17"/>
      <c r="P240" s="150"/>
      <c r="Q240" s="150"/>
      <c r="R240" s="150"/>
      <c r="S240" s="150"/>
    </row>
    <row r="241" spans="1:19" x14ac:dyDescent="0.25">
      <c r="A241" s="150"/>
      <c r="B241" s="17"/>
      <c r="C241" s="17"/>
      <c r="D241" s="17"/>
      <c r="E241" s="1449" t="str">
        <f>E_EnergyFlows!E84</f>
        <v>Measurable heat produced</v>
      </c>
      <c r="F241" s="1449"/>
      <c r="G241" s="1449"/>
      <c r="H241" s="43" t="str">
        <f>E_EnergyFlows!H84</f>
        <v>TJ / year</v>
      </c>
      <c r="I241" s="439" t="str">
        <f>IF(ISBLANK(E_EnergyFlows!I84),"",E_EnergyFlows!I84)</f>
        <v/>
      </c>
      <c r="J241" s="163" t="str">
        <f>IF(ISBLANK(E_EnergyFlows!J84),"",E_EnergyFlows!J84)</f>
        <v/>
      </c>
      <c r="K241" s="163" t="str">
        <f>IF(ISBLANK(E_EnergyFlows!K84),"",E_EnergyFlows!K84)</f>
        <v/>
      </c>
      <c r="L241" s="163" t="str">
        <f>IF(ISBLANK(E_EnergyFlows!L84),"",E_EnergyFlows!L84)</f>
        <v/>
      </c>
      <c r="M241" s="163" t="str">
        <f>IF(ISBLANK(E_EnergyFlows!M84),"",E_EnergyFlows!M84)</f>
        <v/>
      </c>
      <c r="N241" s="8"/>
      <c r="O241" s="17"/>
      <c r="P241" s="150"/>
      <c r="Q241" s="150"/>
      <c r="R241" s="150"/>
      <c r="S241" s="150"/>
    </row>
    <row r="242" spans="1:19" ht="5.0999999999999996" customHeight="1" x14ac:dyDescent="0.25">
      <c r="A242" s="150"/>
      <c r="B242" s="8"/>
      <c r="C242" s="8"/>
      <c r="D242" s="8"/>
      <c r="E242" s="8"/>
      <c r="F242" s="8"/>
      <c r="G242" s="8"/>
      <c r="H242" s="8"/>
      <c r="I242" s="8"/>
      <c r="J242" s="8"/>
      <c r="K242" s="8"/>
      <c r="L242" s="8"/>
      <c r="M242" s="8"/>
      <c r="N242" s="8"/>
      <c r="O242" s="17"/>
      <c r="P242" s="190"/>
      <c r="Q242" s="150"/>
      <c r="R242" s="150"/>
      <c r="S242" s="150"/>
    </row>
    <row r="243" spans="1:19" x14ac:dyDescent="0.25">
      <c r="A243" s="150"/>
      <c r="B243" s="8"/>
      <c r="C243" s="15"/>
      <c r="D243" s="15" t="str">
        <f>E_EnergyFlows!D86</f>
        <v>(b)</v>
      </c>
      <c r="E243" s="1447" t="str">
        <f>E_EnergyFlows!E86</f>
        <v>Measurable heat imported from installations covered by the UK ETS:</v>
      </c>
      <c r="F243" s="1443"/>
      <c r="G243" s="1443"/>
      <c r="H243" s="1443"/>
      <c r="I243" s="1443"/>
      <c r="J243" s="1443"/>
      <c r="K243" s="1443"/>
      <c r="L243" s="1443"/>
      <c r="M243" s="1443"/>
      <c r="N243" s="1443"/>
      <c r="O243" s="17"/>
      <c r="P243" s="190"/>
      <c r="Q243" s="150"/>
      <c r="R243" s="150"/>
      <c r="S243" s="150"/>
    </row>
    <row r="244" spans="1:19" x14ac:dyDescent="0.25">
      <c r="A244" s="150"/>
      <c r="B244" s="17"/>
      <c r="C244" s="17"/>
      <c r="D244" s="17"/>
      <c r="E244" s="1452" t="str">
        <f>E_EnergyFlows!E89</f>
        <v>Name of installation</v>
      </c>
      <c r="F244" s="1451"/>
      <c r="G244" s="1451"/>
      <c r="H244" s="23" t="str">
        <f>E_EnergyFlows!H89</f>
        <v>Unit</v>
      </c>
      <c r="I244" s="128">
        <f>E_EnergyFlows!I89</f>
        <v>2019</v>
      </c>
      <c r="J244" s="128">
        <f>E_EnergyFlows!J89</f>
        <v>2020</v>
      </c>
      <c r="K244" s="128">
        <f>E_EnergyFlows!K89</f>
        <v>2021</v>
      </c>
      <c r="L244" s="128">
        <f>E_EnergyFlows!L89</f>
        <v>2022</v>
      </c>
      <c r="M244" s="128">
        <f>E_EnergyFlows!M89</f>
        <v>2023</v>
      </c>
      <c r="N244" s="8"/>
      <c r="O244" s="17"/>
      <c r="P244" s="150"/>
      <c r="Q244" s="150"/>
      <c r="R244" s="150"/>
      <c r="S244" s="150"/>
    </row>
    <row r="245" spans="1:19" x14ac:dyDescent="0.25">
      <c r="A245" s="150"/>
      <c r="B245" s="17"/>
      <c r="C245" s="113"/>
      <c r="D245" s="113"/>
      <c r="E245" s="1717" t="str">
        <f>IF(ISBLANK(E_EnergyFlows!E90),"",E_EnergyFlows!E90)</f>
        <v/>
      </c>
      <c r="F245" s="1717"/>
      <c r="G245" s="1717"/>
      <c r="H245" s="222" t="str">
        <f>E_EnergyFlows!H90</f>
        <v>TJ / year</v>
      </c>
      <c r="I245" s="436" t="str">
        <f>IF(ISBLANK(E_EnergyFlows!I90),"",E_EnergyFlows!I90)</f>
        <v/>
      </c>
      <c r="J245" s="857" t="str">
        <f>IF(ISBLANK(E_EnergyFlows!J90),"",E_EnergyFlows!J90)</f>
        <v/>
      </c>
      <c r="K245" s="857" t="str">
        <f>IF(ISBLANK(E_EnergyFlows!K90),"",E_EnergyFlows!K90)</f>
        <v/>
      </c>
      <c r="L245" s="857" t="str">
        <f>IF(ISBLANK(E_EnergyFlows!L90),"",E_EnergyFlows!L90)</f>
        <v/>
      </c>
      <c r="M245" s="857" t="str">
        <f>IF(ISBLANK(E_EnergyFlows!M90),"",E_EnergyFlows!M90)</f>
        <v/>
      </c>
      <c r="N245" s="8"/>
      <c r="O245" s="17"/>
      <c r="P245" s="150"/>
      <c r="Q245" s="150"/>
      <c r="R245" s="150"/>
      <c r="S245" s="150"/>
    </row>
    <row r="246" spans="1:19" x14ac:dyDescent="0.25">
      <c r="A246" s="150"/>
      <c r="B246" s="17"/>
      <c r="C246" s="113"/>
      <c r="D246" s="113"/>
      <c r="E246" s="1716" t="str">
        <f>IF(ISBLANK(E_EnergyFlows!E91),"",E_EnergyFlows!E91)</f>
        <v/>
      </c>
      <c r="F246" s="1716"/>
      <c r="G246" s="1716"/>
      <c r="H246" s="225" t="str">
        <f>E_EnergyFlows!H91</f>
        <v>TJ / year</v>
      </c>
      <c r="I246" s="226" t="str">
        <f>IF(ISBLANK(E_EnergyFlows!I91),"",E_EnergyFlows!I91)</f>
        <v/>
      </c>
      <c r="J246" s="859" t="str">
        <f>IF(ISBLANK(E_EnergyFlows!J91),"",E_EnergyFlows!J91)</f>
        <v/>
      </c>
      <c r="K246" s="859" t="str">
        <f>IF(ISBLANK(E_EnergyFlows!K91),"",E_EnergyFlows!K91)</f>
        <v/>
      </c>
      <c r="L246" s="859" t="str">
        <f>IF(ISBLANK(E_EnergyFlows!L91),"",E_EnergyFlows!L91)</f>
        <v/>
      </c>
      <c r="M246" s="859" t="str">
        <f>IF(ISBLANK(E_EnergyFlows!M91),"",E_EnergyFlows!M91)</f>
        <v/>
      </c>
      <c r="N246" s="8"/>
      <c r="O246" s="17"/>
      <c r="P246" s="150"/>
      <c r="Q246" s="150"/>
      <c r="R246" s="150"/>
      <c r="S246" s="150"/>
    </row>
    <row r="247" spans="1:19" x14ac:dyDescent="0.25">
      <c r="A247" s="150"/>
      <c r="B247" s="17"/>
      <c r="C247" s="113"/>
      <c r="D247" s="113"/>
      <c r="E247" s="1718" t="str">
        <f>IF(ISBLANK(E_EnergyFlows!E92),"",E_EnergyFlows!E92)</f>
        <v/>
      </c>
      <c r="F247" s="1718"/>
      <c r="G247" s="1718"/>
      <c r="H247" s="227" t="str">
        <f>E_EnergyFlows!H92</f>
        <v>TJ / year</v>
      </c>
      <c r="I247" s="437" t="str">
        <f>IF(ISBLANK(E_EnergyFlows!I92),"",E_EnergyFlows!I92)</f>
        <v/>
      </c>
      <c r="J247" s="861" t="str">
        <f>IF(ISBLANK(E_EnergyFlows!J92),"",E_EnergyFlows!J92)</f>
        <v/>
      </c>
      <c r="K247" s="861" t="str">
        <f>IF(ISBLANK(E_EnergyFlows!K92),"",E_EnergyFlows!K92)</f>
        <v/>
      </c>
      <c r="L247" s="861" t="str">
        <f>IF(ISBLANK(E_EnergyFlows!L92),"",E_EnergyFlows!L92)</f>
        <v/>
      </c>
      <c r="M247" s="861" t="str">
        <f>IF(ISBLANK(E_EnergyFlows!M92),"",E_EnergyFlows!M92)</f>
        <v/>
      </c>
      <c r="N247" s="8"/>
      <c r="O247" s="17"/>
      <c r="P247" s="150"/>
      <c r="Q247" s="150"/>
      <c r="R247" s="150"/>
      <c r="S247" s="150"/>
    </row>
    <row r="248" spans="1:19" x14ac:dyDescent="0.25">
      <c r="A248" s="150"/>
      <c r="B248" s="17"/>
      <c r="C248" s="113"/>
      <c r="D248" s="113"/>
      <c r="E248" s="1449" t="str">
        <f>E_EnergyFlows!E93</f>
        <v>Sub-total</v>
      </c>
      <c r="F248" s="1449"/>
      <c r="G248" s="1449"/>
      <c r="H248" s="217" t="str">
        <f>E_EnergyFlows!H93</f>
        <v>TJ / year</v>
      </c>
      <c r="I248" s="439" t="str">
        <f>E_EnergyFlows!I93</f>
        <v/>
      </c>
      <c r="J248" s="818" t="str">
        <f>E_EnergyFlows!J93</f>
        <v/>
      </c>
      <c r="K248" s="818" t="str">
        <f>E_EnergyFlows!K93</f>
        <v/>
      </c>
      <c r="L248" s="818" t="str">
        <f>E_EnergyFlows!L93</f>
        <v/>
      </c>
      <c r="M248" s="818" t="str">
        <f>E_EnergyFlows!M93</f>
        <v/>
      </c>
      <c r="N248" s="8"/>
      <c r="O248" s="17"/>
      <c r="P248" s="150"/>
      <c r="Q248" s="150"/>
      <c r="R248" s="150"/>
      <c r="S248" s="150"/>
    </row>
    <row r="249" spans="1:19" ht="5.0999999999999996" customHeight="1" x14ac:dyDescent="0.25">
      <c r="A249" s="150"/>
      <c r="B249" s="8"/>
      <c r="C249" s="8"/>
      <c r="D249" s="8"/>
      <c r="E249" s="8"/>
      <c r="F249" s="8"/>
      <c r="G249" s="8"/>
      <c r="H249" s="8"/>
      <c r="I249" s="8"/>
      <c r="J249" s="8"/>
      <c r="K249" s="8"/>
      <c r="L249" s="8"/>
      <c r="M249" s="8"/>
      <c r="N249" s="8"/>
      <c r="O249" s="17"/>
      <c r="P249" s="190"/>
      <c r="Q249" s="150"/>
      <c r="R249" s="150"/>
      <c r="S249" s="150"/>
    </row>
    <row r="250" spans="1:19" x14ac:dyDescent="0.25">
      <c r="A250" s="150"/>
      <c r="B250" s="8"/>
      <c r="C250" s="15"/>
      <c r="D250" s="15" t="str">
        <f>E_EnergyFlows!D95</f>
        <v>(c)</v>
      </c>
      <c r="E250" s="1447" t="str">
        <f>E_EnergyFlows!E95</f>
        <v>Measurable heat imported from installations and entities not covered by the UK ETS (not eligible for heat benchmark):</v>
      </c>
      <c r="F250" s="1443"/>
      <c r="G250" s="1443"/>
      <c r="H250" s="1443"/>
      <c r="I250" s="1443"/>
      <c r="J250" s="1443"/>
      <c r="K250" s="1443"/>
      <c r="L250" s="1443"/>
      <c r="M250" s="1443"/>
      <c r="N250" s="1443"/>
      <c r="O250" s="17"/>
      <c r="P250" s="190"/>
      <c r="Q250" s="150"/>
      <c r="R250" s="150"/>
      <c r="S250" s="150"/>
    </row>
    <row r="251" spans="1:19" x14ac:dyDescent="0.25">
      <c r="A251" s="150"/>
      <c r="B251" s="17"/>
      <c r="C251" s="17"/>
      <c r="D251" s="17"/>
      <c r="E251" s="1452" t="str">
        <f>E_EnergyFlows!E98</f>
        <v>Name of installation or entity</v>
      </c>
      <c r="F251" s="1451"/>
      <c r="G251" s="1451"/>
      <c r="H251" s="23" t="str">
        <f>E_EnergyFlows!H98</f>
        <v>Unit</v>
      </c>
      <c r="I251" s="128">
        <f>E_EnergyFlows!I98</f>
        <v>2019</v>
      </c>
      <c r="J251" s="128">
        <f>E_EnergyFlows!J98</f>
        <v>2020</v>
      </c>
      <c r="K251" s="128">
        <f>E_EnergyFlows!K98</f>
        <v>2021</v>
      </c>
      <c r="L251" s="128">
        <f>E_EnergyFlows!L98</f>
        <v>2022</v>
      </c>
      <c r="M251" s="128">
        <f>E_EnergyFlows!M98</f>
        <v>2023</v>
      </c>
      <c r="N251" s="8"/>
      <c r="O251" s="17"/>
      <c r="P251" s="150"/>
      <c r="Q251" s="150"/>
      <c r="R251" s="150"/>
      <c r="S251" s="150"/>
    </row>
    <row r="252" spans="1:19" x14ac:dyDescent="0.25">
      <c r="A252" s="150"/>
      <c r="B252" s="17"/>
      <c r="C252" s="113"/>
      <c r="D252" s="113"/>
      <c r="E252" s="1717" t="str">
        <f>IF(ISBLANK(E_EnergyFlows!E99),"",E_EnergyFlows!E99)</f>
        <v/>
      </c>
      <c r="F252" s="1717"/>
      <c r="G252" s="1717"/>
      <c r="H252" s="222" t="str">
        <f>E_EnergyFlows!H99</f>
        <v>TJ / year</v>
      </c>
      <c r="I252" s="436" t="str">
        <f>IF(ISBLANK(E_EnergyFlows!I99),"",E_EnergyFlows!I99)</f>
        <v/>
      </c>
      <c r="J252" s="857" t="str">
        <f>IF(ISBLANK(E_EnergyFlows!J99),"",E_EnergyFlows!J99)</f>
        <v/>
      </c>
      <c r="K252" s="857" t="str">
        <f>IF(ISBLANK(E_EnergyFlows!K99),"",E_EnergyFlows!K99)</f>
        <v/>
      </c>
      <c r="L252" s="857" t="str">
        <f>IF(ISBLANK(E_EnergyFlows!L99),"",E_EnergyFlows!L99)</f>
        <v/>
      </c>
      <c r="M252" s="1051" t="str">
        <f>IF(ISBLANK(E_EnergyFlows!M99),"",E_EnergyFlows!M99)</f>
        <v/>
      </c>
      <c r="N252" s="8"/>
      <c r="O252" s="17"/>
      <c r="P252" s="150"/>
      <c r="Q252" s="150"/>
      <c r="R252" s="150"/>
      <c r="S252" s="150"/>
    </row>
    <row r="253" spans="1:19" x14ac:dyDescent="0.25">
      <c r="A253" s="150"/>
      <c r="B253" s="17"/>
      <c r="C253" s="113"/>
      <c r="D253" s="113"/>
      <c r="E253" s="1716" t="str">
        <f>IF(ISBLANK(E_EnergyFlows!E100),"",E_EnergyFlows!E100)</f>
        <v/>
      </c>
      <c r="F253" s="1716"/>
      <c r="G253" s="1716"/>
      <c r="H253" s="225" t="str">
        <f>E_EnergyFlows!H100</f>
        <v>TJ / year</v>
      </c>
      <c r="I253" s="226" t="str">
        <f>IF(ISBLANK(E_EnergyFlows!I100),"",E_EnergyFlows!I100)</f>
        <v/>
      </c>
      <c r="J253" s="859" t="str">
        <f>IF(ISBLANK(E_EnergyFlows!J100),"",E_EnergyFlows!J100)</f>
        <v/>
      </c>
      <c r="K253" s="859" t="str">
        <f>IF(ISBLANK(E_EnergyFlows!K100),"",E_EnergyFlows!K100)</f>
        <v/>
      </c>
      <c r="L253" s="859" t="str">
        <f>IF(ISBLANK(E_EnergyFlows!L100),"",E_EnergyFlows!L100)</f>
        <v/>
      </c>
      <c r="M253" s="1052" t="str">
        <f>IF(ISBLANK(E_EnergyFlows!M100),"",E_EnergyFlows!M100)</f>
        <v/>
      </c>
      <c r="N253" s="8"/>
      <c r="O253" s="17"/>
      <c r="P253" s="150"/>
      <c r="Q253" s="150"/>
      <c r="R253" s="150"/>
      <c r="S253" s="150"/>
    </row>
    <row r="254" spans="1:19" x14ac:dyDescent="0.25">
      <c r="A254" s="150"/>
      <c r="B254" s="17"/>
      <c r="C254" s="113"/>
      <c r="D254" s="113"/>
      <c r="E254" s="1718" t="str">
        <f>IF(ISBLANK(E_EnergyFlows!E101),"",E_EnergyFlows!E101)</f>
        <v/>
      </c>
      <c r="F254" s="1718"/>
      <c r="G254" s="1718"/>
      <c r="H254" s="227" t="str">
        <f>E_EnergyFlows!H101</f>
        <v>TJ / year</v>
      </c>
      <c r="I254" s="437" t="str">
        <f>IF(ISBLANK(E_EnergyFlows!I101),"",E_EnergyFlows!I101)</f>
        <v/>
      </c>
      <c r="J254" s="861" t="str">
        <f>IF(ISBLANK(E_EnergyFlows!J101),"",E_EnergyFlows!J101)</f>
        <v/>
      </c>
      <c r="K254" s="861" t="str">
        <f>IF(ISBLANK(E_EnergyFlows!K101),"",E_EnergyFlows!K101)</f>
        <v/>
      </c>
      <c r="L254" s="861" t="str">
        <f>IF(ISBLANK(E_EnergyFlows!L101),"",E_EnergyFlows!L101)</f>
        <v/>
      </c>
      <c r="M254" s="1053" t="str">
        <f>IF(ISBLANK(E_EnergyFlows!M101),"",E_EnergyFlows!M101)</f>
        <v/>
      </c>
      <c r="N254" s="8"/>
      <c r="O254" s="17"/>
      <c r="P254" s="150"/>
      <c r="Q254" s="150"/>
      <c r="R254" s="150"/>
      <c r="S254" s="150"/>
    </row>
    <row r="255" spans="1:19" x14ac:dyDescent="0.25">
      <c r="A255" s="150"/>
      <c r="B255" s="17"/>
      <c r="C255" s="113"/>
      <c r="D255" s="113"/>
      <c r="E255" s="1449" t="str">
        <f>E_EnergyFlows!E102</f>
        <v>Sub-total</v>
      </c>
      <c r="F255" s="1449"/>
      <c r="G255" s="1449"/>
      <c r="H255" s="217" t="str">
        <f>E_EnergyFlows!H102</f>
        <v>TJ / year</v>
      </c>
      <c r="I255" s="439" t="str">
        <f>E_EnergyFlows!I102</f>
        <v/>
      </c>
      <c r="J255" s="818" t="str">
        <f>E_EnergyFlows!J102</f>
        <v/>
      </c>
      <c r="K255" s="818" t="str">
        <f>E_EnergyFlows!K102</f>
        <v/>
      </c>
      <c r="L255" s="818" t="str">
        <f>E_EnergyFlows!L102</f>
        <v/>
      </c>
      <c r="M255" s="830" t="str">
        <f>E_EnergyFlows!M102</f>
        <v/>
      </c>
      <c r="N255" s="8"/>
      <c r="O255" s="17"/>
      <c r="P255" s="150"/>
      <c r="Q255" s="150"/>
      <c r="R255" s="150"/>
      <c r="S255" s="150"/>
    </row>
    <row r="256" spans="1:19" ht="5.0999999999999996" customHeight="1" x14ac:dyDescent="0.25">
      <c r="A256" s="150"/>
      <c r="B256" s="8"/>
      <c r="C256" s="8"/>
      <c r="D256" s="8"/>
      <c r="E256" s="8"/>
      <c r="F256" s="8"/>
      <c r="G256" s="8"/>
      <c r="H256" s="8"/>
      <c r="I256" s="8"/>
      <c r="J256" s="8"/>
      <c r="K256" s="8"/>
      <c r="L256" s="8"/>
      <c r="M256" s="8"/>
      <c r="N256" s="8"/>
      <c r="O256" s="17"/>
      <c r="P256" s="190"/>
      <c r="Q256" s="150"/>
      <c r="R256" s="150"/>
      <c r="S256" s="150"/>
    </row>
    <row r="257" spans="1:19" x14ac:dyDescent="0.25">
      <c r="A257" s="150"/>
      <c r="B257" s="8"/>
      <c r="C257" s="15"/>
      <c r="D257" s="15" t="str">
        <f>E_EnergyFlows!D104</f>
        <v>(d)</v>
      </c>
      <c r="E257" s="1447" t="str">
        <f>E_EnergyFlows!E104</f>
        <v>Measurable heat produced from net electricity</v>
      </c>
      <c r="F257" s="1443"/>
      <c r="G257" s="1443"/>
      <c r="H257" s="1443"/>
      <c r="I257" s="1443"/>
      <c r="J257" s="1443"/>
      <c r="K257" s="1443"/>
      <c r="L257" s="1443"/>
      <c r="M257" s="1443"/>
      <c r="N257" s="1443"/>
      <c r="O257" s="17"/>
      <c r="P257" s="190"/>
      <c r="Q257" s="150"/>
      <c r="R257" s="150"/>
      <c r="S257" s="150"/>
    </row>
    <row r="258" spans="1:19" x14ac:dyDescent="0.25">
      <c r="A258" s="150"/>
      <c r="B258" s="17"/>
      <c r="C258" s="17"/>
      <c r="D258" s="17"/>
      <c r="E258" s="1449" t="str">
        <f>E_EnergyFlows!E107</f>
        <v>Heat from electricity</v>
      </c>
      <c r="F258" s="1449"/>
      <c r="G258" s="1449"/>
      <c r="H258" s="43" t="str">
        <f>E_EnergyFlows!H107</f>
        <v>TJ / year</v>
      </c>
      <c r="I258" s="439" t="str">
        <f>IF(ISBLANK(E_EnergyFlows!I107),"",E_EnergyFlows!I107)</f>
        <v/>
      </c>
      <c r="J258" s="163" t="str">
        <f>IF(ISBLANK(E_EnergyFlows!J107),"",E_EnergyFlows!J107)</f>
        <v/>
      </c>
      <c r="K258" s="163" t="str">
        <f>IF(ISBLANK(E_EnergyFlows!K107),"",E_EnergyFlows!K107)</f>
        <v/>
      </c>
      <c r="L258" s="163" t="str">
        <f>IF(ISBLANK(E_EnergyFlows!L107),"",E_EnergyFlows!L107)</f>
        <v/>
      </c>
      <c r="M258" s="163" t="str">
        <f>IF(ISBLANK(E_EnergyFlows!M107),"",E_EnergyFlows!M107)</f>
        <v/>
      </c>
      <c r="N258" s="8"/>
      <c r="O258" s="17"/>
      <c r="P258" s="150"/>
      <c r="Q258" s="150"/>
      <c r="R258" s="150"/>
      <c r="S258" s="150"/>
    </row>
    <row r="259" spans="1:19" ht="5.0999999999999996" customHeight="1" x14ac:dyDescent="0.25">
      <c r="A259" s="150"/>
      <c r="B259" s="8"/>
      <c r="C259" s="8"/>
      <c r="D259" s="8"/>
      <c r="E259" s="8"/>
      <c r="F259" s="8"/>
      <c r="G259" s="8"/>
      <c r="H259" s="8"/>
      <c r="I259" s="8"/>
      <c r="J259" s="8"/>
      <c r="K259" s="8"/>
      <c r="L259" s="8"/>
      <c r="M259" s="8"/>
      <c r="N259" s="8"/>
      <c r="O259" s="17"/>
      <c r="P259" s="190"/>
      <c r="Q259" s="150"/>
      <c r="R259" s="150"/>
      <c r="S259" s="150"/>
    </row>
    <row r="260" spans="1:19" x14ac:dyDescent="0.25">
      <c r="A260" s="150"/>
      <c r="B260" s="8"/>
      <c r="C260" s="15"/>
      <c r="D260" s="15" t="str">
        <f>E_EnergyFlows!D109</f>
        <v>(e)</v>
      </c>
      <c r="E260" s="1447" t="str">
        <f>E_EnergyFlows!E109</f>
        <v>Sum of measurable heat available at installation (=a+b+c)</v>
      </c>
      <c r="F260" s="1443"/>
      <c r="G260" s="1443"/>
      <c r="H260" s="1443"/>
      <c r="I260" s="1443"/>
      <c r="J260" s="1443"/>
      <c r="K260" s="1443"/>
      <c r="L260" s="1443"/>
      <c r="M260" s="1443"/>
      <c r="N260" s="1443"/>
      <c r="O260" s="17"/>
      <c r="P260" s="190"/>
      <c r="Q260" s="150"/>
      <c r="R260" s="150"/>
      <c r="S260" s="150"/>
    </row>
    <row r="261" spans="1:19" x14ac:dyDescent="0.25">
      <c r="A261" s="150"/>
      <c r="B261" s="17"/>
      <c r="C261" s="17"/>
      <c r="D261" s="17"/>
      <c r="E261" s="1449" t="str">
        <f>E_EnergyFlows!E110</f>
        <v>Total measurable heat</v>
      </c>
      <c r="F261" s="1449"/>
      <c r="G261" s="1449"/>
      <c r="H261" s="217" t="str">
        <f>E_EnergyFlows!H110</f>
        <v>TJ / year</v>
      </c>
      <c r="I261" s="439" t="str">
        <f>E_EnergyFlows!I110</f>
        <v/>
      </c>
      <c r="J261" s="818" t="str">
        <f>E_EnergyFlows!J110</f>
        <v/>
      </c>
      <c r="K261" s="818" t="str">
        <f>E_EnergyFlows!K110</f>
        <v/>
      </c>
      <c r="L261" s="818" t="str">
        <f>E_EnergyFlows!L110</f>
        <v/>
      </c>
      <c r="M261" s="818" t="str">
        <f>E_EnergyFlows!M110</f>
        <v/>
      </c>
      <c r="N261" s="8"/>
      <c r="O261" s="17"/>
      <c r="P261" s="150"/>
      <c r="Q261" s="150"/>
      <c r="R261" s="150"/>
      <c r="S261" s="150"/>
    </row>
    <row r="262" spans="1:19" ht="5.0999999999999996" customHeight="1" x14ac:dyDescent="0.25">
      <c r="A262" s="150"/>
      <c r="B262" s="8"/>
      <c r="C262" s="8"/>
      <c r="D262" s="8"/>
      <c r="E262" s="8"/>
      <c r="F262" s="8"/>
      <c r="G262" s="8"/>
      <c r="H262" s="8"/>
      <c r="I262" s="8"/>
      <c r="J262" s="8"/>
      <c r="K262" s="8"/>
      <c r="L262" s="8"/>
      <c r="M262" s="8"/>
      <c r="N262" s="8"/>
      <c r="O262" s="17"/>
      <c r="P262" s="190"/>
      <c r="Q262" s="150"/>
      <c r="R262" s="150"/>
      <c r="S262" s="150"/>
    </row>
    <row r="263" spans="1:19" x14ac:dyDescent="0.25">
      <c r="A263" s="150"/>
      <c r="B263" s="8"/>
      <c r="C263" s="15"/>
      <c r="D263" s="15" t="str">
        <f>E_EnergyFlows!D112</f>
        <v>(f)</v>
      </c>
      <c r="E263" s="1447" t="str">
        <f>E_EnergyFlows!E112</f>
        <v>Ratio of "ETS heat" to "Total heat"</v>
      </c>
      <c r="F263" s="1443"/>
      <c r="G263" s="1443"/>
      <c r="H263" s="1443"/>
      <c r="I263" s="1443"/>
      <c r="J263" s="1443"/>
      <c r="K263" s="1443"/>
      <c r="L263" s="1443"/>
      <c r="M263" s="1443"/>
      <c r="N263" s="1443"/>
      <c r="O263" s="17"/>
      <c r="P263" s="190"/>
      <c r="Q263" s="150"/>
      <c r="R263" s="150"/>
      <c r="S263" s="150"/>
    </row>
    <row r="264" spans="1:19" x14ac:dyDescent="0.25">
      <c r="A264" s="150"/>
      <c r="B264" s="17"/>
      <c r="C264" s="17"/>
      <c r="D264" s="17"/>
      <c r="E264" s="1449" t="str">
        <f>E_EnergyFlows!E116</f>
        <v>Heat input ratio (a+b) / (a+b+c):</v>
      </c>
      <c r="F264" s="1449"/>
      <c r="G264" s="1449"/>
      <c r="H264" s="217" t="str">
        <f>E_EnergyFlows!H116</f>
        <v>%</v>
      </c>
      <c r="I264" s="1054" t="str">
        <f>E_EnergyFlows!I116</f>
        <v/>
      </c>
      <c r="J264" s="831" t="str">
        <f>E_EnergyFlows!J116</f>
        <v/>
      </c>
      <c r="K264" s="831" t="str">
        <f>E_EnergyFlows!K116</f>
        <v/>
      </c>
      <c r="L264" s="831" t="str">
        <f>E_EnergyFlows!L116</f>
        <v/>
      </c>
      <c r="M264" s="831" t="str">
        <f>E_EnergyFlows!M116</f>
        <v/>
      </c>
      <c r="N264" s="8"/>
      <c r="O264" s="17"/>
      <c r="P264" s="150"/>
      <c r="Q264" s="150"/>
      <c r="R264" s="150"/>
      <c r="S264" s="150"/>
    </row>
    <row r="265" spans="1:19" ht="5.0999999999999996" customHeight="1" x14ac:dyDescent="0.25">
      <c r="A265" s="150"/>
      <c r="B265" s="8"/>
      <c r="C265" s="8"/>
      <c r="D265" s="8"/>
      <c r="E265" s="8"/>
      <c r="F265" s="8"/>
      <c r="G265" s="8"/>
      <c r="H265" s="8"/>
      <c r="I265" s="8"/>
      <c r="J265" s="8"/>
      <c r="K265" s="8"/>
      <c r="L265" s="8"/>
      <c r="M265" s="8"/>
      <c r="N265" s="8"/>
      <c r="O265" s="17"/>
      <c r="P265" s="190"/>
      <c r="Q265" s="150"/>
      <c r="R265" s="150"/>
      <c r="S265" s="150"/>
    </row>
    <row r="266" spans="1:19" x14ac:dyDescent="0.25">
      <c r="A266" s="150"/>
      <c r="B266" s="8"/>
      <c r="C266" s="15"/>
      <c r="D266" s="15" t="str">
        <f>E_EnergyFlows!D123</f>
        <v>(g)</v>
      </c>
      <c r="E266" s="1447" t="str">
        <f>E_EnergyFlows!E123</f>
        <v>Measurable heat consumed for electricity production within the installation (not eligible for heat benchmark):</v>
      </c>
      <c r="F266" s="1443"/>
      <c r="G266" s="1443"/>
      <c r="H266" s="1443"/>
      <c r="I266" s="1443"/>
      <c r="J266" s="1443"/>
      <c r="K266" s="1443"/>
      <c r="L266" s="1443"/>
      <c r="M266" s="1443"/>
      <c r="N266" s="1443"/>
      <c r="O266" s="17"/>
      <c r="P266" s="190"/>
      <c r="Q266" s="150"/>
      <c r="R266" s="150"/>
      <c r="S266" s="150"/>
    </row>
    <row r="267" spans="1:19" x14ac:dyDescent="0.25">
      <c r="A267" s="150"/>
      <c r="B267" s="17"/>
      <c r="C267" s="17"/>
      <c r="D267" s="17"/>
      <c r="E267" s="22"/>
      <c r="F267" s="78"/>
      <c r="G267" s="78"/>
      <c r="H267" s="23"/>
      <c r="I267" s="128">
        <f>E_EnergyFlows!I126</f>
        <v>2019</v>
      </c>
      <c r="J267" s="128">
        <f>E_EnergyFlows!J126</f>
        <v>2020</v>
      </c>
      <c r="K267" s="128">
        <f>E_EnergyFlows!K126</f>
        <v>2021</v>
      </c>
      <c r="L267" s="128">
        <f>E_EnergyFlows!L126</f>
        <v>2022</v>
      </c>
      <c r="M267" s="128">
        <f>E_EnergyFlows!M126</f>
        <v>2023</v>
      </c>
      <c r="N267" s="8"/>
      <c r="O267" s="17"/>
      <c r="P267" s="150"/>
      <c r="Q267" s="150"/>
      <c r="R267" s="150"/>
      <c r="S267" s="150"/>
    </row>
    <row r="268" spans="1:19" x14ac:dyDescent="0.25">
      <c r="A268" s="150"/>
      <c r="B268" s="17"/>
      <c r="C268" s="113"/>
      <c r="D268" s="113"/>
      <c r="E268" s="1449" t="str">
        <f>E_EnergyFlows!E127</f>
        <v>Heat used for electricity production</v>
      </c>
      <c r="F268" s="1449"/>
      <c r="G268" s="1449"/>
      <c r="H268" s="217" t="str">
        <f>E_EnergyFlows!H127</f>
        <v>TJ / year</v>
      </c>
      <c r="I268" s="439" t="str">
        <f>IF(ISBLANK(E_EnergyFlows!I127),"",E_EnergyFlows!I127)</f>
        <v/>
      </c>
      <c r="J268" s="163" t="str">
        <f>IF(ISBLANK(E_EnergyFlows!J127),"",E_EnergyFlows!J127)</f>
        <v/>
      </c>
      <c r="K268" s="163" t="str">
        <f>IF(ISBLANK(E_EnergyFlows!K127),"",E_EnergyFlows!K127)</f>
        <v/>
      </c>
      <c r="L268" s="163" t="str">
        <f>IF(ISBLANK(E_EnergyFlows!L127),"",E_EnergyFlows!L127)</f>
        <v/>
      </c>
      <c r="M268" s="163" t="str">
        <f>IF(ISBLANK(E_EnergyFlows!M127),"",E_EnergyFlows!M127)</f>
        <v/>
      </c>
      <c r="N268" s="8"/>
      <c r="O268" s="17"/>
      <c r="P268" s="190"/>
      <c r="Q268" s="190"/>
      <c r="R268" s="190"/>
      <c r="S268" s="190"/>
    </row>
    <row r="269" spans="1:19" x14ac:dyDescent="0.25">
      <c r="A269" s="150"/>
      <c r="B269" s="17"/>
      <c r="C269" s="113"/>
      <c r="D269" s="113"/>
      <c r="E269" s="1449" t="str">
        <f>E_EnergyFlows!E128</f>
        <v>Amount of heat from non-ETS sources</v>
      </c>
      <c r="F269" s="1449"/>
      <c r="G269" s="1449"/>
      <c r="H269" s="832" t="str">
        <f>E_EnergyFlows!H128</f>
        <v>TJ / year</v>
      </c>
      <c r="I269" s="1054" t="str">
        <f>E_EnergyFlows!I128</f>
        <v/>
      </c>
      <c r="J269" s="831" t="str">
        <f>E_EnergyFlows!J128</f>
        <v/>
      </c>
      <c r="K269" s="831" t="str">
        <f>E_EnergyFlows!K128</f>
        <v/>
      </c>
      <c r="L269" s="831" t="str">
        <f>E_EnergyFlows!L128</f>
        <v/>
      </c>
      <c r="M269" s="831" t="str">
        <f>E_EnergyFlows!M128</f>
        <v/>
      </c>
      <c r="N269" s="8"/>
      <c r="O269" s="17"/>
      <c r="P269" s="190"/>
      <c r="Q269" s="190"/>
      <c r="R269" s="190"/>
      <c r="S269" s="190"/>
    </row>
    <row r="270" spans="1:19" x14ac:dyDescent="0.25">
      <c r="A270" s="150"/>
      <c r="B270" s="17"/>
      <c r="C270" s="113"/>
      <c r="D270" s="113"/>
      <c r="E270" s="1449" t="str">
        <f>E_EnergyFlows!E129</f>
        <v>Manual override of (ii)</v>
      </c>
      <c r="F270" s="1449"/>
      <c r="G270" s="1449"/>
      <c r="H270" s="832" t="str">
        <f>E_EnergyFlows!H129</f>
        <v>TJ / year</v>
      </c>
      <c r="I270" s="439" t="str">
        <f>IF(ISBLANK(E_EnergyFlows!I129),"",E_EnergyFlows!I129)</f>
        <v/>
      </c>
      <c r="J270" s="163" t="str">
        <f>IF(ISBLANK(E_EnergyFlows!J129),"",E_EnergyFlows!J129)</f>
        <v/>
      </c>
      <c r="K270" s="163" t="str">
        <f>IF(ISBLANK(E_EnergyFlows!K129),"",E_EnergyFlows!K129)</f>
        <v/>
      </c>
      <c r="L270" s="163" t="str">
        <f>IF(ISBLANK(E_EnergyFlows!L129),"",E_EnergyFlows!L129)</f>
        <v/>
      </c>
      <c r="M270" s="163" t="str">
        <f>IF(ISBLANK(E_EnergyFlows!M129),"",E_EnergyFlows!M129)</f>
        <v/>
      </c>
      <c r="N270" s="8"/>
      <c r="O270" s="17"/>
      <c r="P270" s="190"/>
      <c r="Q270" s="190"/>
      <c r="R270" s="190"/>
      <c r="S270" s="190"/>
    </row>
    <row r="271" spans="1:19" ht="5.0999999999999996" customHeight="1" x14ac:dyDescent="0.25">
      <c r="A271" s="150"/>
      <c r="B271" s="8"/>
      <c r="C271" s="8"/>
      <c r="D271" s="8"/>
      <c r="E271" s="8"/>
      <c r="F271" s="8"/>
      <c r="G271" s="8"/>
      <c r="H271" s="8"/>
      <c r="I271" s="8"/>
      <c r="J271" s="8"/>
      <c r="K271" s="8"/>
      <c r="L271" s="8"/>
      <c r="M271" s="8"/>
      <c r="N271" s="8"/>
      <c r="O271" s="17"/>
      <c r="P271" s="190"/>
      <c r="Q271" s="190"/>
      <c r="R271" s="190"/>
      <c r="S271" s="190"/>
    </row>
    <row r="272" spans="1:19" x14ac:dyDescent="0.25">
      <c r="A272" s="150"/>
      <c r="B272" s="8"/>
      <c r="C272" s="15"/>
      <c r="D272" s="15" t="str">
        <f>E_EnergyFlows!D131</f>
        <v>(h)</v>
      </c>
      <c r="E272" s="1447" t="str">
        <f>E_EnergyFlows!E131</f>
        <v>Measurable heat consumed for product benchmark sub-installations within the installation  (not eligible for heat benchmark):</v>
      </c>
      <c r="F272" s="1443"/>
      <c r="G272" s="1443"/>
      <c r="H272" s="1443"/>
      <c r="I272" s="1443"/>
      <c r="J272" s="1443"/>
      <c r="K272" s="1443"/>
      <c r="L272" s="1443"/>
      <c r="M272" s="1443"/>
      <c r="N272" s="1443"/>
      <c r="O272" s="17"/>
      <c r="P272" s="190"/>
      <c r="Q272" s="190"/>
      <c r="R272" s="190"/>
      <c r="S272" s="190"/>
    </row>
    <row r="273" spans="1:19" x14ac:dyDescent="0.25">
      <c r="A273" s="150"/>
      <c r="B273" s="17"/>
      <c r="C273" s="17"/>
      <c r="D273" s="17"/>
      <c r="E273" s="22"/>
      <c r="F273" s="78"/>
      <c r="G273" s="78"/>
      <c r="H273" s="23" t="str">
        <f>E_EnergyFlows!H134</f>
        <v>Unit</v>
      </c>
      <c r="I273" s="128">
        <f>E_EnergyFlows!I134</f>
        <v>2019</v>
      </c>
      <c r="J273" s="128">
        <f>E_EnergyFlows!J134</f>
        <v>2020</v>
      </c>
      <c r="K273" s="128">
        <f>E_EnergyFlows!K134</f>
        <v>2021</v>
      </c>
      <c r="L273" s="128">
        <f>E_EnergyFlows!L134</f>
        <v>2022</v>
      </c>
      <c r="M273" s="128">
        <f>E_EnergyFlows!M134</f>
        <v>2023</v>
      </c>
      <c r="N273" s="8"/>
      <c r="O273" s="17"/>
      <c r="P273" s="190"/>
      <c r="Q273" s="190"/>
      <c r="R273" s="190"/>
      <c r="S273" s="190"/>
    </row>
    <row r="274" spans="1:19" ht="12.75" customHeight="1" x14ac:dyDescent="0.25">
      <c r="A274" s="150"/>
      <c r="B274" s="17"/>
      <c r="C274" s="17"/>
      <c r="D274" s="113"/>
      <c r="E274" s="1448" t="str">
        <f>E_EnergyFlows!E135</f>
        <v/>
      </c>
      <c r="F274" s="1448"/>
      <c r="G274" s="1448"/>
      <c r="H274" s="291" t="str">
        <f>E_EnergyFlows!H135</f>
        <v>TJ / year</v>
      </c>
      <c r="I274" s="436" t="str">
        <f>IF(ISBLANK(E_EnergyFlows!I135),"",E_EnergyFlows!I135)</f>
        <v/>
      </c>
      <c r="J274" s="857" t="str">
        <f>IF(ISBLANK(E_EnergyFlows!J135),"",E_EnergyFlows!J135)</f>
        <v/>
      </c>
      <c r="K274" s="857" t="str">
        <f>IF(ISBLANK(E_EnergyFlows!K135),"",E_EnergyFlows!K135)</f>
        <v/>
      </c>
      <c r="L274" s="857" t="str">
        <f>IF(ISBLANK(E_EnergyFlows!L135),"",E_EnergyFlows!L135)</f>
        <v/>
      </c>
      <c r="M274" s="857" t="str">
        <f>IF(ISBLANK(E_EnergyFlows!M135),"",E_EnergyFlows!M135)</f>
        <v/>
      </c>
      <c r="N274" s="8"/>
      <c r="O274" s="17"/>
      <c r="P274" s="190"/>
      <c r="Q274" s="190"/>
      <c r="R274" s="190"/>
      <c r="S274" s="190"/>
    </row>
    <row r="275" spans="1:19" x14ac:dyDescent="0.25">
      <c r="A275" s="150"/>
      <c r="B275" s="17"/>
      <c r="C275" s="17"/>
      <c r="D275" s="113"/>
      <c r="E275" s="1448" t="str">
        <f>E_EnergyFlows!E136</f>
        <v/>
      </c>
      <c r="F275" s="1448"/>
      <c r="G275" s="1448"/>
      <c r="H275" s="833" t="str">
        <f>E_EnergyFlows!H136</f>
        <v>TJ / year</v>
      </c>
      <c r="I275" s="226" t="str">
        <f>IF(ISBLANK(E_EnergyFlows!I136),"",E_EnergyFlows!I136)</f>
        <v/>
      </c>
      <c r="J275" s="859" t="str">
        <f>IF(ISBLANK(E_EnergyFlows!J136),"",E_EnergyFlows!J136)</f>
        <v/>
      </c>
      <c r="K275" s="859" t="str">
        <f>IF(ISBLANK(E_EnergyFlows!K136),"",E_EnergyFlows!K136)</f>
        <v/>
      </c>
      <c r="L275" s="859" t="str">
        <f>IF(ISBLANK(E_EnergyFlows!L136),"",E_EnergyFlows!L136)</f>
        <v/>
      </c>
      <c r="M275" s="859" t="str">
        <f>IF(ISBLANK(E_EnergyFlows!M136),"",E_EnergyFlows!M136)</f>
        <v/>
      </c>
      <c r="N275" s="8"/>
      <c r="O275" s="17"/>
      <c r="P275" s="190"/>
      <c r="Q275" s="190"/>
      <c r="R275" s="190"/>
      <c r="S275" s="190"/>
    </row>
    <row r="276" spans="1:19" ht="12.75" customHeight="1" x14ac:dyDescent="0.25">
      <c r="A276" s="150"/>
      <c r="B276" s="17"/>
      <c r="C276" s="17"/>
      <c r="D276" s="113"/>
      <c r="E276" s="1448" t="str">
        <f>E_EnergyFlows!E137</f>
        <v/>
      </c>
      <c r="F276" s="1448"/>
      <c r="G276" s="1448"/>
      <c r="H276" s="833" t="str">
        <f>E_EnergyFlows!H137</f>
        <v>TJ / year</v>
      </c>
      <c r="I276" s="226" t="str">
        <f>IF(ISBLANK(E_EnergyFlows!I137),"",E_EnergyFlows!I137)</f>
        <v/>
      </c>
      <c r="J276" s="859" t="str">
        <f>IF(ISBLANK(E_EnergyFlows!J137),"",E_EnergyFlows!J137)</f>
        <v/>
      </c>
      <c r="K276" s="859" t="str">
        <f>IF(ISBLANK(E_EnergyFlows!K137),"",E_EnergyFlows!K137)</f>
        <v/>
      </c>
      <c r="L276" s="859" t="str">
        <f>IF(ISBLANK(E_EnergyFlows!L137),"",E_EnergyFlows!L137)</f>
        <v/>
      </c>
      <c r="M276" s="859" t="str">
        <f>IF(ISBLANK(E_EnergyFlows!M137),"",E_EnergyFlows!M137)</f>
        <v/>
      </c>
      <c r="N276" s="8"/>
      <c r="O276" s="17"/>
      <c r="P276" s="190"/>
      <c r="Q276" s="190"/>
      <c r="R276" s="190"/>
      <c r="S276" s="190"/>
    </row>
    <row r="277" spans="1:19" x14ac:dyDescent="0.25">
      <c r="A277" s="150"/>
      <c r="B277" s="17"/>
      <c r="C277" s="17"/>
      <c r="D277" s="113"/>
      <c r="E277" s="1448" t="str">
        <f>E_EnergyFlows!E138</f>
        <v/>
      </c>
      <c r="F277" s="1448"/>
      <c r="G277" s="1448"/>
      <c r="H277" s="833" t="str">
        <f>E_EnergyFlows!H138</f>
        <v>TJ / year</v>
      </c>
      <c r="I277" s="226" t="str">
        <f>IF(ISBLANK(E_EnergyFlows!I138),"",E_EnergyFlows!I138)</f>
        <v/>
      </c>
      <c r="J277" s="859" t="str">
        <f>IF(ISBLANK(E_EnergyFlows!J138),"",E_EnergyFlows!J138)</f>
        <v/>
      </c>
      <c r="K277" s="859" t="str">
        <f>IF(ISBLANK(E_EnergyFlows!K138),"",E_EnergyFlows!K138)</f>
        <v/>
      </c>
      <c r="L277" s="859" t="str">
        <f>IF(ISBLANK(E_EnergyFlows!L138),"",E_EnergyFlows!L138)</f>
        <v/>
      </c>
      <c r="M277" s="859" t="str">
        <f>IF(ISBLANK(E_EnergyFlows!M138),"",E_EnergyFlows!M138)</f>
        <v/>
      </c>
      <c r="N277" s="8"/>
      <c r="O277" s="17"/>
      <c r="P277" s="190"/>
      <c r="Q277" s="190"/>
      <c r="R277" s="190"/>
      <c r="S277" s="190"/>
    </row>
    <row r="278" spans="1:19" x14ac:dyDescent="0.25">
      <c r="A278" s="150"/>
      <c r="B278" s="17"/>
      <c r="C278" s="17"/>
      <c r="D278" s="113"/>
      <c r="E278" s="1448" t="str">
        <f>E_EnergyFlows!E139</f>
        <v/>
      </c>
      <c r="F278" s="1448"/>
      <c r="G278" s="1448"/>
      <c r="H278" s="833" t="str">
        <f>E_EnergyFlows!H139</f>
        <v>TJ / year</v>
      </c>
      <c r="I278" s="226" t="str">
        <f>IF(ISBLANK(E_EnergyFlows!I139),"",E_EnergyFlows!I139)</f>
        <v/>
      </c>
      <c r="J278" s="859" t="str">
        <f>IF(ISBLANK(E_EnergyFlows!J139),"",E_EnergyFlows!J139)</f>
        <v/>
      </c>
      <c r="K278" s="859" t="str">
        <f>IF(ISBLANK(E_EnergyFlows!K139),"",E_EnergyFlows!K139)</f>
        <v/>
      </c>
      <c r="L278" s="859" t="str">
        <f>IF(ISBLANK(E_EnergyFlows!L139),"",E_EnergyFlows!L139)</f>
        <v/>
      </c>
      <c r="M278" s="859" t="str">
        <f>IF(ISBLANK(E_EnergyFlows!M139),"",E_EnergyFlows!M139)</f>
        <v/>
      </c>
      <c r="N278" s="8"/>
      <c r="O278" s="17"/>
      <c r="P278" s="190"/>
      <c r="Q278" s="190"/>
      <c r="R278" s="190"/>
      <c r="S278" s="190"/>
    </row>
    <row r="279" spans="1:19" x14ac:dyDescent="0.25">
      <c r="A279" s="150"/>
      <c r="B279" s="17"/>
      <c r="C279" s="17"/>
      <c r="D279" s="113"/>
      <c r="E279" s="1448" t="str">
        <f>E_EnergyFlows!E140</f>
        <v/>
      </c>
      <c r="F279" s="1448"/>
      <c r="G279" s="1448"/>
      <c r="H279" s="833" t="str">
        <f>E_EnergyFlows!H140</f>
        <v>TJ / year</v>
      </c>
      <c r="I279" s="226" t="str">
        <f>IF(ISBLANK(E_EnergyFlows!I140),"",E_EnergyFlows!I140)</f>
        <v/>
      </c>
      <c r="J279" s="859" t="str">
        <f>IF(ISBLANK(E_EnergyFlows!J140),"",E_EnergyFlows!J140)</f>
        <v/>
      </c>
      <c r="K279" s="859" t="str">
        <f>IF(ISBLANK(E_EnergyFlows!K140),"",E_EnergyFlows!K140)</f>
        <v/>
      </c>
      <c r="L279" s="859" t="str">
        <f>IF(ISBLANK(E_EnergyFlows!L140),"",E_EnergyFlows!L140)</f>
        <v/>
      </c>
      <c r="M279" s="859" t="str">
        <f>IF(ISBLANK(E_EnergyFlows!M140),"",E_EnergyFlows!M140)</f>
        <v/>
      </c>
      <c r="N279" s="8"/>
      <c r="O279" s="17"/>
      <c r="P279" s="190"/>
      <c r="Q279" s="190"/>
      <c r="R279" s="190"/>
      <c r="S279" s="190"/>
    </row>
    <row r="280" spans="1:19" x14ac:dyDescent="0.25">
      <c r="A280" s="150"/>
      <c r="B280" s="17"/>
      <c r="C280" s="17"/>
      <c r="D280" s="113"/>
      <c r="E280" s="1448" t="str">
        <f>E_EnergyFlows!E141</f>
        <v/>
      </c>
      <c r="F280" s="1448"/>
      <c r="G280" s="1448"/>
      <c r="H280" s="833" t="str">
        <f>E_EnergyFlows!H141</f>
        <v>TJ / year</v>
      </c>
      <c r="I280" s="226" t="str">
        <f>IF(ISBLANK(E_EnergyFlows!I141),"",E_EnergyFlows!I141)</f>
        <v/>
      </c>
      <c r="J280" s="859" t="str">
        <f>IF(ISBLANK(E_EnergyFlows!J141),"",E_EnergyFlows!J141)</f>
        <v/>
      </c>
      <c r="K280" s="859" t="str">
        <f>IF(ISBLANK(E_EnergyFlows!K141),"",E_EnergyFlows!K141)</f>
        <v/>
      </c>
      <c r="L280" s="859" t="str">
        <f>IF(ISBLANK(E_EnergyFlows!L141),"",E_EnergyFlows!L141)</f>
        <v/>
      </c>
      <c r="M280" s="859" t="str">
        <f>IF(ISBLANK(E_EnergyFlows!M141),"",E_EnergyFlows!M141)</f>
        <v/>
      </c>
      <c r="N280" s="8"/>
      <c r="O280" s="17"/>
      <c r="P280" s="190"/>
      <c r="Q280" s="190"/>
      <c r="R280" s="190"/>
      <c r="S280" s="190"/>
    </row>
    <row r="281" spans="1:19" x14ac:dyDescent="0.25">
      <c r="A281" s="150"/>
      <c r="B281" s="17"/>
      <c r="C281" s="17"/>
      <c r="D281" s="113"/>
      <c r="E281" s="1448" t="str">
        <f>E_EnergyFlows!E142</f>
        <v/>
      </c>
      <c r="F281" s="1448"/>
      <c r="G281" s="1448"/>
      <c r="H281" s="833" t="str">
        <f>E_EnergyFlows!H142</f>
        <v>TJ / year</v>
      </c>
      <c r="I281" s="226" t="str">
        <f>IF(ISBLANK(E_EnergyFlows!I142),"",E_EnergyFlows!I142)</f>
        <v/>
      </c>
      <c r="J281" s="859" t="str">
        <f>IF(ISBLANK(E_EnergyFlows!J142),"",E_EnergyFlows!J142)</f>
        <v/>
      </c>
      <c r="K281" s="859" t="str">
        <f>IF(ISBLANK(E_EnergyFlows!K142),"",E_EnergyFlows!K142)</f>
        <v/>
      </c>
      <c r="L281" s="859" t="str">
        <f>IF(ISBLANK(E_EnergyFlows!L142),"",E_EnergyFlows!L142)</f>
        <v/>
      </c>
      <c r="M281" s="859" t="str">
        <f>IF(ISBLANK(E_EnergyFlows!M142),"",E_EnergyFlows!M142)</f>
        <v/>
      </c>
      <c r="N281" s="8"/>
      <c r="O281" s="17"/>
      <c r="P281" s="190"/>
      <c r="Q281" s="190"/>
      <c r="R281" s="190"/>
      <c r="S281" s="190"/>
    </row>
    <row r="282" spans="1:19" x14ac:dyDescent="0.25">
      <c r="A282" s="150"/>
      <c r="B282" s="17"/>
      <c r="C282" s="17"/>
      <c r="D282" s="113"/>
      <c r="E282" s="1448" t="str">
        <f>E_EnergyFlows!E143</f>
        <v/>
      </c>
      <c r="F282" s="1448"/>
      <c r="G282" s="1448"/>
      <c r="H282" s="833" t="str">
        <f>E_EnergyFlows!H143</f>
        <v>TJ / year</v>
      </c>
      <c r="I282" s="226" t="str">
        <f>IF(ISBLANK(E_EnergyFlows!I143),"",E_EnergyFlows!I143)</f>
        <v/>
      </c>
      <c r="J282" s="859" t="str">
        <f>IF(ISBLANK(E_EnergyFlows!J143),"",E_EnergyFlows!J143)</f>
        <v/>
      </c>
      <c r="K282" s="859" t="str">
        <f>IF(ISBLANK(E_EnergyFlows!K143),"",E_EnergyFlows!K143)</f>
        <v/>
      </c>
      <c r="L282" s="859" t="str">
        <f>IF(ISBLANK(E_EnergyFlows!L143),"",E_EnergyFlows!L143)</f>
        <v/>
      </c>
      <c r="M282" s="859" t="str">
        <f>IF(ISBLANK(E_EnergyFlows!M143),"",E_EnergyFlows!M143)</f>
        <v/>
      </c>
      <c r="N282" s="8"/>
      <c r="O282" s="17"/>
      <c r="P282" s="190"/>
      <c r="Q282" s="190"/>
      <c r="R282" s="190"/>
      <c r="S282" s="190"/>
    </row>
    <row r="283" spans="1:19" x14ac:dyDescent="0.25">
      <c r="A283" s="150"/>
      <c r="B283" s="17"/>
      <c r="C283" s="17"/>
      <c r="D283" s="113"/>
      <c r="E283" s="1465" t="str">
        <f>E_EnergyFlows!E144</f>
        <v/>
      </c>
      <c r="F283" s="1465"/>
      <c r="G283" s="1465"/>
      <c r="H283" s="835" t="str">
        <f>E_EnergyFlows!H144</f>
        <v>TJ / year</v>
      </c>
      <c r="I283" s="437" t="str">
        <f>IF(ISBLANK(E_EnergyFlows!I144),"",E_EnergyFlows!I144)</f>
        <v/>
      </c>
      <c r="J283" s="861" t="str">
        <f>IF(ISBLANK(E_EnergyFlows!J144),"",E_EnergyFlows!J144)</f>
        <v/>
      </c>
      <c r="K283" s="861" t="str">
        <f>IF(ISBLANK(E_EnergyFlows!K144),"",E_EnergyFlows!K144)</f>
        <v/>
      </c>
      <c r="L283" s="861" t="str">
        <f>IF(ISBLANK(E_EnergyFlows!L144),"",E_EnergyFlows!L144)</f>
        <v/>
      </c>
      <c r="M283" s="861" t="str">
        <f>IF(ISBLANK(E_EnergyFlows!M144),"",E_EnergyFlows!M144)</f>
        <v/>
      </c>
      <c r="N283" s="8"/>
      <c r="O283" s="17"/>
      <c r="P283" s="190"/>
      <c r="Q283" s="190"/>
      <c r="R283" s="190"/>
      <c r="S283" s="190"/>
    </row>
    <row r="284" spans="1:19" ht="12.75" customHeight="1" x14ac:dyDescent="0.25">
      <c r="A284" s="150"/>
      <c r="B284" s="17"/>
      <c r="C284" s="113"/>
      <c r="D284" s="113"/>
      <c r="E284" s="1449" t="str">
        <f>E_EnergyFlows!E145</f>
        <v>Sub-total</v>
      </c>
      <c r="F284" s="1449"/>
      <c r="G284" s="1449"/>
      <c r="H284" s="227" t="str">
        <f>E_EnergyFlows!H145</f>
        <v>TJ / year</v>
      </c>
      <c r="I284" s="439" t="str">
        <f>E_EnergyFlows!I145</f>
        <v/>
      </c>
      <c r="J284" s="163" t="str">
        <f>E_EnergyFlows!J145</f>
        <v/>
      </c>
      <c r="K284" s="163" t="str">
        <f>E_EnergyFlows!K145</f>
        <v/>
      </c>
      <c r="L284" s="163" t="str">
        <f>E_EnergyFlows!L145</f>
        <v/>
      </c>
      <c r="M284" s="163" t="str">
        <f>E_EnergyFlows!M145</f>
        <v/>
      </c>
      <c r="N284" s="8"/>
      <c r="O284" s="17"/>
      <c r="P284" s="190"/>
      <c r="Q284" s="190"/>
      <c r="R284" s="190"/>
      <c r="S284" s="190"/>
    </row>
    <row r="285" spans="1:19" ht="5.0999999999999996" customHeight="1" x14ac:dyDescent="0.25">
      <c r="A285" s="150"/>
      <c r="B285" s="8"/>
      <c r="C285" s="8"/>
      <c r="D285" s="8"/>
      <c r="E285" s="8"/>
      <c r="F285" s="8"/>
      <c r="G285" s="8"/>
      <c r="H285" s="8"/>
      <c r="I285" s="8"/>
      <c r="J285" s="8"/>
      <c r="K285" s="8"/>
      <c r="L285" s="8"/>
      <c r="M285" s="8"/>
      <c r="N285" s="8"/>
      <c r="O285" s="17"/>
      <c r="P285" s="190"/>
      <c r="Q285" s="190"/>
      <c r="R285" s="190"/>
      <c r="S285" s="190"/>
    </row>
    <row r="286" spans="1:19" x14ac:dyDescent="0.25">
      <c r="A286" s="150"/>
      <c r="B286" s="17"/>
      <c r="C286" s="17"/>
      <c r="D286" s="17"/>
      <c r="E286" s="1452" t="str">
        <f>E_EnergyFlows!E147</f>
        <v>Values entered in sheet "F_ProductBM":</v>
      </c>
      <c r="F286" s="1451"/>
      <c r="G286" s="1451"/>
      <c r="H286" s="1451"/>
      <c r="I286" s="1451"/>
      <c r="J286" s="1451"/>
      <c r="K286" s="1451"/>
      <c r="L286" s="1451"/>
      <c r="M286" s="1451"/>
      <c r="N286" s="1443"/>
      <c r="O286" s="17"/>
      <c r="P286" s="190"/>
      <c r="Q286" s="190"/>
      <c r="R286" s="190"/>
      <c r="S286" s="190"/>
    </row>
    <row r="287" spans="1:19" x14ac:dyDescent="0.25">
      <c r="A287" s="150"/>
      <c r="B287" s="17"/>
      <c r="C287" s="113"/>
      <c r="D287" s="113"/>
      <c r="E287" s="1449" t="str">
        <f>E_EnergyFlows!E148</f>
        <v>Amount of heat from non-ETS sources</v>
      </c>
      <c r="F287" s="1449"/>
      <c r="G287" s="1449"/>
      <c r="H287" s="832" t="str">
        <f>E_EnergyFlows!H148</f>
        <v>TJ / year</v>
      </c>
      <c r="I287" s="1054" t="str">
        <f>E_EnergyFlows!I148</f>
        <v/>
      </c>
      <c r="J287" s="831" t="str">
        <f>E_EnergyFlows!J148</f>
        <v/>
      </c>
      <c r="K287" s="831" t="str">
        <f>E_EnergyFlows!K148</f>
        <v/>
      </c>
      <c r="L287" s="831" t="str">
        <f>E_EnergyFlows!L148</f>
        <v/>
      </c>
      <c r="M287" s="831" t="str">
        <f>E_EnergyFlows!M148</f>
        <v/>
      </c>
      <c r="N287" s="8"/>
      <c r="O287" s="17"/>
      <c r="P287" s="150"/>
      <c r="Q287" s="150"/>
      <c r="R287" s="150"/>
      <c r="S287" s="150"/>
    </row>
    <row r="288" spans="1:19" ht="5.0999999999999996" customHeight="1" x14ac:dyDescent="0.25">
      <c r="A288" s="150"/>
      <c r="B288" s="8"/>
      <c r="C288" s="8"/>
      <c r="D288" s="8"/>
      <c r="E288" s="8"/>
      <c r="F288" s="8"/>
      <c r="G288" s="8"/>
      <c r="H288" s="8"/>
      <c r="I288" s="8"/>
      <c r="J288" s="8"/>
      <c r="K288" s="8"/>
      <c r="L288" s="8"/>
      <c r="M288" s="8"/>
      <c r="N288" s="8"/>
      <c r="O288" s="17"/>
      <c r="P288" s="190"/>
      <c r="Q288" s="150"/>
      <c r="R288" s="150"/>
      <c r="S288" s="150"/>
    </row>
    <row r="289" spans="1:19" x14ac:dyDescent="0.25">
      <c r="A289" s="150"/>
      <c r="B289" s="17"/>
      <c r="C289" s="17"/>
      <c r="D289" s="17"/>
      <c r="E289" s="1452" t="str">
        <f>E_EnergyFlows!E154</f>
        <v>Non-ETS heat entered in sheet "F_ProductBM" compared to total amount of heat for all product benchmarks:</v>
      </c>
      <c r="F289" s="1451"/>
      <c r="G289" s="1451"/>
      <c r="H289" s="1451"/>
      <c r="I289" s="1451"/>
      <c r="J289" s="1451"/>
      <c r="K289" s="1451"/>
      <c r="L289" s="1451"/>
      <c r="M289" s="1451"/>
      <c r="N289" s="1443"/>
      <c r="O289" s="17"/>
      <c r="P289" s="150"/>
      <c r="Q289" s="150"/>
      <c r="R289" s="150"/>
      <c r="S289" s="150"/>
    </row>
    <row r="290" spans="1:19" x14ac:dyDescent="0.25">
      <c r="A290" s="150"/>
      <c r="B290" s="17"/>
      <c r="C290" s="113"/>
      <c r="D290" s="113"/>
      <c r="E290" s="1449" t="str">
        <f>E_EnergyFlows!E155</f>
        <v>Point xii in relation to point xi:</v>
      </c>
      <c r="F290" s="1449"/>
      <c r="G290" s="1449"/>
      <c r="H290" s="217" t="str">
        <f>E_EnergyFlows!H155</f>
        <v>%</v>
      </c>
      <c r="I290" s="1054" t="str">
        <f>E_EnergyFlows!I155</f>
        <v/>
      </c>
      <c r="J290" s="831" t="str">
        <f>E_EnergyFlows!J155</f>
        <v/>
      </c>
      <c r="K290" s="831" t="str">
        <f>E_EnergyFlows!K155</f>
        <v/>
      </c>
      <c r="L290" s="831" t="str">
        <f>E_EnergyFlows!L155</f>
        <v/>
      </c>
      <c r="M290" s="831" t="str">
        <f>E_EnergyFlows!M155</f>
        <v/>
      </c>
      <c r="N290" s="8"/>
      <c r="O290" s="17"/>
      <c r="P290" s="150"/>
      <c r="Q290" s="150"/>
      <c r="R290" s="150"/>
      <c r="S290" s="150"/>
    </row>
    <row r="291" spans="1:19" ht="5.0999999999999996" customHeight="1" x14ac:dyDescent="0.25">
      <c r="A291" s="150"/>
      <c r="B291" s="8"/>
      <c r="C291" s="837"/>
      <c r="D291" s="837"/>
      <c r="E291" s="8"/>
      <c r="F291" s="8"/>
      <c r="G291" s="8"/>
      <c r="H291" s="8"/>
      <c r="I291" s="8"/>
      <c r="J291" s="8"/>
      <c r="K291" s="8"/>
      <c r="L291" s="8"/>
      <c r="M291" s="8"/>
      <c r="N291" s="8"/>
      <c r="O291" s="17"/>
      <c r="P291" s="190"/>
      <c r="Q291" s="150"/>
      <c r="R291" s="150"/>
      <c r="S291" s="150"/>
    </row>
    <row r="292" spans="1:19" x14ac:dyDescent="0.25">
      <c r="A292" s="150"/>
      <c r="B292" s="17"/>
      <c r="C292" s="113"/>
      <c r="D292" s="113"/>
      <c r="E292" s="1452" t="str">
        <f>E_EnergyFlows!E157</f>
        <v>Non-ETS heat entered in sheet "F_ProductBM" compared to total amount of non-ETS heat imports entered above under point (c):</v>
      </c>
      <c r="F292" s="1451"/>
      <c r="G292" s="1451"/>
      <c r="H292" s="1451"/>
      <c r="I292" s="1451"/>
      <c r="J292" s="1451"/>
      <c r="K292" s="1451"/>
      <c r="L292" s="1451"/>
      <c r="M292" s="1451"/>
      <c r="N292" s="1443"/>
      <c r="O292" s="17"/>
      <c r="P292" s="150"/>
      <c r="Q292" s="150"/>
      <c r="R292" s="150"/>
      <c r="S292" s="150"/>
    </row>
    <row r="293" spans="1:19" x14ac:dyDescent="0.25">
      <c r="A293" s="150"/>
      <c r="B293" s="17"/>
      <c r="C293" s="113"/>
      <c r="D293" s="113"/>
      <c r="E293" s="1449" t="str">
        <f>E_EnergyFlows!E158</f>
        <v>Point xii in relation to point (c) above:</v>
      </c>
      <c r="F293" s="1449"/>
      <c r="G293" s="1449"/>
      <c r="H293" s="217" t="str">
        <f>E_EnergyFlows!H158</f>
        <v>%</v>
      </c>
      <c r="I293" s="1054" t="str">
        <f>E_EnergyFlows!I158</f>
        <v/>
      </c>
      <c r="J293" s="831" t="str">
        <f>E_EnergyFlows!J158</f>
        <v/>
      </c>
      <c r="K293" s="831" t="str">
        <f>E_EnergyFlows!K158</f>
        <v/>
      </c>
      <c r="L293" s="831" t="str">
        <f>E_EnergyFlows!L158</f>
        <v/>
      </c>
      <c r="M293" s="831" t="str">
        <f>E_EnergyFlows!M158</f>
        <v/>
      </c>
      <c r="N293" s="8"/>
      <c r="O293" s="17"/>
      <c r="P293" s="150"/>
      <c r="Q293" s="150"/>
      <c r="R293" s="150"/>
      <c r="S293" s="150"/>
    </row>
    <row r="294" spans="1:19" ht="5.0999999999999996" customHeight="1" x14ac:dyDescent="0.25">
      <c r="A294" s="150"/>
      <c r="B294" s="17"/>
      <c r="C294" s="17"/>
      <c r="D294" s="17"/>
      <c r="E294" s="17"/>
      <c r="F294" s="17"/>
      <c r="G294" s="17"/>
      <c r="H294" s="17"/>
      <c r="I294" s="17"/>
      <c r="J294" s="17"/>
      <c r="K294" s="17"/>
      <c r="L294" s="17"/>
      <c r="M294" s="17"/>
      <c r="N294" s="17"/>
      <c r="O294" s="17"/>
      <c r="P294" s="150"/>
      <c r="Q294" s="150"/>
      <c r="R294" s="150"/>
      <c r="S294" s="150"/>
    </row>
    <row r="295" spans="1:19" x14ac:dyDescent="0.25">
      <c r="A295" s="150"/>
      <c r="B295" s="17"/>
      <c r="C295" s="15"/>
      <c r="D295" s="15" t="str">
        <f>E_EnergyFlows!D160</f>
        <v>(i)</v>
      </c>
      <c r="E295" s="1447" t="str">
        <f>E_EnergyFlows!E160</f>
        <v>Heat exported to ETS installations (not eligible for heat benchmark):</v>
      </c>
      <c r="F295" s="1443"/>
      <c r="G295" s="1443"/>
      <c r="H295" s="1443"/>
      <c r="I295" s="1443"/>
      <c r="J295" s="1443"/>
      <c r="K295" s="1443"/>
      <c r="L295" s="1443"/>
      <c r="M295" s="1443"/>
      <c r="N295" s="1443"/>
      <c r="O295" s="17"/>
      <c r="P295" s="150"/>
      <c r="Q295" s="150"/>
      <c r="R295" s="150"/>
      <c r="S295" s="150"/>
    </row>
    <row r="296" spans="1:19" x14ac:dyDescent="0.25">
      <c r="A296" s="150"/>
      <c r="B296" s="17"/>
      <c r="C296" s="17"/>
      <c r="D296" s="17"/>
      <c r="E296" s="1452" t="str">
        <f>E_EnergyFlows!E163</f>
        <v>Name of installation</v>
      </c>
      <c r="F296" s="1451"/>
      <c r="G296" s="1451"/>
      <c r="H296" s="23" t="str">
        <f>E_EnergyFlows!H163</f>
        <v>Unit</v>
      </c>
      <c r="I296" s="149">
        <f>E_EnergyFlows!I163</f>
        <v>2019</v>
      </c>
      <c r="J296" s="149">
        <f>E_EnergyFlows!J163</f>
        <v>2020</v>
      </c>
      <c r="K296" s="149">
        <f>E_EnergyFlows!K163</f>
        <v>2021</v>
      </c>
      <c r="L296" s="149">
        <f>E_EnergyFlows!L163</f>
        <v>2022</v>
      </c>
      <c r="M296" s="149">
        <f>E_EnergyFlows!M163</f>
        <v>2023</v>
      </c>
      <c r="N296" s="8"/>
      <c r="O296" s="17"/>
      <c r="P296" s="150"/>
      <c r="Q296" s="150"/>
      <c r="R296" s="150"/>
      <c r="S296" s="150"/>
    </row>
    <row r="297" spans="1:19" x14ac:dyDescent="0.25">
      <c r="A297" s="150"/>
      <c r="B297" s="17"/>
      <c r="C297" s="113"/>
      <c r="D297" s="113"/>
      <c r="E297" s="1754" t="str">
        <f>IF(ISBLANK(E_EnergyFlows!E164),"",E_EnergyFlows!E164)</f>
        <v/>
      </c>
      <c r="F297" s="1754"/>
      <c r="G297" s="1754"/>
      <c r="H297" s="838" t="str">
        <f>E_EnergyFlows!H164</f>
        <v>TJ / year</v>
      </c>
      <c r="I297" s="1055" t="str">
        <f>IF(ISBLANK(E_EnergyFlows!I164),"",E_EnergyFlows!I164)</f>
        <v/>
      </c>
      <c r="J297" s="1018" t="str">
        <f>IF(ISBLANK(E_EnergyFlows!J164),"",E_EnergyFlows!J164)</f>
        <v/>
      </c>
      <c r="K297" s="1018" t="str">
        <f>IF(ISBLANK(E_EnergyFlows!K164),"",E_EnergyFlows!K164)</f>
        <v/>
      </c>
      <c r="L297" s="1018" t="str">
        <f>IF(ISBLANK(E_EnergyFlows!L164),"",E_EnergyFlows!L164)</f>
        <v/>
      </c>
      <c r="M297" s="1018" t="str">
        <f>IF(ISBLANK(E_EnergyFlows!M164),"",E_EnergyFlows!M164)</f>
        <v/>
      </c>
      <c r="N297" s="8"/>
      <c r="O297" s="17"/>
      <c r="P297" s="150"/>
      <c r="Q297" s="150"/>
      <c r="R297" s="150"/>
      <c r="S297" s="150"/>
    </row>
    <row r="298" spans="1:19" x14ac:dyDescent="0.25">
      <c r="A298" s="150"/>
      <c r="B298" s="17"/>
      <c r="C298" s="113"/>
      <c r="D298" s="113"/>
      <c r="E298" s="1716" t="str">
        <f>IF(ISBLANK(E_EnergyFlows!E165),"",E_EnergyFlows!E165)</f>
        <v/>
      </c>
      <c r="F298" s="1716"/>
      <c r="G298" s="1716"/>
      <c r="H298" s="225" t="str">
        <f>E_EnergyFlows!H165</f>
        <v>TJ / year</v>
      </c>
      <c r="I298" s="226" t="str">
        <f>IF(ISBLANK(E_EnergyFlows!I165),"",E_EnergyFlows!I165)</f>
        <v/>
      </c>
      <c r="J298" s="859" t="str">
        <f>IF(ISBLANK(E_EnergyFlows!J165),"",E_EnergyFlows!J165)</f>
        <v/>
      </c>
      <c r="K298" s="859" t="str">
        <f>IF(ISBLANK(E_EnergyFlows!K165),"",E_EnergyFlows!K165)</f>
        <v/>
      </c>
      <c r="L298" s="859" t="str">
        <f>IF(ISBLANK(E_EnergyFlows!L165),"",E_EnergyFlows!L165)</f>
        <v/>
      </c>
      <c r="M298" s="859" t="str">
        <f>IF(ISBLANK(E_EnergyFlows!M165),"",E_EnergyFlows!M165)</f>
        <v/>
      </c>
      <c r="N298" s="8"/>
      <c r="O298" s="17"/>
      <c r="P298" s="150"/>
      <c r="Q298" s="150"/>
      <c r="R298" s="150"/>
      <c r="S298" s="150"/>
    </row>
    <row r="299" spans="1:19" x14ac:dyDescent="0.25">
      <c r="A299" s="150"/>
      <c r="B299" s="17"/>
      <c r="C299" s="113"/>
      <c r="D299" s="113"/>
      <c r="E299" s="1716" t="str">
        <f>IF(ISBLANK(E_EnergyFlows!E166),"",E_EnergyFlows!E166)</f>
        <v/>
      </c>
      <c r="F299" s="1716"/>
      <c r="G299" s="1716"/>
      <c r="H299" s="225" t="str">
        <f>E_EnergyFlows!H166</f>
        <v>TJ / year</v>
      </c>
      <c r="I299" s="226" t="str">
        <f>IF(ISBLANK(E_EnergyFlows!I166),"",E_EnergyFlows!I166)</f>
        <v/>
      </c>
      <c r="J299" s="859" t="str">
        <f>IF(ISBLANK(E_EnergyFlows!J166),"",E_EnergyFlows!J166)</f>
        <v/>
      </c>
      <c r="K299" s="859" t="str">
        <f>IF(ISBLANK(E_EnergyFlows!K166),"",E_EnergyFlows!K166)</f>
        <v/>
      </c>
      <c r="L299" s="859" t="str">
        <f>IF(ISBLANK(E_EnergyFlows!L166),"",E_EnergyFlows!L166)</f>
        <v/>
      </c>
      <c r="M299" s="859" t="str">
        <f>IF(ISBLANK(E_EnergyFlows!M166),"",E_EnergyFlows!M166)</f>
        <v/>
      </c>
      <c r="N299" s="8"/>
      <c r="O299" s="17"/>
      <c r="P299" s="150"/>
      <c r="Q299" s="150"/>
      <c r="R299" s="150"/>
      <c r="S299" s="150"/>
    </row>
    <row r="300" spans="1:19" x14ac:dyDescent="0.25">
      <c r="A300" s="150"/>
      <c r="B300" s="17"/>
      <c r="C300" s="113"/>
      <c r="D300" s="113"/>
      <c r="E300" s="1716" t="str">
        <f>IF(ISBLANK(E_EnergyFlows!E167),"",E_EnergyFlows!E167)</f>
        <v/>
      </c>
      <c r="F300" s="1716"/>
      <c r="G300" s="1716"/>
      <c r="H300" s="225" t="str">
        <f>E_EnergyFlows!H167</f>
        <v>TJ / year</v>
      </c>
      <c r="I300" s="226" t="str">
        <f>IF(ISBLANK(E_EnergyFlows!I167),"",E_EnergyFlows!I167)</f>
        <v/>
      </c>
      <c r="J300" s="859" t="str">
        <f>IF(ISBLANK(E_EnergyFlows!J167),"",E_EnergyFlows!J167)</f>
        <v/>
      </c>
      <c r="K300" s="859" t="str">
        <f>IF(ISBLANK(E_EnergyFlows!K167),"",E_EnergyFlows!K167)</f>
        <v/>
      </c>
      <c r="L300" s="859" t="str">
        <f>IF(ISBLANK(E_EnergyFlows!L167),"",E_EnergyFlows!L167)</f>
        <v/>
      </c>
      <c r="M300" s="859" t="str">
        <f>IF(ISBLANK(E_EnergyFlows!M167),"",E_EnergyFlows!M167)</f>
        <v/>
      </c>
      <c r="N300" s="8"/>
      <c r="O300" s="17"/>
      <c r="P300" s="150"/>
      <c r="Q300" s="150"/>
      <c r="R300" s="150"/>
      <c r="S300" s="150"/>
    </row>
    <row r="301" spans="1:19" x14ac:dyDescent="0.25">
      <c r="A301" s="150"/>
      <c r="B301" s="17"/>
      <c r="C301" s="113"/>
      <c r="D301" s="113"/>
      <c r="E301" s="1718" t="str">
        <f>IF(ISBLANK(E_EnergyFlows!E168),"",E_EnergyFlows!E168)</f>
        <v/>
      </c>
      <c r="F301" s="1718"/>
      <c r="G301" s="1718"/>
      <c r="H301" s="227" t="str">
        <f>E_EnergyFlows!H168</f>
        <v>TJ / year</v>
      </c>
      <c r="I301" s="437" t="str">
        <f>IF(ISBLANK(E_EnergyFlows!I168),"",E_EnergyFlows!I168)</f>
        <v/>
      </c>
      <c r="J301" s="861" t="str">
        <f>IF(ISBLANK(E_EnergyFlows!J168),"",E_EnergyFlows!J168)</f>
        <v/>
      </c>
      <c r="K301" s="861" t="str">
        <f>IF(ISBLANK(E_EnergyFlows!K168),"",E_EnergyFlows!K168)</f>
        <v/>
      </c>
      <c r="L301" s="861" t="str">
        <f>IF(ISBLANK(E_EnergyFlows!L168),"",E_EnergyFlows!L168)</f>
        <v/>
      </c>
      <c r="M301" s="861" t="str">
        <f>IF(ISBLANK(E_EnergyFlows!M168),"",E_EnergyFlows!M168)</f>
        <v/>
      </c>
      <c r="N301" s="8"/>
      <c r="O301" s="17"/>
      <c r="P301" s="150"/>
      <c r="Q301" s="150"/>
      <c r="R301" s="150"/>
      <c r="S301" s="150"/>
    </row>
    <row r="302" spans="1:19" x14ac:dyDescent="0.25">
      <c r="A302" s="150"/>
      <c r="B302" s="17"/>
      <c r="C302" s="113"/>
      <c r="D302" s="113"/>
      <c r="E302" s="1449" t="str">
        <f>E_EnergyFlows!E169</f>
        <v>Total heat exported to ETS installations</v>
      </c>
      <c r="F302" s="1449"/>
      <c r="G302" s="1449"/>
      <c r="H302" s="41" t="str">
        <f>E_EnergyFlows!H169</f>
        <v>TJ / year</v>
      </c>
      <c r="I302" s="1056" t="str">
        <f>E_EnergyFlows!I169</f>
        <v/>
      </c>
      <c r="J302" s="304" t="str">
        <f>E_EnergyFlows!J169</f>
        <v/>
      </c>
      <c r="K302" s="304" t="str">
        <f>E_EnergyFlows!K169</f>
        <v/>
      </c>
      <c r="L302" s="304" t="str">
        <f>E_EnergyFlows!L169</f>
        <v/>
      </c>
      <c r="M302" s="304" t="str">
        <f>E_EnergyFlows!M169</f>
        <v/>
      </c>
      <c r="N302" s="8"/>
      <c r="O302" s="17"/>
      <c r="P302" s="150"/>
      <c r="Q302" s="150"/>
      <c r="R302" s="150"/>
      <c r="S302" s="150"/>
    </row>
    <row r="303" spans="1:19" ht="5.0999999999999996" customHeight="1" x14ac:dyDescent="0.25">
      <c r="A303" s="150"/>
      <c r="B303" s="8"/>
      <c r="C303" s="8"/>
      <c r="D303" s="8"/>
      <c r="E303" s="8"/>
      <c r="F303" s="8"/>
      <c r="G303" s="8"/>
      <c r="H303" s="8"/>
      <c r="I303" s="8"/>
      <c r="J303" s="8"/>
      <c r="K303" s="8"/>
      <c r="L303" s="8"/>
      <c r="M303" s="8"/>
      <c r="N303" s="8"/>
      <c r="O303" s="17"/>
      <c r="P303" s="190"/>
      <c r="Q303" s="150"/>
      <c r="R303" s="150"/>
      <c r="S303" s="150"/>
    </row>
    <row r="304" spans="1:19" x14ac:dyDescent="0.25">
      <c r="A304" s="150"/>
      <c r="B304" s="8"/>
      <c r="C304" s="15"/>
      <c r="D304" s="15" t="str">
        <f>E_EnergyFlows!D173</f>
        <v>(j)</v>
      </c>
      <c r="E304" s="1447" t="str">
        <f>E_EnergyFlows!E173</f>
        <v>Sub-total: remaining total measurable heat, potentially belonging to heat benchmark sub-installations (=e-g-h-i):</v>
      </c>
      <c r="F304" s="1443"/>
      <c r="G304" s="1443"/>
      <c r="H304" s="1443"/>
      <c r="I304" s="1443"/>
      <c r="J304" s="1443"/>
      <c r="K304" s="1443"/>
      <c r="L304" s="1443"/>
      <c r="M304" s="1443"/>
      <c r="N304" s="1443"/>
      <c r="O304" s="17"/>
      <c r="P304" s="190"/>
      <c r="Q304" s="150"/>
      <c r="R304" s="150"/>
      <c r="S304" s="150"/>
    </row>
    <row r="305" spans="1:19" ht="5.0999999999999996" customHeight="1" x14ac:dyDescent="0.25">
      <c r="A305" s="150"/>
      <c r="B305" s="8"/>
      <c r="C305" s="8"/>
      <c r="D305" s="8"/>
      <c r="E305" s="8"/>
      <c r="F305" s="8"/>
      <c r="G305" s="8"/>
      <c r="H305" s="8"/>
      <c r="I305" s="8"/>
      <c r="J305" s="8"/>
      <c r="K305" s="8"/>
      <c r="L305" s="8"/>
      <c r="M305" s="8"/>
      <c r="N305" s="8"/>
      <c r="O305" s="17"/>
      <c r="P305" s="190"/>
      <c r="Q305" s="150"/>
      <c r="R305" s="150"/>
      <c r="S305" s="150"/>
    </row>
    <row r="306" spans="1:19" x14ac:dyDescent="0.25">
      <c r="A306" s="150"/>
      <c r="B306" s="17"/>
      <c r="C306" s="17"/>
      <c r="D306" s="17"/>
      <c r="E306" s="22"/>
      <c r="F306" s="78"/>
      <c r="G306" s="78"/>
      <c r="H306" s="23" t="str">
        <f>E_EnergyFlows!H175</f>
        <v>Unit</v>
      </c>
      <c r="I306" s="128">
        <f>E_EnergyFlows!I175</f>
        <v>2019</v>
      </c>
      <c r="J306" s="128">
        <f>E_EnergyFlows!J175</f>
        <v>2020</v>
      </c>
      <c r="K306" s="128">
        <f>E_EnergyFlows!K175</f>
        <v>2021</v>
      </c>
      <c r="L306" s="128">
        <f>E_EnergyFlows!L175</f>
        <v>2022</v>
      </c>
      <c r="M306" s="128">
        <f>E_EnergyFlows!M175</f>
        <v>2023</v>
      </c>
      <c r="N306" s="8"/>
      <c r="O306" s="17"/>
      <c r="P306" s="150"/>
      <c r="Q306" s="150"/>
      <c r="R306" s="150"/>
      <c r="S306" s="150"/>
    </row>
    <row r="307" spans="1:19" x14ac:dyDescent="0.25">
      <c r="A307" s="150"/>
      <c r="B307" s="17"/>
      <c r="C307" s="113"/>
      <c r="D307" s="113"/>
      <c r="E307" s="1449" t="str">
        <f>E_EnergyFlows!E176</f>
        <v>Sub-total:</v>
      </c>
      <c r="F307" s="1454"/>
      <c r="G307" s="1454"/>
      <c r="H307" s="217" t="str">
        <f>E_EnergyFlows!H176</f>
        <v>TJ / year</v>
      </c>
      <c r="I307" s="439" t="str">
        <f>E_EnergyFlows!I176</f>
        <v/>
      </c>
      <c r="J307" s="818" t="str">
        <f>E_EnergyFlows!J176</f>
        <v/>
      </c>
      <c r="K307" s="818" t="str">
        <f>E_EnergyFlows!K176</f>
        <v/>
      </c>
      <c r="L307" s="818" t="str">
        <f>E_EnergyFlows!L176</f>
        <v/>
      </c>
      <c r="M307" s="818" t="str">
        <f>E_EnergyFlows!M176</f>
        <v/>
      </c>
      <c r="N307" s="8"/>
      <c r="O307" s="17"/>
      <c r="P307" s="150"/>
      <c r="Q307" s="150"/>
      <c r="R307" s="150"/>
      <c r="S307" s="150"/>
    </row>
    <row r="308" spans="1:19" ht="5.0999999999999996" customHeight="1" x14ac:dyDescent="0.25">
      <c r="A308" s="150"/>
      <c r="B308" s="8"/>
      <c r="C308" s="8"/>
      <c r="D308" s="8"/>
      <c r="E308" s="8"/>
      <c r="F308" s="8"/>
      <c r="G308" s="8"/>
      <c r="H308" s="8"/>
      <c r="I308" s="8"/>
      <c r="J308" s="8"/>
      <c r="K308" s="8"/>
      <c r="L308" s="8"/>
      <c r="M308" s="8"/>
      <c r="N308" s="8"/>
      <c r="O308" s="17"/>
      <c r="P308" s="190"/>
      <c r="Q308" s="150"/>
      <c r="R308" s="150"/>
      <c r="S308" s="150"/>
    </row>
    <row r="309" spans="1:19" x14ac:dyDescent="0.25">
      <c r="A309" s="150"/>
      <c r="B309" s="17"/>
      <c r="C309" s="113"/>
      <c r="D309" s="113"/>
      <c r="E309" s="1458" t="str">
        <f>E_EnergyFlows!E180</f>
        <v>eligible by origin:</v>
      </c>
      <c r="F309" s="1487"/>
      <c r="G309" s="1487"/>
      <c r="H309" s="222" t="str">
        <f>E_EnergyFlows!H180</f>
        <v>TJ / year</v>
      </c>
      <c r="I309" s="436" t="str">
        <f>E_EnergyFlows!I180</f>
        <v/>
      </c>
      <c r="J309" s="840" t="str">
        <f>E_EnergyFlows!J180</f>
        <v/>
      </c>
      <c r="K309" s="840" t="str">
        <f>E_EnergyFlows!K180</f>
        <v/>
      </c>
      <c r="L309" s="840" t="str">
        <f>E_EnergyFlows!L180</f>
        <v/>
      </c>
      <c r="M309" s="840" t="str">
        <f>E_EnergyFlows!M180</f>
        <v/>
      </c>
      <c r="N309" s="8"/>
      <c r="O309" s="17"/>
      <c r="P309" s="150"/>
      <c r="Q309" s="150"/>
      <c r="R309" s="150"/>
      <c r="S309" s="150"/>
    </row>
    <row r="310" spans="1:19" x14ac:dyDescent="0.25">
      <c r="A310" s="150"/>
      <c r="B310" s="17"/>
      <c r="C310" s="113"/>
      <c r="D310" s="113"/>
      <c r="E310" s="1440" t="str">
        <f>E_EnergyFlows!E181</f>
        <v>non-eligible by origin:</v>
      </c>
      <c r="F310" s="1441"/>
      <c r="G310" s="1441"/>
      <c r="H310" s="227" t="str">
        <f>E_EnergyFlows!H181</f>
        <v>TJ / year</v>
      </c>
      <c r="I310" s="437" t="str">
        <f>E_EnergyFlows!I181</f>
        <v/>
      </c>
      <c r="J310" s="841" t="str">
        <f>E_EnergyFlows!J181</f>
        <v/>
      </c>
      <c r="K310" s="841" t="str">
        <f>E_EnergyFlows!K181</f>
        <v/>
      </c>
      <c r="L310" s="841" t="str">
        <f>E_EnergyFlows!L181</f>
        <v/>
      </c>
      <c r="M310" s="841" t="str">
        <f>E_EnergyFlows!M181</f>
        <v/>
      </c>
      <c r="N310" s="8"/>
      <c r="O310" s="17"/>
      <c r="P310" s="150"/>
      <c r="Q310" s="150"/>
      <c r="R310" s="150"/>
      <c r="S310" s="150"/>
    </row>
    <row r="311" spans="1:19" ht="5.0999999999999996" customHeight="1" x14ac:dyDescent="0.25">
      <c r="A311" s="150"/>
      <c r="B311" s="17"/>
      <c r="C311" s="17"/>
      <c r="D311" s="17"/>
      <c r="E311" s="17"/>
      <c r="F311" s="17"/>
      <c r="G311" s="17"/>
      <c r="H311" s="17"/>
      <c r="I311" s="17"/>
      <c r="J311" s="17"/>
      <c r="K311" s="17"/>
      <c r="L311" s="17"/>
      <c r="M311" s="17"/>
      <c r="N311" s="17"/>
      <c r="O311" s="17"/>
      <c r="P311" s="150"/>
      <c r="Q311" s="150"/>
      <c r="R311" s="150"/>
      <c r="S311" s="150"/>
    </row>
    <row r="312" spans="1:19" x14ac:dyDescent="0.25">
      <c r="A312" s="150"/>
      <c r="B312" s="8"/>
      <c r="C312" s="15"/>
      <c r="D312" s="15" t="str">
        <f>E_EnergyFlows!D183</f>
        <v>(k)</v>
      </c>
      <c r="E312" s="1447" t="str">
        <f>E_EnergyFlows!E183</f>
        <v>Eligibility ratio for the remaining heat calculated under (j):</v>
      </c>
      <c r="F312" s="1443"/>
      <c r="G312" s="1443"/>
      <c r="H312" s="1443"/>
      <c r="I312" s="1443"/>
      <c r="J312" s="1443"/>
      <c r="K312" s="1443"/>
      <c r="L312" s="1443"/>
      <c r="M312" s="1443"/>
      <c r="N312" s="1443"/>
      <c r="O312" s="17"/>
      <c r="P312" s="190"/>
      <c r="Q312" s="150"/>
      <c r="R312" s="150"/>
      <c r="S312" s="150"/>
    </row>
    <row r="313" spans="1:19" x14ac:dyDescent="0.25">
      <c r="A313" s="150"/>
      <c r="B313" s="17"/>
      <c r="C313" s="113"/>
      <c r="D313" s="113"/>
      <c r="E313" s="1485" t="str">
        <f>E_EnergyFlows!E184</f>
        <v>corrected eligibility ratio (=(j).ii / (j).i):</v>
      </c>
      <c r="F313" s="1485"/>
      <c r="G313" s="1485"/>
      <c r="H313" s="236" t="str">
        <f>E_EnergyFlows!H184</f>
        <v>%</v>
      </c>
      <c r="I313" s="446" t="str">
        <f>E_EnergyFlows!I184</f>
        <v/>
      </c>
      <c r="J313" s="110" t="str">
        <f>E_EnergyFlows!J184</f>
        <v/>
      </c>
      <c r="K313" s="110" t="str">
        <f>E_EnergyFlows!K184</f>
        <v/>
      </c>
      <c r="L313" s="110" t="str">
        <f>E_EnergyFlows!L184</f>
        <v/>
      </c>
      <c r="M313" s="110" t="str">
        <f>E_EnergyFlows!M184</f>
        <v/>
      </c>
      <c r="N313" s="8"/>
      <c r="O313" s="17"/>
      <c r="P313" s="150"/>
      <c r="Q313" s="150"/>
      <c r="R313" s="150"/>
      <c r="S313" s="150"/>
    </row>
    <row r="314" spans="1:19" ht="5.0999999999999996" customHeight="1" x14ac:dyDescent="0.25">
      <c r="A314" s="150"/>
      <c r="B314" s="8"/>
      <c r="C314" s="8"/>
      <c r="D314" s="8"/>
      <c r="E314" s="8"/>
      <c r="F314" s="8"/>
      <c r="G314" s="8"/>
      <c r="H314" s="8"/>
      <c r="I314" s="8"/>
      <c r="J314" s="8"/>
      <c r="K314" s="8"/>
      <c r="L314" s="8"/>
      <c r="M314" s="8"/>
      <c r="N314" s="8"/>
      <c r="O314" s="17"/>
      <c r="P314" s="190"/>
      <c r="Q314" s="150"/>
      <c r="R314" s="150"/>
      <c r="S314" s="150"/>
    </row>
    <row r="315" spans="1:19" x14ac:dyDescent="0.25">
      <c r="A315" s="150"/>
      <c r="B315" s="8"/>
      <c r="C315" s="15"/>
      <c r="D315" s="15" t="str">
        <f>E_EnergyFlows!D186</f>
        <v>(l)</v>
      </c>
      <c r="E315" s="1447" t="str">
        <f>E_EnergyFlows!E186</f>
        <v>Net amount measurable heat consumed in the installation and eligible under heat benchmark:</v>
      </c>
      <c r="F315" s="1443"/>
      <c r="G315" s="1443"/>
      <c r="H315" s="1443"/>
      <c r="I315" s="1443"/>
      <c r="J315" s="1443"/>
      <c r="K315" s="1443"/>
      <c r="L315" s="1443"/>
      <c r="M315" s="1443"/>
      <c r="N315" s="1443"/>
      <c r="O315" s="17"/>
      <c r="P315" s="190"/>
      <c r="Q315" s="150"/>
      <c r="R315" s="150"/>
      <c r="S315" s="150"/>
    </row>
    <row r="316" spans="1:19" x14ac:dyDescent="0.25">
      <c r="A316" s="150"/>
      <c r="B316" s="17"/>
      <c r="C316" s="17"/>
      <c r="D316" s="17"/>
      <c r="E316" s="1449" t="str">
        <f>E_EnergyFlows!E188</f>
        <v>Heat consumed within the installation</v>
      </c>
      <c r="F316" s="1454"/>
      <c r="G316" s="1454"/>
      <c r="H316" s="217" t="str">
        <f>E_EnergyFlows!H188</f>
        <v>TJ / year</v>
      </c>
      <c r="I316" s="439" t="str">
        <f>IF(ISBLANK(E_EnergyFlows!I188),"",E_EnergyFlows!I188)</f>
        <v/>
      </c>
      <c r="J316" s="163" t="str">
        <f>IF(ISBLANK(E_EnergyFlows!J188),"",E_EnergyFlows!J188)</f>
        <v/>
      </c>
      <c r="K316" s="163" t="str">
        <f>IF(ISBLANK(E_EnergyFlows!K188),"",E_EnergyFlows!K188)</f>
        <v/>
      </c>
      <c r="L316" s="163" t="str">
        <f>IF(ISBLANK(E_EnergyFlows!L188),"",E_EnergyFlows!L188)</f>
        <v/>
      </c>
      <c r="M316" s="163" t="str">
        <f>IF(ISBLANK(E_EnergyFlows!M188),"",E_EnergyFlows!M188)</f>
        <v/>
      </c>
      <c r="N316" s="8"/>
      <c r="O316" s="17"/>
      <c r="P316" s="150"/>
      <c r="Q316" s="150"/>
      <c r="R316" s="150"/>
      <c r="S316" s="150"/>
    </row>
    <row r="317" spans="1:19" ht="5.0999999999999996" customHeight="1" x14ac:dyDescent="0.25">
      <c r="A317" s="150"/>
      <c r="B317" s="8"/>
      <c r="C317" s="8"/>
      <c r="D317" s="8"/>
      <c r="E317" s="8"/>
      <c r="F317" s="8"/>
      <c r="G317" s="8"/>
      <c r="H317" s="8"/>
      <c r="I317" s="8"/>
      <c r="J317" s="8"/>
      <c r="K317" s="8"/>
      <c r="L317" s="8"/>
      <c r="M317" s="8"/>
      <c r="N317" s="8"/>
      <c r="O317" s="17"/>
      <c r="P317" s="190"/>
      <c r="Q317" s="150"/>
      <c r="R317" s="150"/>
      <c r="S317" s="150"/>
    </row>
    <row r="318" spans="1:19" x14ac:dyDescent="0.25">
      <c r="A318" s="150"/>
      <c r="B318" s="17"/>
      <c r="C318" s="15"/>
      <c r="D318" s="15" t="str">
        <f>E_EnergyFlows!D190</f>
        <v>(m)</v>
      </c>
      <c r="E318" s="1447" t="str">
        <f>E_EnergyFlows!E190</f>
        <v>Net amount of measurable heat exported for the purpose of district heating:</v>
      </c>
      <c r="F318" s="1443"/>
      <c r="G318" s="1443"/>
      <c r="H318" s="1443"/>
      <c r="I318" s="1443"/>
      <c r="J318" s="1443"/>
      <c r="K318" s="1443"/>
      <c r="L318" s="1443"/>
      <c r="M318" s="1443"/>
      <c r="N318" s="1443"/>
      <c r="O318" s="17"/>
      <c r="P318" s="150"/>
      <c r="Q318" s="150"/>
      <c r="R318" s="150"/>
      <c r="S318" s="150"/>
    </row>
    <row r="319" spans="1:19" x14ac:dyDescent="0.25">
      <c r="A319" s="150"/>
      <c r="B319" s="17"/>
      <c r="C319" s="17"/>
      <c r="D319" s="17"/>
      <c r="E319" s="1452" t="str">
        <f>E_EnergyFlows!E193</f>
        <v>Name of receiving entity or installation</v>
      </c>
      <c r="F319" s="1451"/>
      <c r="G319" s="1451"/>
      <c r="H319" s="23" t="str">
        <f>E_EnergyFlows!H193</f>
        <v>Unit</v>
      </c>
      <c r="I319" s="149">
        <f>E_EnergyFlows!I193</f>
        <v>2019</v>
      </c>
      <c r="J319" s="149">
        <f>E_EnergyFlows!J193</f>
        <v>2020</v>
      </c>
      <c r="K319" s="149">
        <f>E_EnergyFlows!K193</f>
        <v>2021</v>
      </c>
      <c r="L319" s="149">
        <f>E_EnergyFlows!L193</f>
        <v>2022</v>
      </c>
      <c r="M319" s="149">
        <f>E_EnergyFlows!M193</f>
        <v>2023</v>
      </c>
      <c r="N319" s="8"/>
      <c r="O319" s="17"/>
      <c r="P319" s="150"/>
      <c r="Q319" s="150"/>
      <c r="R319" s="150"/>
      <c r="S319" s="150"/>
    </row>
    <row r="320" spans="1:19" x14ac:dyDescent="0.25">
      <c r="A320" s="150"/>
      <c r="B320" s="17"/>
      <c r="C320" s="113"/>
      <c r="D320" s="113"/>
      <c r="E320" s="1717" t="str">
        <f>IF(ISBLANK(E_EnergyFlows!E194),"",E_EnergyFlows!E194)</f>
        <v/>
      </c>
      <c r="F320" s="1717"/>
      <c r="G320" s="1717"/>
      <c r="H320" s="225" t="str">
        <f>E_EnergyFlows!H194</f>
        <v>TJ / year</v>
      </c>
      <c r="I320" s="1055" t="str">
        <f>IF(ISBLANK(E_EnergyFlows!I194),"",E_EnergyFlows!I194)</f>
        <v/>
      </c>
      <c r="J320" s="1018" t="str">
        <f>IF(ISBLANK(E_EnergyFlows!J194),"",E_EnergyFlows!J194)</f>
        <v/>
      </c>
      <c r="K320" s="1018" t="str">
        <f>IF(ISBLANK(E_EnergyFlows!K194),"",E_EnergyFlows!K194)</f>
        <v/>
      </c>
      <c r="L320" s="1018" t="str">
        <f>IF(ISBLANK(E_EnergyFlows!L194),"",E_EnergyFlows!L194)</f>
        <v/>
      </c>
      <c r="M320" s="1018" t="str">
        <f>IF(ISBLANK(E_EnergyFlows!M194),"",E_EnergyFlows!M194)</f>
        <v/>
      </c>
      <c r="N320" s="8"/>
      <c r="O320" s="17"/>
      <c r="P320" s="150"/>
      <c r="Q320" s="150"/>
      <c r="R320" s="150"/>
      <c r="S320" s="150"/>
    </row>
    <row r="321" spans="1:19" x14ac:dyDescent="0.25">
      <c r="A321" s="150"/>
      <c r="B321" s="17"/>
      <c r="C321" s="113"/>
      <c r="D321" s="113"/>
      <c r="E321" s="1716" t="str">
        <f>IF(ISBLANK(E_EnergyFlows!E195),"",E_EnergyFlows!E195)</f>
        <v/>
      </c>
      <c r="F321" s="1716"/>
      <c r="G321" s="1716"/>
      <c r="H321" s="225" t="str">
        <f>E_EnergyFlows!H195</f>
        <v>TJ / year</v>
      </c>
      <c r="I321" s="226" t="str">
        <f>IF(ISBLANK(E_EnergyFlows!I195),"",E_EnergyFlows!I195)</f>
        <v/>
      </c>
      <c r="J321" s="859" t="str">
        <f>IF(ISBLANK(E_EnergyFlows!J195),"",E_EnergyFlows!J195)</f>
        <v/>
      </c>
      <c r="K321" s="859" t="str">
        <f>IF(ISBLANK(E_EnergyFlows!K195),"",E_EnergyFlows!K195)</f>
        <v/>
      </c>
      <c r="L321" s="859" t="str">
        <f>IF(ISBLANK(E_EnergyFlows!L195),"",E_EnergyFlows!L195)</f>
        <v/>
      </c>
      <c r="M321" s="859" t="str">
        <f>IF(ISBLANK(E_EnergyFlows!M195),"",E_EnergyFlows!M195)</f>
        <v/>
      </c>
      <c r="N321" s="8"/>
      <c r="O321" s="17"/>
      <c r="P321" s="150"/>
      <c r="Q321" s="150"/>
      <c r="R321" s="150"/>
      <c r="S321" s="150"/>
    </row>
    <row r="322" spans="1:19" x14ac:dyDescent="0.25">
      <c r="A322" s="150"/>
      <c r="B322" s="17"/>
      <c r="C322" s="113"/>
      <c r="D322" s="113"/>
      <c r="E322" s="1716" t="str">
        <f>IF(ISBLANK(E_EnergyFlows!E196),"",E_EnergyFlows!E196)</f>
        <v/>
      </c>
      <c r="F322" s="1716"/>
      <c r="G322" s="1716"/>
      <c r="H322" s="225" t="str">
        <f>E_EnergyFlows!H196</f>
        <v>TJ / year</v>
      </c>
      <c r="I322" s="226" t="str">
        <f>IF(ISBLANK(E_EnergyFlows!I196),"",E_EnergyFlows!I196)</f>
        <v/>
      </c>
      <c r="J322" s="859" t="str">
        <f>IF(ISBLANK(E_EnergyFlows!J196),"",E_EnergyFlows!J196)</f>
        <v/>
      </c>
      <c r="K322" s="859" t="str">
        <f>IF(ISBLANK(E_EnergyFlows!K196),"",E_EnergyFlows!K196)</f>
        <v/>
      </c>
      <c r="L322" s="859" t="str">
        <f>IF(ISBLANK(E_EnergyFlows!L196),"",E_EnergyFlows!L196)</f>
        <v/>
      </c>
      <c r="M322" s="859" t="str">
        <f>IF(ISBLANK(E_EnergyFlows!M196),"",E_EnergyFlows!M196)</f>
        <v/>
      </c>
      <c r="N322" s="8"/>
      <c r="O322" s="17"/>
      <c r="P322" s="150"/>
      <c r="Q322" s="150"/>
      <c r="R322" s="150"/>
      <c r="S322" s="150"/>
    </row>
    <row r="323" spans="1:19" x14ac:dyDescent="0.25">
      <c r="A323" s="150"/>
      <c r="B323" s="17"/>
      <c r="C323" s="113"/>
      <c r="D323" s="113"/>
      <c r="E323" s="1716" t="str">
        <f>IF(ISBLANK(E_EnergyFlows!E197),"",E_EnergyFlows!E197)</f>
        <v/>
      </c>
      <c r="F323" s="1716"/>
      <c r="G323" s="1716"/>
      <c r="H323" s="225" t="str">
        <f>E_EnergyFlows!H197</f>
        <v>TJ / year</v>
      </c>
      <c r="I323" s="226" t="str">
        <f>IF(ISBLANK(E_EnergyFlows!I197),"",E_EnergyFlows!I197)</f>
        <v/>
      </c>
      <c r="J323" s="859" t="str">
        <f>IF(ISBLANK(E_EnergyFlows!J197),"",E_EnergyFlows!J197)</f>
        <v/>
      </c>
      <c r="K323" s="859" t="str">
        <f>IF(ISBLANK(E_EnergyFlows!K197),"",E_EnergyFlows!K197)</f>
        <v/>
      </c>
      <c r="L323" s="859" t="str">
        <f>IF(ISBLANK(E_EnergyFlows!L197),"",E_EnergyFlows!L197)</f>
        <v/>
      </c>
      <c r="M323" s="859" t="str">
        <f>IF(ISBLANK(E_EnergyFlows!M197),"",E_EnergyFlows!M197)</f>
        <v/>
      </c>
      <c r="N323" s="8"/>
      <c r="O323" s="17"/>
      <c r="P323" s="150"/>
      <c r="Q323" s="150"/>
      <c r="R323" s="150"/>
      <c r="S323" s="150"/>
    </row>
    <row r="324" spans="1:19" x14ac:dyDescent="0.25">
      <c r="A324" s="150"/>
      <c r="B324" s="17"/>
      <c r="C324" s="113"/>
      <c r="D324" s="113"/>
      <c r="E324" s="1718" t="str">
        <f>IF(ISBLANK(E_EnergyFlows!E198),"",E_EnergyFlows!E198)</f>
        <v/>
      </c>
      <c r="F324" s="1718"/>
      <c r="G324" s="1718"/>
      <c r="H324" s="227" t="str">
        <f>E_EnergyFlows!H198</f>
        <v>TJ / year</v>
      </c>
      <c r="I324" s="437" t="str">
        <f>IF(ISBLANK(E_EnergyFlows!I198),"",E_EnergyFlows!I198)</f>
        <v/>
      </c>
      <c r="J324" s="861" t="str">
        <f>IF(ISBLANK(E_EnergyFlows!J198),"",E_EnergyFlows!J198)</f>
        <v/>
      </c>
      <c r="K324" s="861" t="str">
        <f>IF(ISBLANK(E_EnergyFlows!K198),"",E_EnergyFlows!K198)</f>
        <v/>
      </c>
      <c r="L324" s="861" t="str">
        <f>IF(ISBLANK(E_EnergyFlows!L198),"",E_EnergyFlows!L198)</f>
        <v/>
      </c>
      <c r="M324" s="861" t="str">
        <f>IF(ISBLANK(E_EnergyFlows!M198),"",E_EnergyFlows!M198)</f>
        <v/>
      </c>
      <c r="N324" s="8"/>
      <c r="O324" s="17"/>
      <c r="P324" s="150"/>
      <c r="Q324" s="150"/>
      <c r="R324" s="150"/>
      <c r="S324" s="150"/>
    </row>
    <row r="325" spans="1:19" x14ac:dyDescent="0.25">
      <c r="A325" s="150"/>
      <c r="B325" s="17"/>
      <c r="C325" s="113"/>
      <c r="D325" s="113"/>
      <c r="E325" s="1449" t="str">
        <f>E_EnergyFlows!E199</f>
        <v>Total heat exported to outside ETS:</v>
      </c>
      <c r="F325" s="1449"/>
      <c r="G325" s="1449"/>
      <c r="H325" s="41" t="str">
        <f>E_EnergyFlows!H199</f>
        <v>TJ / year</v>
      </c>
      <c r="I325" s="304" t="str">
        <f>E_EnergyFlows!I199</f>
        <v/>
      </c>
      <c r="J325" s="304" t="str">
        <f>E_EnergyFlows!J199</f>
        <v/>
      </c>
      <c r="K325" s="304" t="str">
        <f>E_EnergyFlows!K199</f>
        <v/>
      </c>
      <c r="L325" s="304" t="str">
        <f>E_EnergyFlows!L199</f>
        <v/>
      </c>
      <c r="M325" s="304" t="str">
        <f>E_EnergyFlows!M199</f>
        <v/>
      </c>
      <c r="N325" s="8"/>
      <c r="O325" s="17"/>
      <c r="P325" s="150"/>
      <c r="Q325" s="150"/>
      <c r="R325" s="150"/>
      <c r="S325" s="150"/>
    </row>
    <row r="326" spans="1:19" ht="5.0999999999999996" customHeight="1" x14ac:dyDescent="0.25">
      <c r="A326" s="150"/>
      <c r="B326" s="8"/>
      <c r="C326" s="8"/>
      <c r="D326" s="8"/>
      <c r="E326" s="8"/>
      <c r="F326" s="8"/>
      <c r="G326" s="8"/>
      <c r="H326" s="8"/>
      <c r="I326" s="8"/>
      <c r="J326" s="8"/>
      <c r="K326" s="8"/>
      <c r="L326" s="8"/>
      <c r="M326" s="8"/>
      <c r="N326" s="8"/>
      <c r="O326" s="17"/>
      <c r="P326" s="190"/>
      <c r="Q326" s="150"/>
      <c r="R326" s="150"/>
      <c r="S326" s="150"/>
    </row>
    <row r="327" spans="1:19" x14ac:dyDescent="0.25">
      <c r="A327" s="150"/>
      <c r="B327" s="17"/>
      <c r="C327" s="15"/>
      <c r="D327" s="15" t="str">
        <f>E_EnergyFlows!D201</f>
        <v>(n)</v>
      </c>
      <c r="E327" s="1447" t="str">
        <f>E_EnergyFlows!E201</f>
        <v>Heat losses (=j-l-m)</v>
      </c>
      <c r="F327" s="1443"/>
      <c r="G327" s="1443"/>
      <c r="H327" s="1443"/>
      <c r="I327" s="1443"/>
      <c r="J327" s="1443"/>
      <c r="K327" s="1443"/>
      <c r="L327" s="1443"/>
      <c r="M327" s="1443"/>
      <c r="N327" s="1443"/>
      <c r="O327" s="17"/>
      <c r="P327" s="150"/>
      <c r="Q327" s="150"/>
      <c r="R327" s="150"/>
      <c r="S327" s="150"/>
    </row>
    <row r="328" spans="1:19" x14ac:dyDescent="0.25">
      <c r="A328" s="150"/>
      <c r="B328" s="17"/>
      <c r="C328" s="17"/>
      <c r="D328" s="17"/>
      <c r="E328" s="22"/>
      <c r="F328" s="78"/>
      <c r="G328" s="78"/>
      <c r="H328" s="23" t="str">
        <f>E_EnergyFlows!H204</f>
        <v>Unit</v>
      </c>
      <c r="I328" s="128">
        <f>E_EnergyFlows!I204</f>
        <v>2019</v>
      </c>
      <c r="J328" s="128">
        <f>E_EnergyFlows!J204</f>
        <v>2020</v>
      </c>
      <c r="K328" s="128">
        <f>E_EnergyFlows!K204</f>
        <v>2021</v>
      </c>
      <c r="L328" s="128">
        <f>E_EnergyFlows!L204</f>
        <v>2022</v>
      </c>
      <c r="M328" s="128">
        <f>E_EnergyFlows!M204</f>
        <v>2023</v>
      </c>
      <c r="N328" s="8"/>
      <c r="O328" s="17"/>
      <c r="P328" s="150"/>
      <c r="Q328" s="150"/>
      <c r="R328" s="150"/>
      <c r="S328" s="150"/>
    </row>
    <row r="329" spans="1:19" x14ac:dyDescent="0.25">
      <c r="A329" s="150"/>
      <c r="B329" s="17"/>
      <c r="C329" s="17"/>
      <c r="D329" s="113"/>
      <c r="E329" s="1449" t="str">
        <f>E_EnergyFlows!E205</f>
        <v>Heat losses (calculated)</v>
      </c>
      <c r="F329" s="1454"/>
      <c r="G329" s="1454"/>
      <c r="H329" s="217" t="str">
        <f>E_EnergyFlows!H205</f>
        <v>TJ / year</v>
      </c>
      <c r="I329" s="439" t="str">
        <f>E_EnergyFlows!I205</f>
        <v/>
      </c>
      <c r="J329" s="818" t="str">
        <f>E_EnergyFlows!J205</f>
        <v/>
      </c>
      <c r="K329" s="818" t="str">
        <f>E_EnergyFlows!K205</f>
        <v/>
      </c>
      <c r="L329" s="818" t="str">
        <f>E_EnergyFlows!L205</f>
        <v/>
      </c>
      <c r="M329" s="818" t="str">
        <f>E_EnergyFlows!M205</f>
        <v/>
      </c>
      <c r="N329" s="8"/>
      <c r="O329" s="17"/>
      <c r="P329" s="150"/>
      <c r="Q329" s="150"/>
      <c r="R329" s="150"/>
      <c r="S329" s="150"/>
    </row>
    <row r="330" spans="1:19" x14ac:dyDescent="0.25">
      <c r="A330" s="150"/>
      <c r="B330" s="17"/>
      <c r="C330" s="17"/>
      <c r="D330" s="113"/>
      <c r="E330" s="1449" t="str">
        <f>E_EnergyFlows!E206</f>
        <v>Heat losses (fraction of heat available = e)</v>
      </c>
      <c r="F330" s="1454"/>
      <c r="G330" s="1454"/>
      <c r="H330" s="217" t="str">
        <f>E_EnergyFlows!H206</f>
        <v>%</v>
      </c>
      <c r="I330" s="439" t="str">
        <f>E_EnergyFlows!I206</f>
        <v/>
      </c>
      <c r="J330" s="818" t="str">
        <f>E_EnergyFlows!J206</f>
        <v/>
      </c>
      <c r="K330" s="818" t="str">
        <f>E_EnergyFlows!K206</f>
        <v/>
      </c>
      <c r="L330" s="818" t="str">
        <f>E_EnergyFlows!L206</f>
        <v/>
      </c>
      <c r="M330" s="818" t="str">
        <f>E_EnergyFlows!M206</f>
        <v/>
      </c>
      <c r="N330" s="8"/>
      <c r="O330" s="17"/>
      <c r="P330" s="150"/>
      <c r="Q330" s="150"/>
      <c r="R330" s="150"/>
      <c r="S330" s="150"/>
    </row>
    <row r="331" spans="1:19" ht="5.0999999999999996" customHeight="1" x14ac:dyDescent="0.25">
      <c r="A331" s="150"/>
      <c r="B331" s="17"/>
      <c r="C331" s="17"/>
      <c r="D331" s="17"/>
      <c r="E331" s="17"/>
      <c r="F331" s="17"/>
      <c r="G331" s="17"/>
      <c r="H331" s="17"/>
      <c r="I331" s="17"/>
      <c r="J331" s="17"/>
      <c r="K331" s="17"/>
      <c r="L331" s="17"/>
      <c r="M331" s="17"/>
      <c r="N331" s="17"/>
      <c r="O331" s="17"/>
      <c r="P331" s="150"/>
      <c r="Q331" s="150"/>
      <c r="R331" s="150"/>
      <c r="S331" s="150"/>
    </row>
    <row r="332" spans="1:19" x14ac:dyDescent="0.25">
      <c r="A332" s="150"/>
      <c r="B332" s="8"/>
      <c r="C332" s="15"/>
      <c r="D332" s="15" t="str">
        <f>E_EnergyFlows!D208</f>
        <v>(o)</v>
      </c>
      <c r="E332" s="1452" t="str">
        <f>E_EnergyFlows!E208</f>
        <v>Total amount of heat potentially part of the heat benchmark or district heating sub-installations (=l+m):</v>
      </c>
      <c r="F332" s="1451"/>
      <c r="G332" s="1451"/>
      <c r="H332" s="1451"/>
      <c r="I332" s="1451"/>
      <c r="J332" s="1451"/>
      <c r="K332" s="1451"/>
      <c r="L332" s="1451"/>
      <c r="M332" s="1451"/>
      <c r="N332" s="1443"/>
      <c r="O332" s="17"/>
      <c r="P332" s="190"/>
      <c r="Q332" s="150"/>
      <c r="R332" s="150"/>
      <c r="S332" s="150"/>
    </row>
    <row r="333" spans="1:19" x14ac:dyDescent="0.25">
      <c r="A333" s="150"/>
      <c r="B333" s="17"/>
      <c r="C333" s="17"/>
      <c r="D333" s="17"/>
      <c r="E333" s="1449" t="str">
        <f>E_EnergyFlows!E209</f>
        <v>Total heat benchmark sub-installations:</v>
      </c>
      <c r="F333" s="1454"/>
      <c r="G333" s="1454"/>
      <c r="H333" s="217" t="str">
        <f>E_EnergyFlows!H209</f>
        <v>TJ / year</v>
      </c>
      <c r="I333" s="439" t="str">
        <f>E_EnergyFlows!I209</f>
        <v/>
      </c>
      <c r="J333" s="818" t="str">
        <f>E_EnergyFlows!J209</f>
        <v/>
      </c>
      <c r="K333" s="818" t="str">
        <f>E_EnergyFlows!K209</f>
        <v/>
      </c>
      <c r="L333" s="818" t="str">
        <f>E_EnergyFlows!L209</f>
        <v/>
      </c>
      <c r="M333" s="818" t="str">
        <f>E_EnergyFlows!M209</f>
        <v/>
      </c>
      <c r="N333" s="8"/>
      <c r="O333" s="17"/>
      <c r="P333" s="150"/>
      <c r="Q333" s="150"/>
      <c r="R333" s="150"/>
      <c r="S333" s="150"/>
    </row>
    <row r="334" spans="1:19" ht="5.0999999999999996" customHeight="1" x14ac:dyDescent="0.25">
      <c r="A334" s="150"/>
      <c r="B334" s="8"/>
      <c r="C334" s="8"/>
      <c r="D334" s="8"/>
      <c r="E334" s="8"/>
      <c r="F334" s="8"/>
      <c r="G334" s="8"/>
      <c r="H334" s="8"/>
      <c r="I334" s="8"/>
      <c r="J334" s="8"/>
      <c r="K334" s="8"/>
      <c r="L334" s="8"/>
      <c r="M334" s="8"/>
      <c r="N334" s="8"/>
      <c r="O334" s="17"/>
      <c r="P334" s="190"/>
      <c r="Q334" s="150"/>
      <c r="R334" s="150"/>
      <c r="S334" s="150"/>
    </row>
    <row r="335" spans="1:19" x14ac:dyDescent="0.25">
      <c r="A335" s="150"/>
      <c r="B335" s="8"/>
      <c r="C335" s="15"/>
      <c r="D335" s="15" t="str">
        <f>E_EnergyFlows!D211</f>
        <v>(p)</v>
      </c>
      <c r="E335" s="1447" t="str">
        <f>E_EnergyFlows!E211</f>
        <v>Final result: Amount of heat attributable to heat benchmark or district heating sub-installations</v>
      </c>
      <c r="F335" s="1443"/>
      <c r="G335" s="1443"/>
      <c r="H335" s="1443"/>
      <c r="I335" s="1443"/>
      <c r="J335" s="1443"/>
      <c r="K335" s="1443"/>
      <c r="L335" s="1443"/>
      <c r="M335" s="1443"/>
      <c r="N335" s="1443"/>
      <c r="O335" s="17"/>
      <c r="P335" s="190"/>
      <c r="Q335" s="150"/>
      <c r="R335" s="150"/>
      <c r="S335" s="150"/>
    </row>
    <row r="336" spans="1:19" x14ac:dyDescent="0.25">
      <c r="A336" s="150"/>
      <c r="B336" s="17"/>
      <c r="C336" s="17"/>
      <c r="D336" s="17"/>
      <c r="E336" s="22"/>
      <c r="F336" s="78"/>
      <c r="G336" s="78"/>
      <c r="H336" s="23" t="str">
        <f>E_EnergyFlows!H214</f>
        <v>Unit</v>
      </c>
      <c r="I336" s="128">
        <f>E_EnergyFlows!I214</f>
        <v>2019</v>
      </c>
      <c r="J336" s="128">
        <f>E_EnergyFlows!J214</f>
        <v>2020</v>
      </c>
      <c r="K336" s="128">
        <f>E_EnergyFlows!K214</f>
        <v>2021</v>
      </c>
      <c r="L336" s="128">
        <f>E_EnergyFlows!L214</f>
        <v>2022</v>
      </c>
      <c r="M336" s="128">
        <f>E_EnergyFlows!M214</f>
        <v>2023</v>
      </c>
      <c r="N336" s="8"/>
      <c r="O336" s="17"/>
      <c r="P336" s="150"/>
      <c r="Q336" s="150"/>
      <c r="R336" s="150"/>
      <c r="S336" s="150"/>
    </row>
    <row r="337" spans="1:20" ht="25.5" customHeight="1" x14ac:dyDescent="0.25">
      <c r="A337" s="150"/>
      <c r="B337" s="17"/>
      <c r="C337" s="17"/>
      <c r="D337" s="17"/>
      <c r="E337" s="1412" t="str">
        <f>E_EnergyFlows!E215</f>
        <v>Heat eligible for heat benchmark sub-installations</v>
      </c>
      <c r="F337" s="1509"/>
      <c r="G337" s="1509"/>
      <c r="H337" s="30" t="str">
        <f>E_EnergyFlows!H215</f>
        <v>TJ / year</v>
      </c>
      <c r="I337" s="110" t="str">
        <f>E_EnergyFlows!I215</f>
        <v/>
      </c>
      <c r="J337" s="110" t="str">
        <f>E_EnergyFlows!J215</f>
        <v/>
      </c>
      <c r="K337" s="110" t="str">
        <f>E_EnergyFlows!K215</f>
        <v/>
      </c>
      <c r="L337" s="110" t="str">
        <f>E_EnergyFlows!L215</f>
        <v/>
      </c>
      <c r="M337" s="110" t="str">
        <f>E_EnergyFlows!M215</f>
        <v/>
      </c>
      <c r="N337" s="8"/>
      <c r="O337" s="17"/>
      <c r="P337" s="150"/>
      <c r="Q337" s="150"/>
      <c r="R337" s="150"/>
      <c r="S337" s="150"/>
    </row>
    <row r="338" spans="1:20" ht="5.0999999999999996" customHeight="1" x14ac:dyDescent="0.25">
      <c r="B338" s="17"/>
      <c r="C338" s="17"/>
      <c r="D338" s="17"/>
      <c r="E338" s="17"/>
      <c r="F338" s="17"/>
      <c r="G338" s="17"/>
      <c r="H338" s="17"/>
      <c r="I338" s="17"/>
      <c r="J338" s="17"/>
      <c r="K338" s="17"/>
      <c r="L338" s="17"/>
      <c r="M338" s="17"/>
      <c r="N338" s="17"/>
      <c r="O338" s="17"/>
    </row>
    <row r="339" spans="1:20" s="220" customFormat="1" ht="13.8" x14ac:dyDescent="0.25">
      <c r="A339" s="145"/>
      <c r="B339" s="8"/>
      <c r="C339" s="19"/>
      <c r="D339" s="1462" t="str">
        <f>Translations!$B$1200</f>
        <v>Summary of heat and district heating sub-installations</v>
      </c>
      <c r="E339" s="1443"/>
      <c r="F339" s="1443"/>
      <c r="G339" s="1443"/>
      <c r="H339" s="1443"/>
      <c r="I339" s="1443"/>
      <c r="J339" s="1443"/>
      <c r="K339" s="1443"/>
      <c r="L339" s="1443"/>
      <c r="M339" s="1443"/>
      <c r="N339" s="1443"/>
      <c r="O339" s="17"/>
      <c r="P339" s="145"/>
      <c r="Q339" s="145"/>
      <c r="R339" s="145"/>
      <c r="S339" s="145"/>
      <c r="T339" s="145"/>
    </row>
    <row r="340" spans="1:20" s="220" customFormat="1" ht="13.8" thickBot="1" x14ac:dyDescent="0.3">
      <c r="A340" s="145"/>
      <c r="B340" s="17"/>
      <c r="C340" s="17"/>
      <c r="D340" s="17"/>
      <c r="E340" s="16"/>
      <c r="F340" s="17"/>
      <c r="G340" s="17"/>
      <c r="H340" s="24" t="str">
        <f>Translations!$B$1196</f>
        <v>Unit</v>
      </c>
      <c r="I340" s="128">
        <f>I$1397</f>
        <v>2019</v>
      </c>
      <c r="J340" s="128">
        <f>J$1397</f>
        <v>2020</v>
      </c>
      <c r="K340" s="128">
        <f>K$1397</f>
        <v>2021</v>
      </c>
      <c r="L340" s="128">
        <f>L$1397</f>
        <v>2022</v>
      </c>
      <c r="M340" s="128">
        <f>M$1397</f>
        <v>2023</v>
      </c>
      <c r="N340" s="17"/>
      <c r="O340" s="17"/>
      <c r="P340" s="145"/>
      <c r="Q340" s="145"/>
      <c r="R340" s="145"/>
      <c r="S340" s="145"/>
      <c r="T340" s="145"/>
    </row>
    <row r="341" spans="1:20" s="220" customFormat="1" ht="12.75" customHeight="1" x14ac:dyDescent="0.25">
      <c r="A341" s="145"/>
      <c r="B341" s="17"/>
      <c r="C341" s="17"/>
      <c r="D341" s="113"/>
      <c r="E341" s="360" t="str">
        <f>E_EnergyFlows!E387</f>
        <v>Heat benchmark sub-installation, CL</v>
      </c>
      <c r="F341" s="361"/>
      <c r="G341" s="361"/>
      <c r="H341" s="362" t="str">
        <f>EUconst_TJpa</f>
        <v>TJ / year</v>
      </c>
      <c r="I341" s="447" t="str">
        <f>E_EnergyFlows!I387</f>
        <v/>
      </c>
      <c r="J341" s="447" t="str">
        <f>E_EnergyFlows!J387</f>
        <v/>
      </c>
      <c r="K341" s="447" t="str">
        <f>E_EnergyFlows!K387</f>
        <v/>
      </c>
      <c r="L341" s="447" t="str">
        <f>E_EnergyFlows!L387</f>
        <v/>
      </c>
      <c r="M341" s="448" t="str">
        <f>E_EnergyFlows!M387</f>
        <v/>
      </c>
      <c r="N341" s="17"/>
      <c r="O341" s="17"/>
      <c r="P341" s="145"/>
      <c r="Q341" s="145"/>
      <c r="R341" s="145"/>
      <c r="S341" s="145"/>
      <c r="T341" s="145"/>
    </row>
    <row r="342" spans="1:20" s="220" customFormat="1" ht="13.5" customHeight="1" x14ac:dyDescent="0.25">
      <c r="A342" s="145"/>
      <c r="B342" s="17"/>
      <c r="C342" s="17"/>
      <c r="D342" s="113"/>
      <c r="E342" s="357" t="str">
        <f>E_EnergyFlows!E388</f>
        <v>Heat benchmark sub-installation, non-CL</v>
      </c>
      <c r="F342" s="358"/>
      <c r="G342" s="358"/>
      <c r="H342" s="359" t="str">
        <f>EUconst_TJpa</f>
        <v>TJ / year</v>
      </c>
      <c r="I342" s="439" t="str">
        <f>E_EnergyFlows!I388</f>
        <v/>
      </c>
      <c r="J342" s="439" t="str">
        <f>E_EnergyFlows!J388</f>
        <v/>
      </c>
      <c r="K342" s="439" t="str">
        <f>E_EnergyFlows!K388</f>
        <v/>
      </c>
      <c r="L342" s="439" t="str">
        <f>E_EnergyFlows!L388</f>
        <v/>
      </c>
      <c r="M342" s="449" t="str">
        <f>E_EnergyFlows!M388</f>
        <v/>
      </c>
      <c r="N342" s="17"/>
      <c r="O342" s="17"/>
      <c r="P342" s="145"/>
      <c r="Q342" s="145"/>
      <c r="R342" s="145"/>
      <c r="S342" s="145"/>
      <c r="T342" s="145"/>
    </row>
    <row r="343" spans="1:20" ht="12.75" customHeight="1" thickBot="1" x14ac:dyDescent="0.3">
      <c r="B343" s="17"/>
      <c r="C343" s="17"/>
      <c r="D343" s="17"/>
      <c r="E343" s="363" t="str">
        <f>E_EnergyFlows!E389</f>
        <v>District heating sub-installation</v>
      </c>
      <c r="F343" s="364"/>
      <c r="G343" s="364"/>
      <c r="H343" s="365" t="str">
        <f>EUconst_TJpa</f>
        <v>TJ / year</v>
      </c>
      <c r="I343" s="450" t="str">
        <f>E_EnergyFlows!I389</f>
        <v/>
      </c>
      <c r="J343" s="450" t="str">
        <f>E_EnergyFlows!J389</f>
        <v/>
      </c>
      <c r="K343" s="450" t="str">
        <f>E_EnergyFlows!K389</f>
        <v/>
      </c>
      <c r="L343" s="450" t="str">
        <f>E_EnergyFlows!L389</f>
        <v/>
      </c>
      <c r="M343" s="451" t="str">
        <f>E_EnergyFlows!M389</f>
        <v/>
      </c>
      <c r="N343" s="17"/>
      <c r="O343" s="17"/>
    </row>
    <row r="344" spans="1:20" ht="12.75" customHeight="1" x14ac:dyDescent="0.25">
      <c r="B344" s="17"/>
      <c r="C344" s="17"/>
      <c r="D344" s="17"/>
      <c r="E344" s="17"/>
      <c r="F344" s="17"/>
      <c r="G344" s="17"/>
      <c r="H344" s="17"/>
      <c r="I344" s="17"/>
      <c r="J344" s="17"/>
      <c r="K344" s="17"/>
      <c r="L344" s="17"/>
      <c r="M344" s="17"/>
      <c r="N344" s="17"/>
      <c r="O344" s="17"/>
    </row>
    <row r="345" spans="1:20" ht="15" customHeight="1" x14ac:dyDescent="0.25">
      <c r="A345" s="150"/>
      <c r="B345" s="8"/>
      <c r="C345" s="19">
        <v>7</v>
      </c>
      <c r="D345" s="1234" t="str">
        <f>E_EnergyFlows!D237</f>
        <v>Complete balance of waste gases at the installation</v>
      </c>
      <c r="E345" s="1176"/>
      <c r="F345" s="1176"/>
      <c r="G345" s="1176"/>
      <c r="H345" s="1176"/>
      <c r="I345" s="1176"/>
      <c r="J345" s="1176"/>
      <c r="K345" s="1176"/>
      <c r="L345" s="1176"/>
      <c r="M345" s="1176"/>
      <c r="N345" s="1176"/>
      <c r="O345" s="17"/>
      <c r="P345" s="190"/>
      <c r="Q345" s="150"/>
      <c r="R345" s="150"/>
      <c r="S345" s="150"/>
    </row>
    <row r="346" spans="1:20" ht="5.0999999999999996" customHeight="1" x14ac:dyDescent="0.25">
      <c r="A346" s="150"/>
      <c r="B346" s="8"/>
      <c r="C346" s="8"/>
      <c r="D346" s="8"/>
      <c r="E346" s="8"/>
      <c r="F346" s="8"/>
      <c r="G346" s="8"/>
      <c r="H346" s="8"/>
      <c r="I346" s="8"/>
      <c r="J346" s="8"/>
      <c r="K346" s="8"/>
      <c r="L346" s="8"/>
      <c r="M346" s="8"/>
      <c r="N346" s="8"/>
      <c r="O346" s="17"/>
      <c r="P346" s="190"/>
      <c r="Q346" s="150"/>
      <c r="R346" s="150"/>
      <c r="S346" s="150"/>
    </row>
    <row r="347" spans="1:20" x14ac:dyDescent="0.25">
      <c r="A347" s="150"/>
      <c r="B347" s="8"/>
      <c r="C347" s="15"/>
      <c r="D347" s="15" t="str">
        <f>E_EnergyFlows!D245</f>
        <v>(a)</v>
      </c>
      <c r="E347" s="1447" t="str">
        <f>E_EnergyFlows!E245</f>
        <v>Waste gases produced within the system boundaries of a product benchmark sub-installation</v>
      </c>
      <c r="F347" s="1443"/>
      <c r="G347" s="1443"/>
      <c r="H347" s="1443"/>
      <c r="I347" s="1443"/>
      <c r="J347" s="1443"/>
      <c r="K347" s="1443"/>
      <c r="L347" s="1443"/>
      <c r="M347" s="1443"/>
      <c r="N347" s="1443"/>
      <c r="O347" s="17"/>
      <c r="P347" s="190"/>
      <c r="Q347" s="190"/>
      <c r="R347" s="190"/>
      <c r="S347" s="150"/>
    </row>
    <row r="348" spans="1:20" x14ac:dyDescent="0.25">
      <c r="A348" s="150"/>
      <c r="B348" s="17"/>
      <c r="C348" s="17"/>
      <c r="D348" s="17"/>
      <c r="E348" s="1452" t="str">
        <f>E_EnergyFlows!E247</f>
        <v>Sub-installation</v>
      </c>
      <c r="F348" s="1451"/>
      <c r="G348" s="1451"/>
      <c r="H348" s="23" t="str">
        <f>E_EnergyFlows!H247</f>
        <v>Unit</v>
      </c>
      <c r="I348" s="128">
        <f>E_EnergyFlows!I247</f>
        <v>2019</v>
      </c>
      <c r="J348" s="128">
        <f>E_EnergyFlows!J247</f>
        <v>2020</v>
      </c>
      <c r="K348" s="128">
        <f>E_EnergyFlows!K247</f>
        <v>2021</v>
      </c>
      <c r="L348" s="128">
        <f>E_EnergyFlows!L247</f>
        <v>2022</v>
      </c>
      <c r="M348" s="144">
        <f>E_EnergyFlows!M247</f>
        <v>2023</v>
      </c>
      <c r="N348" s="216"/>
      <c r="O348" s="17"/>
      <c r="P348" s="190"/>
      <c r="Q348" s="190"/>
      <c r="R348" s="190"/>
      <c r="S348" s="150"/>
    </row>
    <row r="349" spans="1:20" x14ac:dyDescent="0.25">
      <c r="A349" s="150"/>
      <c r="B349" s="17"/>
      <c r="C349" s="17"/>
      <c r="D349" s="113"/>
      <c r="E349" s="1506" t="str">
        <f>E_EnergyFlows!E248</f>
        <v/>
      </c>
      <c r="F349" s="1506"/>
      <c r="G349" s="1506"/>
      <c r="H349" s="856" t="str">
        <f>E_EnergyFlows!H248</f>
        <v>TJ / year</v>
      </c>
      <c r="I349" s="857" t="str">
        <f>E_EnergyFlows!I248</f>
        <v/>
      </c>
      <c r="J349" s="857" t="str">
        <f>E_EnergyFlows!J248</f>
        <v/>
      </c>
      <c r="K349" s="857" t="str">
        <f>E_EnergyFlows!K248</f>
        <v/>
      </c>
      <c r="L349" s="857" t="str">
        <f>E_EnergyFlows!L248</f>
        <v/>
      </c>
      <c r="M349" s="857" t="str">
        <f>E_EnergyFlows!M248</f>
        <v/>
      </c>
      <c r="N349" s="8"/>
      <c r="O349" s="17"/>
      <c r="P349" s="190"/>
      <c r="Q349" s="190"/>
      <c r="R349" s="190"/>
      <c r="S349" s="150"/>
    </row>
    <row r="350" spans="1:20" x14ac:dyDescent="0.25">
      <c r="A350" s="150"/>
      <c r="B350" s="17"/>
      <c r="C350" s="17"/>
      <c r="D350" s="113"/>
      <c r="E350" s="1446" t="str">
        <f>E_EnergyFlows!E249</f>
        <v/>
      </c>
      <c r="F350" s="1446"/>
      <c r="G350" s="1446"/>
      <c r="H350" s="858" t="str">
        <f>E_EnergyFlows!H249</f>
        <v>TJ / year</v>
      </c>
      <c r="I350" s="859" t="str">
        <f>E_EnergyFlows!I249</f>
        <v/>
      </c>
      <c r="J350" s="859" t="str">
        <f>E_EnergyFlows!J249</f>
        <v/>
      </c>
      <c r="K350" s="859" t="str">
        <f>E_EnergyFlows!K249</f>
        <v/>
      </c>
      <c r="L350" s="859" t="str">
        <f>E_EnergyFlows!L249</f>
        <v/>
      </c>
      <c r="M350" s="859" t="str">
        <f>E_EnergyFlows!M249</f>
        <v/>
      </c>
      <c r="N350" s="8"/>
      <c r="O350" s="17"/>
      <c r="P350" s="190"/>
      <c r="Q350" s="190"/>
      <c r="R350" s="190"/>
      <c r="S350" s="150"/>
    </row>
    <row r="351" spans="1:20" x14ac:dyDescent="0.25">
      <c r="A351" s="150"/>
      <c r="B351" s="17"/>
      <c r="C351" s="17"/>
      <c r="D351" s="113"/>
      <c r="E351" s="1446" t="str">
        <f>E_EnergyFlows!E250</f>
        <v/>
      </c>
      <c r="F351" s="1446"/>
      <c r="G351" s="1446"/>
      <c r="H351" s="858" t="str">
        <f>E_EnergyFlows!H250</f>
        <v>TJ / year</v>
      </c>
      <c r="I351" s="859" t="str">
        <f>E_EnergyFlows!I250</f>
        <v/>
      </c>
      <c r="J351" s="859" t="str">
        <f>E_EnergyFlows!J250</f>
        <v/>
      </c>
      <c r="K351" s="859" t="str">
        <f>E_EnergyFlows!K250</f>
        <v/>
      </c>
      <c r="L351" s="859" t="str">
        <f>E_EnergyFlows!L250</f>
        <v/>
      </c>
      <c r="M351" s="859" t="str">
        <f>E_EnergyFlows!M250</f>
        <v/>
      </c>
      <c r="N351" s="8"/>
      <c r="O351" s="17"/>
      <c r="P351" s="190"/>
      <c r="Q351" s="190"/>
      <c r="R351" s="190"/>
      <c r="S351" s="150"/>
    </row>
    <row r="352" spans="1:20" x14ac:dyDescent="0.25">
      <c r="A352" s="150"/>
      <c r="B352" s="17"/>
      <c r="C352" s="17"/>
      <c r="D352" s="113"/>
      <c r="E352" s="1446" t="str">
        <f>E_EnergyFlows!E251</f>
        <v/>
      </c>
      <c r="F352" s="1446"/>
      <c r="G352" s="1446"/>
      <c r="H352" s="858" t="str">
        <f>E_EnergyFlows!H251</f>
        <v>TJ / year</v>
      </c>
      <c r="I352" s="859" t="str">
        <f>E_EnergyFlows!I251</f>
        <v/>
      </c>
      <c r="J352" s="859" t="str">
        <f>E_EnergyFlows!J251</f>
        <v/>
      </c>
      <c r="K352" s="859" t="str">
        <f>E_EnergyFlows!K251</f>
        <v/>
      </c>
      <c r="L352" s="859" t="str">
        <f>E_EnergyFlows!L251</f>
        <v/>
      </c>
      <c r="M352" s="859" t="str">
        <f>E_EnergyFlows!M251</f>
        <v/>
      </c>
      <c r="N352" s="8"/>
      <c r="O352" s="17"/>
      <c r="P352" s="190"/>
      <c r="Q352" s="190"/>
      <c r="R352" s="190"/>
      <c r="S352" s="150"/>
    </row>
    <row r="353" spans="1:19" x14ac:dyDescent="0.25">
      <c r="A353" s="150"/>
      <c r="B353" s="17"/>
      <c r="C353" s="17"/>
      <c r="D353" s="113"/>
      <c r="E353" s="1446" t="str">
        <f>E_EnergyFlows!E252</f>
        <v/>
      </c>
      <c r="F353" s="1446"/>
      <c r="G353" s="1446"/>
      <c r="H353" s="858" t="str">
        <f>E_EnergyFlows!H252</f>
        <v>TJ / year</v>
      </c>
      <c r="I353" s="859" t="str">
        <f>E_EnergyFlows!I252</f>
        <v/>
      </c>
      <c r="J353" s="859" t="str">
        <f>E_EnergyFlows!J252</f>
        <v/>
      </c>
      <c r="K353" s="859" t="str">
        <f>E_EnergyFlows!K252</f>
        <v/>
      </c>
      <c r="L353" s="859" t="str">
        <f>E_EnergyFlows!L252</f>
        <v/>
      </c>
      <c r="M353" s="859" t="str">
        <f>E_EnergyFlows!M252</f>
        <v/>
      </c>
      <c r="N353" s="8"/>
      <c r="O353" s="17"/>
      <c r="P353" s="190"/>
      <c r="Q353" s="190"/>
      <c r="R353" s="190"/>
      <c r="S353" s="150"/>
    </row>
    <row r="354" spans="1:19" x14ac:dyDescent="0.25">
      <c r="A354" s="150"/>
      <c r="B354" s="17"/>
      <c r="C354" s="17"/>
      <c r="D354" s="113"/>
      <c r="E354" s="1446" t="str">
        <f>E_EnergyFlows!E253</f>
        <v/>
      </c>
      <c r="F354" s="1446"/>
      <c r="G354" s="1446"/>
      <c r="H354" s="858" t="str">
        <f>E_EnergyFlows!H253</f>
        <v>TJ / year</v>
      </c>
      <c r="I354" s="859" t="str">
        <f>E_EnergyFlows!I253</f>
        <v/>
      </c>
      <c r="J354" s="859" t="str">
        <f>E_EnergyFlows!J253</f>
        <v/>
      </c>
      <c r="K354" s="859" t="str">
        <f>E_EnergyFlows!K253</f>
        <v/>
      </c>
      <c r="L354" s="859" t="str">
        <f>E_EnergyFlows!L253</f>
        <v/>
      </c>
      <c r="M354" s="859" t="str">
        <f>E_EnergyFlows!M253</f>
        <v/>
      </c>
      <c r="N354" s="8"/>
      <c r="O354" s="17"/>
      <c r="P354" s="190"/>
      <c r="Q354" s="190"/>
      <c r="R354" s="190"/>
      <c r="S354" s="150"/>
    </row>
    <row r="355" spans="1:19" x14ac:dyDescent="0.25">
      <c r="A355" s="150"/>
      <c r="B355" s="17"/>
      <c r="C355" s="17"/>
      <c r="D355" s="113"/>
      <c r="E355" s="1446" t="str">
        <f>E_EnergyFlows!E254</f>
        <v/>
      </c>
      <c r="F355" s="1446"/>
      <c r="G355" s="1446"/>
      <c r="H355" s="858" t="str">
        <f>E_EnergyFlows!H254</f>
        <v>TJ / year</v>
      </c>
      <c r="I355" s="859" t="str">
        <f>E_EnergyFlows!I254</f>
        <v/>
      </c>
      <c r="J355" s="859" t="str">
        <f>E_EnergyFlows!J254</f>
        <v/>
      </c>
      <c r="K355" s="859" t="str">
        <f>E_EnergyFlows!K254</f>
        <v/>
      </c>
      <c r="L355" s="859" t="str">
        <f>E_EnergyFlows!L254</f>
        <v/>
      </c>
      <c r="M355" s="859" t="str">
        <f>E_EnergyFlows!M254</f>
        <v/>
      </c>
      <c r="N355" s="8"/>
      <c r="O355" s="17"/>
      <c r="P355" s="190"/>
      <c r="Q355" s="190"/>
      <c r="R355" s="190"/>
      <c r="S355" s="150"/>
    </row>
    <row r="356" spans="1:19" x14ac:dyDescent="0.25">
      <c r="A356" s="150"/>
      <c r="B356" s="17"/>
      <c r="C356" s="17"/>
      <c r="D356" s="113"/>
      <c r="E356" s="1446" t="str">
        <f>E_EnergyFlows!E255</f>
        <v/>
      </c>
      <c r="F356" s="1446"/>
      <c r="G356" s="1446"/>
      <c r="H356" s="858" t="str">
        <f>E_EnergyFlows!H255</f>
        <v>TJ / year</v>
      </c>
      <c r="I356" s="859" t="str">
        <f>E_EnergyFlows!I255</f>
        <v/>
      </c>
      <c r="J356" s="859" t="str">
        <f>E_EnergyFlows!J255</f>
        <v/>
      </c>
      <c r="K356" s="859" t="str">
        <f>E_EnergyFlows!K255</f>
        <v/>
      </c>
      <c r="L356" s="859" t="str">
        <f>E_EnergyFlows!L255</f>
        <v/>
      </c>
      <c r="M356" s="859" t="str">
        <f>E_EnergyFlows!M255</f>
        <v/>
      </c>
      <c r="N356" s="8"/>
      <c r="O356" s="17"/>
      <c r="P356" s="190"/>
      <c r="Q356" s="190"/>
      <c r="R356" s="190"/>
      <c r="S356" s="150"/>
    </row>
    <row r="357" spans="1:19" x14ac:dyDescent="0.25">
      <c r="A357" s="150"/>
      <c r="B357" s="17"/>
      <c r="C357" s="17"/>
      <c r="D357" s="113"/>
      <c r="E357" s="1446" t="str">
        <f>E_EnergyFlows!E256</f>
        <v/>
      </c>
      <c r="F357" s="1446"/>
      <c r="G357" s="1446"/>
      <c r="H357" s="858" t="str">
        <f>E_EnergyFlows!H256</f>
        <v>TJ / year</v>
      </c>
      <c r="I357" s="859" t="str">
        <f>E_EnergyFlows!I256</f>
        <v/>
      </c>
      <c r="J357" s="859" t="str">
        <f>E_EnergyFlows!J256</f>
        <v/>
      </c>
      <c r="K357" s="859" t="str">
        <f>E_EnergyFlows!K256</f>
        <v/>
      </c>
      <c r="L357" s="859" t="str">
        <f>E_EnergyFlows!L256</f>
        <v/>
      </c>
      <c r="M357" s="859" t="str">
        <f>E_EnergyFlows!M256</f>
        <v/>
      </c>
      <c r="N357" s="8"/>
      <c r="O357" s="17"/>
      <c r="P357" s="190"/>
      <c r="Q357" s="190"/>
      <c r="R357" s="190"/>
      <c r="S357" s="150"/>
    </row>
    <row r="358" spans="1:19" x14ac:dyDescent="0.25">
      <c r="A358" s="150"/>
      <c r="B358" s="17"/>
      <c r="C358" s="17"/>
      <c r="D358" s="113"/>
      <c r="E358" s="1453" t="str">
        <f>E_EnergyFlows!E257</f>
        <v/>
      </c>
      <c r="F358" s="1453"/>
      <c r="G358" s="1453"/>
      <c r="H358" s="860" t="str">
        <f>E_EnergyFlows!H257</f>
        <v>TJ / year</v>
      </c>
      <c r="I358" s="861" t="str">
        <f>E_EnergyFlows!I257</f>
        <v/>
      </c>
      <c r="J358" s="861" t="str">
        <f>E_EnergyFlows!J257</f>
        <v/>
      </c>
      <c r="K358" s="861" t="str">
        <f>E_EnergyFlows!K257</f>
        <v/>
      </c>
      <c r="L358" s="861" t="str">
        <f>E_EnergyFlows!L257</f>
        <v/>
      </c>
      <c r="M358" s="861" t="str">
        <f>E_EnergyFlows!M257</f>
        <v/>
      </c>
      <c r="N358" s="8"/>
      <c r="O358" s="17"/>
      <c r="P358" s="190"/>
      <c r="Q358" s="190"/>
      <c r="R358" s="190"/>
      <c r="S358" s="150"/>
    </row>
    <row r="359" spans="1:19" ht="12.75" customHeight="1" x14ac:dyDescent="0.25">
      <c r="A359" s="150"/>
      <c r="B359" s="17"/>
      <c r="C359" s="17"/>
      <c r="D359" s="113"/>
      <c r="E359" s="1449" t="str">
        <f>E_EnergyFlows!E258</f>
        <v>Sub-total</v>
      </c>
      <c r="F359" s="1449"/>
      <c r="G359" s="1449"/>
      <c r="H359" s="43" t="str">
        <f>E_EnergyFlows!H258</f>
        <v>TJ / year</v>
      </c>
      <c r="I359" s="818" t="str">
        <f>E_EnergyFlows!I258</f>
        <v/>
      </c>
      <c r="J359" s="818" t="str">
        <f>E_EnergyFlows!J258</f>
        <v/>
      </c>
      <c r="K359" s="818" t="str">
        <f>E_EnergyFlows!K258</f>
        <v/>
      </c>
      <c r="L359" s="818" t="str">
        <f>E_EnergyFlows!L258</f>
        <v/>
      </c>
      <c r="M359" s="818" t="str">
        <f>E_EnergyFlows!M258</f>
        <v/>
      </c>
      <c r="N359" s="8"/>
      <c r="O359" s="17"/>
      <c r="P359" s="190"/>
      <c r="Q359" s="190"/>
      <c r="R359" s="190"/>
      <c r="S359" s="150"/>
    </row>
    <row r="360" spans="1:19" ht="5.0999999999999996" customHeight="1" x14ac:dyDescent="0.25">
      <c r="A360" s="150"/>
      <c r="B360" s="8"/>
      <c r="C360" s="8"/>
      <c r="D360" s="8"/>
      <c r="E360" s="8"/>
      <c r="F360" s="8"/>
      <c r="G360" s="8"/>
      <c r="H360" s="8"/>
      <c r="I360" s="8"/>
      <c r="J360" s="8"/>
      <c r="K360" s="8"/>
      <c r="L360" s="8"/>
      <c r="M360" s="8"/>
      <c r="N360" s="8"/>
      <c r="O360" s="17"/>
      <c r="P360" s="190"/>
      <c r="Q360" s="190"/>
      <c r="R360" s="190"/>
      <c r="S360" s="150"/>
    </row>
    <row r="361" spans="1:19" ht="12.75" customHeight="1" x14ac:dyDescent="0.25">
      <c r="A361" s="150"/>
      <c r="B361" s="8"/>
      <c r="C361" s="15"/>
      <c r="D361" s="15" t="str">
        <f>E_EnergyFlows!D260</f>
        <v>(b)</v>
      </c>
      <c r="E361" s="1447" t="str">
        <f>E_EnergyFlows!E260</f>
        <v>Waste gases produced outside the system boundaries of a product benchmark sub-installation</v>
      </c>
      <c r="F361" s="1443"/>
      <c r="G361" s="1443"/>
      <c r="H361" s="1443"/>
      <c r="I361" s="1443"/>
      <c r="J361" s="1443"/>
      <c r="K361" s="1443"/>
      <c r="L361" s="1443"/>
      <c r="M361" s="1443"/>
      <c r="N361" s="1443"/>
      <c r="O361" s="17"/>
      <c r="P361" s="190"/>
      <c r="Q361" s="190"/>
      <c r="R361" s="190"/>
      <c r="S361" s="150"/>
    </row>
    <row r="362" spans="1:19" x14ac:dyDescent="0.25">
      <c r="A362" s="150"/>
      <c r="B362" s="17"/>
      <c r="C362" s="17"/>
      <c r="D362" s="17"/>
      <c r="E362" s="1452" t="str">
        <f>E_EnergyFlows!E263</f>
        <v>from section D.IV.</v>
      </c>
      <c r="F362" s="1451"/>
      <c r="G362" s="1451"/>
      <c r="H362" s="23" t="str">
        <f>E_EnergyFlows!H263</f>
        <v>Unit</v>
      </c>
      <c r="I362" s="128">
        <f>E_EnergyFlows!I263</f>
        <v>2019</v>
      </c>
      <c r="J362" s="128">
        <f>E_EnergyFlows!J263</f>
        <v>2020</v>
      </c>
      <c r="K362" s="128">
        <f>E_EnergyFlows!K263</f>
        <v>2021</v>
      </c>
      <c r="L362" s="128">
        <f>E_EnergyFlows!L263</f>
        <v>2022</v>
      </c>
      <c r="M362" s="144">
        <f>E_EnergyFlows!M263</f>
        <v>2023</v>
      </c>
      <c r="N362" s="216"/>
      <c r="O362" s="17"/>
      <c r="P362" s="190"/>
      <c r="Q362" s="190"/>
      <c r="R362" s="190"/>
      <c r="S362" s="150"/>
    </row>
    <row r="363" spans="1:19" x14ac:dyDescent="0.25">
      <c r="A363" s="150"/>
      <c r="B363" s="17"/>
      <c r="C363" s="17"/>
      <c r="D363" s="113"/>
      <c r="E363" s="1487" t="str">
        <f>E_EnergyFlows!E264</f>
        <v>Waste gas 1</v>
      </c>
      <c r="F363" s="1487"/>
      <c r="G363" s="1487"/>
      <c r="H363" s="856" t="str">
        <f>E_EnergyFlows!H264</f>
        <v>TJ / year</v>
      </c>
      <c r="I363" s="857" t="str">
        <f>E_EnergyFlows!I264</f>
        <v/>
      </c>
      <c r="J363" s="857" t="str">
        <f>E_EnergyFlows!J264</f>
        <v/>
      </c>
      <c r="K363" s="857" t="str">
        <f>E_EnergyFlows!K264</f>
        <v/>
      </c>
      <c r="L363" s="857" t="str">
        <f>E_EnergyFlows!L264</f>
        <v/>
      </c>
      <c r="M363" s="857" t="str">
        <f>E_EnergyFlows!M264</f>
        <v/>
      </c>
      <c r="N363" s="8"/>
      <c r="O363" s="17"/>
      <c r="P363" s="190"/>
      <c r="Q363" s="190"/>
      <c r="R363" s="190"/>
      <c r="S363" s="150"/>
    </row>
    <row r="364" spans="1:19" x14ac:dyDescent="0.25">
      <c r="A364" s="150"/>
      <c r="B364" s="17"/>
      <c r="C364" s="17"/>
      <c r="D364" s="113"/>
      <c r="E364" s="1488" t="str">
        <f>E_EnergyFlows!E265</f>
        <v>Waste gas 2</v>
      </c>
      <c r="F364" s="1488"/>
      <c r="G364" s="1488"/>
      <c r="H364" s="858" t="str">
        <f>E_EnergyFlows!H265</f>
        <v>TJ / year</v>
      </c>
      <c r="I364" s="861" t="str">
        <f>E_EnergyFlows!I265</f>
        <v/>
      </c>
      <c r="J364" s="861" t="str">
        <f>E_EnergyFlows!J265</f>
        <v/>
      </c>
      <c r="K364" s="861" t="str">
        <f>E_EnergyFlows!K265</f>
        <v/>
      </c>
      <c r="L364" s="861" t="str">
        <f>E_EnergyFlows!L265</f>
        <v/>
      </c>
      <c r="M364" s="861" t="str">
        <f>E_EnergyFlows!M265</f>
        <v/>
      </c>
      <c r="N364" s="8"/>
      <c r="O364" s="17"/>
      <c r="P364" s="190"/>
      <c r="Q364" s="190"/>
      <c r="R364" s="190"/>
      <c r="S364" s="150"/>
    </row>
    <row r="365" spans="1:19" ht="12.75" customHeight="1" x14ac:dyDescent="0.25">
      <c r="A365" s="150"/>
      <c r="B365" s="17"/>
      <c r="C365" s="17"/>
      <c r="D365" s="113"/>
      <c r="E365" s="1449" t="str">
        <f>E_EnergyFlows!E266</f>
        <v>Sub-total</v>
      </c>
      <c r="F365" s="1449"/>
      <c r="G365" s="1449"/>
      <c r="H365" s="43" t="str">
        <f>E_EnergyFlows!H266</f>
        <v>TJ / year</v>
      </c>
      <c r="I365" s="818" t="str">
        <f>E_EnergyFlows!I266</f>
        <v/>
      </c>
      <c r="J365" s="818" t="str">
        <f>E_EnergyFlows!J266</f>
        <v/>
      </c>
      <c r="K365" s="818" t="str">
        <f>E_EnergyFlows!K266</f>
        <v/>
      </c>
      <c r="L365" s="818" t="str">
        <f>E_EnergyFlows!L266</f>
        <v/>
      </c>
      <c r="M365" s="818" t="str">
        <f>E_EnergyFlows!M266</f>
        <v/>
      </c>
      <c r="N365" s="8"/>
      <c r="O365" s="17"/>
      <c r="P365" s="190"/>
      <c r="Q365" s="190"/>
      <c r="R365" s="190"/>
      <c r="S365" s="150"/>
    </row>
    <row r="366" spans="1:19" ht="5.0999999999999996" customHeight="1" x14ac:dyDescent="0.25">
      <c r="A366" s="150"/>
      <c r="B366" s="8"/>
      <c r="C366" s="8"/>
      <c r="D366" s="8"/>
      <c r="E366" s="8"/>
      <c r="F366" s="8"/>
      <c r="G366" s="8"/>
      <c r="H366" s="8"/>
      <c r="I366" s="8"/>
      <c r="J366" s="8"/>
      <c r="K366" s="8"/>
      <c r="L366" s="8"/>
      <c r="M366" s="8"/>
      <c r="N366" s="8"/>
      <c r="O366" s="17"/>
      <c r="P366" s="190"/>
      <c r="Q366" s="190"/>
      <c r="R366" s="190"/>
      <c r="S366" s="150"/>
    </row>
    <row r="367" spans="1:19" x14ac:dyDescent="0.25">
      <c r="A367" s="150"/>
      <c r="B367" s="8"/>
      <c r="C367" s="15"/>
      <c r="D367" s="15" t="str">
        <f>E_EnergyFlows!D268</f>
        <v>(c)</v>
      </c>
      <c r="E367" s="1447" t="str">
        <f>E_EnergyFlows!E268</f>
        <v>Sum of waste gases (=a+b)</v>
      </c>
      <c r="F367" s="1443"/>
      <c r="G367" s="1443"/>
      <c r="H367" s="1443"/>
      <c r="I367" s="1443"/>
      <c r="J367" s="1443"/>
      <c r="K367" s="1443"/>
      <c r="L367" s="1443"/>
      <c r="M367" s="1443"/>
      <c r="N367" s="1443"/>
      <c r="O367" s="17"/>
      <c r="P367" s="190"/>
      <c r="Q367" s="190"/>
      <c r="R367" s="190"/>
      <c r="S367" s="150"/>
    </row>
    <row r="368" spans="1:19" x14ac:dyDescent="0.25">
      <c r="A368" s="150"/>
      <c r="B368" s="17"/>
      <c r="C368" s="17"/>
      <c r="D368" s="17"/>
      <c r="E368" s="1449" t="str">
        <f>E_EnergyFlows!E269</f>
        <v>Waste gases produced</v>
      </c>
      <c r="F368" s="1449"/>
      <c r="G368" s="1449"/>
      <c r="H368" s="217" t="str">
        <f>E_EnergyFlows!H269</f>
        <v>TJ / year</v>
      </c>
      <c r="I368" s="818" t="str">
        <f>E_EnergyFlows!I269</f>
        <v/>
      </c>
      <c r="J368" s="818" t="str">
        <f>E_EnergyFlows!J269</f>
        <v/>
      </c>
      <c r="K368" s="818" t="str">
        <f>E_EnergyFlows!K269</f>
        <v/>
      </c>
      <c r="L368" s="818" t="str">
        <f>E_EnergyFlows!L269</f>
        <v/>
      </c>
      <c r="M368" s="818" t="str">
        <f>E_EnergyFlows!M269</f>
        <v/>
      </c>
      <c r="N368" s="8"/>
      <c r="O368" s="17"/>
      <c r="P368" s="150"/>
      <c r="Q368" s="150"/>
      <c r="R368" s="150"/>
      <c r="S368" s="150"/>
    </row>
    <row r="369" spans="1:19" ht="5.0999999999999996" customHeight="1" x14ac:dyDescent="0.25">
      <c r="A369" s="150"/>
      <c r="B369" s="17"/>
      <c r="C369" s="17"/>
      <c r="D369" s="17"/>
      <c r="E369" s="17"/>
      <c r="F369" s="17"/>
      <c r="G369" s="17"/>
      <c r="H369" s="17"/>
      <c r="I369" s="17"/>
      <c r="J369" s="17"/>
      <c r="K369" s="17"/>
      <c r="L369" s="17"/>
      <c r="M369" s="17"/>
      <c r="N369" s="17"/>
      <c r="O369" s="17"/>
      <c r="P369" s="150"/>
      <c r="Q369" s="150"/>
      <c r="R369" s="150"/>
      <c r="S369" s="150"/>
    </row>
    <row r="370" spans="1:19" x14ac:dyDescent="0.25">
      <c r="A370" s="150"/>
      <c r="B370" s="8"/>
      <c r="C370" s="15"/>
      <c r="D370" s="15" t="str">
        <f>E_EnergyFlows!D271</f>
        <v>(d)</v>
      </c>
      <c r="E370" s="1447" t="str">
        <f>E_EnergyFlows!E271</f>
        <v>Waste gases imported from other installations or entities</v>
      </c>
      <c r="F370" s="1443"/>
      <c r="G370" s="1443"/>
      <c r="H370" s="1443"/>
      <c r="I370" s="1443"/>
      <c r="J370" s="1443"/>
      <c r="K370" s="1443"/>
      <c r="L370" s="1443"/>
      <c r="M370" s="1443"/>
      <c r="N370" s="1443"/>
      <c r="O370" s="17"/>
      <c r="P370" s="190"/>
      <c r="Q370" s="150"/>
      <c r="R370" s="150"/>
      <c r="S370" s="150"/>
    </row>
    <row r="371" spans="1:19" ht="12.75" customHeight="1" x14ac:dyDescent="0.25">
      <c r="A371" s="150"/>
      <c r="B371" s="17"/>
      <c r="C371" s="17"/>
      <c r="D371" s="17"/>
      <c r="E371" s="1452" t="str">
        <f>E_EnergyFlows!E274</f>
        <v>Name of installation or entity</v>
      </c>
      <c r="F371" s="1452"/>
      <c r="G371" s="1452"/>
      <c r="H371" s="23" t="str">
        <f>E_EnergyFlows!H274</f>
        <v>Unit</v>
      </c>
      <c r="I371" s="128">
        <f>E_EnergyFlows!I274</f>
        <v>2019</v>
      </c>
      <c r="J371" s="128">
        <f>E_EnergyFlows!J274</f>
        <v>2020</v>
      </c>
      <c r="K371" s="128">
        <f>E_EnergyFlows!K274</f>
        <v>2021</v>
      </c>
      <c r="L371" s="128">
        <f>E_EnergyFlows!L274</f>
        <v>2022</v>
      </c>
      <c r="M371" s="144">
        <f>E_EnergyFlows!M274</f>
        <v>2023</v>
      </c>
      <c r="N371" s="216"/>
      <c r="O371" s="17"/>
      <c r="P371" s="150"/>
      <c r="Q371" s="150"/>
      <c r="R371" s="150"/>
      <c r="S371" s="150"/>
    </row>
    <row r="372" spans="1:19" x14ac:dyDescent="0.25">
      <c r="A372" s="150"/>
      <c r="B372" s="17"/>
      <c r="C372" s="113"/>
      <c r="D372" s="113"/>
      <c r="E372" s="1717" t="str">
        <f>IF(ISBLANK(E_EnergyFlows!E275),"",E_EnergyFlows!E275)</f>
        <v/>
      </c>
      <c r="F372" s="1717"/>
      <c r="G372" s="1717"/>
      <c r="H372" s="222" t="str">
        <f>E_EnergyFlows!H275</f>
        <v>TJ / year</v>
      </c>
      <c r="I372" s="857" t="str">
        <f>IF(ISBLANK(E_EnergyFlows!I275),"",E_EnergyFlows!I275)</f>
        <v/>
      </c>
      <c r="J372" s="857" t="str">
        <f>IF(ISBLANK(E_EnergyFlows!J275),"",E_EnergyFlows!J275)</f>
        <v/>
      </c>
      <c r="K372" s="857" t="str">
        <f>IF(ISBLANK(E_EnergyFlows!K275),"",E_EnergyFlows!K275)</f>
        <v/>
      </c>
      <c r="L372" s="857" t="str">
        <f>IF(ISBLANK(E_EnergyFlows!L275),"",E_EnergyFlows!L275)</f>
        <v/>
      </c>
      <c r="M372" s="857" t="str">
        <f>IF(ISBLANK(E_EnergyFlows!M275),"",E_EnergyFlows!M275)</f>
        <v/>
      </c>
      <c r="N372" s="8"/>
      <c r="O372" s="17"/>
      <c r="P372" s="150"/>
      <c r="Q372" s="150"/>
      <c r="R372" s="150"/>
      <c r="S372" s="150"/>
    </row>
    <row r="373" spans="1:19" x14ac:dyDescent="0.25">
      <c r="A373" s="150"/>
      <c r="B373" s="17"/>
      <c r="C373" s="113"/>
      <c r="D373" s="113"/>
      <c r="E373" s="1716" t="str">
        <f>IF(ISBLANK(E_EnergyFlows!E276),"",E_EnergyFlows!E276)</f>
        <v/>
      </c>
      <c r="F373" s="1716"/>
      <c r="G373" s="1716"/>
      <c r="H373" s="225" t="str">
        <f>E_EnergyFlows!H276</f>
        <v>TJ / year</v>
      </c>
      <c r="I373" s="859" t="str">
        <f>IF(ISBLANK(E_EnergyFlows!I276),"",E_EnergyFlows!I276)</f>
        <v/>
      </c>
      <c r="J373" s="859" t="str">
        <f>IF(ISBLANK(E_EnergyFlows!J276),"",E_EnergyFlows!J276)</f>
        <v/>
      </c>
      <c r="K373" s="859" t="str">
        <f>IF(ISBLANK(E_EnergyFlows!K276),"",E_EnergyFlows!K276)</f>
        <v/>
      </c>
      <c r="L373" s="859" t="str">
        <f>IF(ISBLANK(E_EnergyFlows!L276),"",E_EnergyFlows!L276)</f>
        <v/>
      </c>
      <c r="M373" s="859" t="str">
        <f>IF(ISBLANK(E_EnergyFlows!M276),"",E_EnergyFlows!M276)</f>
        <v/>
      </c>
      <c r="N373" s="8"/>
      <c r="O373" s="17"/>
      <c r="P373" s="150"/>
      <c r="Q373" s="150"/>
      <c r="R373" s="150"/>
      <c r="S373" s="150"/>
    </row>
    <row r="374" spans="1:19" x14ac:dyDescent="0.25">
      <c r="A374" s="150"/>
      <c r="B374" s="17"/>
      <c r="C374" s="113"/>
      <c r="D374" s="113"/>
      <c r="E374" s="1718" t="str">
        <f>IF(ISBLANK(E_EnergyFlows!E277),"",E_EnergyFlows!E277)</f>
        <v/>
      </c>
      <c r="F374" s="1718"/>
      <c r="G374" s="1718"/>
      <c r="H374" s="227" t="str">
        <f>E_EnergyFlows!H277</f>
        <v>TJ / year</v>
      </c>
      <c r="I374" s="861" t="str">
        <f>IF(ISBLANK(E_EnergyFlows!I277),"",E_EnergyFlows!I277)</f>
        <v/>
      </c>
      <c r="J374" s="861" t="str">
        <f>IF(ISBLANK(E_EnergyFlows!J277),"",E_EnergyFlows!J277)</f>
        <v/>
      </c>
      <c r="K374" s="861" t="str">
        <f>IF(ISBLANK(E_EnergyFlows!K277),"",E_EnergyFlows!K277)</f>
        <v/>
      </c>
      <c r="L374" s="861" t="str">
        <f>IF(ISBLANK(E_EnergyFlows!L277),"",E_EnergyFlows!L277)</f>
        <v/>
      </c>
      <c r="M374" s="861" t="str">
        <f>IF(ISBLANK(E_EnergyFlows!M277),"",E_EnergyFlows!M277)</f>
        <v/>
      </c>
      <c r="N374" s="8"/>
      <c r="O374" s="17"/>
      <c r="P374" s="150"/>
      <c r="Q374" s="150"/>
      <c r="R374" s="150"/>
      <c r="S374" s="150"/>
    </row>
    <row r="375" spans="1:19" x14ac:dyDescent="0.25">
      <c r="A375" s="150"/>
      <c r="B375" s="17"/>
      <c r="C375" s="113"/>
      <c r="D375" s="113"/>
      <c r="E375" s="1449" t="str">
        <f>E_EnergyFlows!E278</f>
        <v>Sub-total</v>
      </c>
      <c r="F375" s="1449"/>
      <c r="G375" s="1449"/>
      <c r="H375" s="217" t="str">
        <f>E_EnergyFlows!H278</f>
        <v>TJ / year</v>
      </c>
      <c r="I375" s="818" t="str">
        <f>E_EnergyFlows!I278</f>
        <v/>
      </c>
      <c r="J375" s="818" t="str">
        <f>E_EnergyFlows!J278</f>
        <v/>
      </c>
      <c r="K375" s="818" t="str">
        <f>E_EnergyFlows!K278</f>
        <v/>
      </c>
      <c r="L375" s="818" t="str">
        <f>E_EnergyFlows!L278</f>
        <v/>
      </c>
      <c r="M375" s="818" t="str">
        <f>E_EnergyFlows!M278</f>
        <v/>
      </c>
      <c r="N375" s="8"/>
      <c r="O375" s="17"/>
      <c r="P375" s="150"/>
      <c r="Q375" s="150"/>
      <c r="R375" s="150"/>
      <c r="S375" s="150"/>
    </row>
    <row r="376" spans="1:19" ht="5.0999999999999996" customHeight="1" x14ac:dyDescent="0.25">
      <c r="A376" s="150"/>
      <c r="B376" s="8"/>
      <c r="C376" s="8"/>
      <c r="D376" s="8"/>
      <c r="E376" s="8"/>
      <c r="F376" s="8"/>
      <c r="G376" s="8"/>
      <c r="H376" s="8"/>
      <c r="I376" s="8"/>
      <c r="J376" s="8"/>
      <c r="K376" s="8"/>
      <c r="L376" s="8"/>
      <c r="M376" s="8"/>
      <c r="N376" s="8"/>
      <c r="O376" s="17"/>
      <c r="P376" s="190"/>
      <c r="Q376" s="150"/>
      <c r="R376" s="150"/>
      <c r="S376" s="150"/>
    </row>
    <row r="377" spans="1:19" ht="12.75" customHeight="1" x14ac:dyDescent="0.25">
      <c r="A377" s="150"/>
      <c r="B377" s="8"/>
      <c r="C377" s="15"/>
      <c r="D377" s="15" t="str">
        <f>E_EnergyFlows!D280</f>
        <v>(e)</v>
      </c>
      <c r="E377" s="1447" t="str">
        <f>E_EnergyFlows!E280</f>
        <v>Waste gases exported to other installations or entities</v>
      </c>
      <c r="F377" s="1443"/>
      <c r="G377" s="1443"/>
      <c r="H377" s="1443"/>
      <c r="I377" s="1443"/>
      <c r="J377" s="1443"/>
      <c r="K377" s="1443"/>
      <c r="L377" s="1443"/>
      <c r="M377" s="1443"/>
      <c r="N377" s="1443"/>
      <c r="O377" s="17"/>
      <c r="P377" s="190"/>
      <c r="Q377" s="150"/>
      <c r="R377" s="150"/>
      <c r="S377" s="150"/>
    </row>
    <row r="378" spans="1:19" x14ac:dyDescent="0.25">
      <c r="A378" s="150"/>
      <c r="B378" s="17"/>
      <c r="C378" s="17"/>
      <c r="D378" s="17"/>
      <c r="E378" s="1452" t="str">
        <f>E_EnergyFlows!E282</f>
        <v>Name of installation or entity</v>
      </c>
      <c r="F378" s="1451"/>
      <c r="G378" s="1451"/>
      <c r="H378" s="23" t="str">
        <f>E_EnergyFlows!H282</f>
        <v>Unit</v>
      </c>
      <c r="I378" s="128">
        <f>E_EnergyFlows!I282</f>
        <v>2019</v>
      </c>
      <c r="J378" s="128">
        <f>E_EnergyFlows!J282</f>
        <v>2020</v>
      </c>
      <c r="K378" s="128">
        <f>E_EnergyFlows!K282</f>
        <v>2021</v>
      </c>
      <c r="L378" s="128">
        <f>E_EnergyFlows!L282</f>
        <v>2022</v>
      </c>
      <c r="M378" s="144">
        <f>E_EnergyFlows!M282</f>
        <v>2023</v>
      </c>
      <c r="N378" s="216"/>
      <c r="O378" s="17"/>
      <c r="P378" s="150"/>
      <c r="Q378" s="150"/>
      <c r="R378" s="150"/>
      <c r="S378" s="150"/>
    </row>
    <row r="379" spans="1:19" x14ac:dyDescent="0.25">
      <c r="A379" s="150"/>
      <c r="B379" s="17"/>
      <c r="C379" s="113"/>
      <c r="D379" s="113"/>
      <c r="E379" s="1717" t="str">
        <f>IF(ISBLANK(E_EnergyFlows!E283),"",E_EnergyFlows!E283)</f>
        <v/>
      </c>
      <c r="F379" s="1717"/>
      <c r="G379" s="1717"/>
      <c r="H379" s="222" t="str">
        <f>E_EnergyFlows!H283</f>
        <v>TJ / year</v>
      </c>
      <c r="I379" s="857" t="str">
        <f>IF(ISBLANK(E_EnergyFlows!I283),"",E_EnergyFlows!I283)</f>
        <v/>
      </c>
      <c r="J379" s="857" t="str">
        <f>IF(ISBLANK(E_EnergyFlows!J283),"",E_EnergyFlows!J283)</f>
        <v/>
      </c>
      <c r="K379" s="857" t="str">
        <f>IF(ISBLANK(E_EnergyFlows!K283),"",E_EnergyFlows!K283)</f>
        <v/>
      </c>
      <c r="L379" s="857" t="str">
        <f>IF(ISBLANK(E_EnergyFlows!L283),"",E_EnergyFlows!L283)</f>
        <v/>
      </c>
      <c r="M379" s="1051" t="str">
        <f>IF(ISBLANK(E_EnergyFlows!M283),"",E_EnergyFlows!M283)</f>
        <v/>
      </c>
      <c r="N379" s="8"/>
      <c r="O379" s="17"/>
      <c r="P379" s="150"/>
      <c r="Q379" s="150"/>
      <c r="R379" s="150"/>
      <c r="S379" s="150"/>
    </row>
    <row r="380" spans="1:19" x14ac:dyDescent="0.25">
      <c r="A380" s="150"/>
      <c r="B380" s="17"/>
      <c r="C380" s="113"/>
      <c r="D380" s="113"/>
      <c r="E380" s="1716" t="str">
        <f>IF(ISBLANK(E_EnergyFlows!E284),"",E_EnergyFlows!E284)</f>
        <v/>
      </c>
      <c r="F380" s="1716"/>
      <c r="G380" s="1716"/>
      <c r="H380" s="225" t="str">
        <f>E_EnergyFlows!H284</f>
        <v>TJ / year</v>
      </c>
      <c r="I380" s="859" t="str">
        <f>IF(ISBLANK(E_EnergyFlows!I284),"",E_EnergyFlows!I284)</f>
        <v/>
      </c>
      <c r="J380" s="859" t="str">
        <f>IF(ISBLANK(E_EnergyFlows!J284),"",E_EnergyFlows!J284)</f>
        <v/>
      </c>
      <c r="K380" s="859" t="str">
        <f>IF(ISBLANK(E_EnergyFlows!K284),"",E_EnergyFlows!K284)</f>
        <v/>
      </c>
      <c r="L380" s="859" t="str">
        <f>IF(ISBLANK(E_EnergyFlows!L284),"",E_EnergyFlows!L284)</f>
        <v/>
      </c>
      <c r="M380" s="1052" t="str">
        <f>IF(ISBLANK(E_EnergyFlows!M284),"",E_EnergyFlows!M284)</f>
        <v/>
      </c>
      <c r="N380" s="8"/>
      <c r="O380" s="17"/>
      <c r="P380" s="150"/>
      <c r="Q380" s="150"/>
      <c r="R380" s="150"/>
      <c r="S380" s="150"/>
    </row>
    <row r="381" spans="1:19" x14ac:dyDescent="0.25">
      <c r="A381" s="150"/>
      <c r="B381" s="17"/>
      <c r="C381" s="113"/>
      <c r="D381" s="113"/>
      <c r="E381" s="1718" t="str">
        <f>IF(ISBLANK(E_EnergyFlows!E285),"",E_EnergyFlows!E285)</f>
        <v/>
      </c>
      <c r="F381" s="1718"/>
      <c r="G381" s="1718"/>
      <c r="H381" s="227" t="str">
        <f>E_EnergyFlows!H285</f>
        <v>TJ / year</v>
      </c>
      <c r="I381" s="861" t="str">
        <f>IF(ISBLANK(E_EnergyFlows!I285),"",E_EnergyFlows!I285)</f>
        <v/>
      </c>
      <c r="J381" s="861" t="str">
        <f>IF(ISBLANK(E_EnergyFlows!J285),"",E_EnergyFlows!J285)</f>
        <v/>
      </c>
      <c r="K381" s="861" t="str">
        <f>IF(ISBLANK(E_EnergyFlows!K285),"",E_EnergyFlows!K285)</f>
        <v/>
      </c>
      <c r="L381" s="861" t="str">
        <f>IF(ISBLANK(E_EnergyFlows!L285),"",E_EnergyFlows!L285)</f>
        <v/>
      </c>
      <c r="M381" s="1053" t="str">
        <f>IF(ISBLANK(E_EnergyFlows!M285),"",E_EnergyFlows!M285)</f>
        <v/>
      </c>
      <c r="N381" s="8"/>
      <c r="O381" s="17"/>
      <c r="P381" s="150"/>
      <c r="Q381" s="150"/>
      <c r="R381" s="150"/>
      <c r="S381" s="150"/>
    </row>
    <row r="382" spans="1:19" x14ac:dyDescent="0.25">
      <c r="A382" s="150"/>
      <c r="B382" s="17"/>
      <c r="C382" s="113"/>
      <c r="D382" s="113"/>
      <c r="E382" s="1449" t="str">
        <f>E_EnergyFlows!E286</f>
        <v>Sub-total</v>
      </c>
      <c r="F382" s="1449"/>
      <c r="G382" s="1449"/>
      <c r="H382" s="217" t="str">
        <f>E_EnergyFlows!H286</f>
        <v>TJ / year</v>
      </c>
      <c r="I382" s="818" t="str">
        <f>E_EnergyFlows!I286</f>
        <v/>
      </c>
      <c r="J382" s="818" t="str">
        <f>E_EnergyFlows!J286</f>
        <v/>
      </c>
      <c r="K382" s="818" t="str">
        <f>E_EnergyFlows!K286</f>
        <v/>
      </c>
      <c r="L382" s="818" t="str">
        <f>E_EnergyFlows!L286</f>
        <v/>
      </c>
      <c r="M382" s="830" t="str">
        <f>E_EnergyFlows!M286</f>
        <v/>
      </c>
      <c r="N382" s="8"/>
      <c r="O382" s="17"/>
      <c r="P382" s="150"/>
      <c r="Q382" s="150"/>
      <c r="R382" s="150"/>
      <c r="S382" s="150"/>
    </row>
    <row r="383" spans="1:19" ht="5.0999999999999996" customHeight="1" x14ac:dyDescent="0.25">
      <c r="A383" s="150"/>
      <c r="B383" s="8"/>
      <c r="C383" s="8"/>
      <c r="D383" s="8"/>
      <c r="E383" s="8"/>
      <c r="F383" s="8"/>
      <c r="G383" s="8"/>
      <c r="H383" s="8"/>
      <c r="I383" s="8"/>
      <c r="J383" s="8"/>
      <c r="K383" s="8"/>
      <c r="L383" s="8"/>
      <c r="M383" s="8"/>
      <c r="N383" s="8"/>
      <c r="O383" s="17"/>
      <c r="P383" s="190"/>
      <c r="Q383" s="150"/>
      <c r="R383" s="150"/>
      <c r="S383" s="150"/>
    </row>
    <row r="384" spans="1:19" x14ac:dyDescent="0.25">
      <c r="A384" s="150"/>
      <c r="B384" s="8"/>
      <c r="C384" s="15"/>
      <c r="D384" s="15" t="str">
        <f>E_EnergyFlows!D288</f>
        <v>(f)</v>
      </c>
      <c r="E384" s="1447" t="str">
        <f>E_EnergyFlows!E288</f>
        <v>Sum of waste gases available at installation (=c+d-e)</v>
      </c>
      <c r="F384" s="1443"/>
      <c r="G384" s="1443"/>
      <c r="H384" s="1443"/>
      <c r="I384" s="1443"/>
      <c r="J384" s="1443"/>
      <c r="K384" s="1443"/>
      <c r="L384" s="1443"/>
      <c r="M384" s="1443"/>
      <c r="N384" s="1443"/>
      <c r="O384" s="17"/>
      <c r="P384" s="190"/>
      <c r="Q384" s="150"/>
      <c r="R384" s="150"/>
      <c r="S384" s="150"/>
    </row>
    <row r="385" spans="1:19" x14ac:dyDescent="0.25">
      <c r="A385" s="150"/>
      <c r="B385" s="17"/>
      <c r="C385" s="17"/>
      <c r="D385" s="17"/>
      <c r="E385" s="1449" t="str">
        <f>E_EnergyFlows!E289</f>
        <v>Waste gases available</v>
      </c>
      <c r="F385" s="1449"/>
      <c r="G385" s="1449"/>
      <c r="H385" s="217" t="str">
        <f>E_EnergyFlows!H289</f>
        <v>TJ / year</v>
      </c>
      <c r="I385" s="818" t="str">
        <f>E_EnergyFlows!I289</f>
        <v/>
      </c>
      <c r="J385" s="818" t="str">
        <f>E_EnergyFlows!J289</f>
        <v/>
      </c>
      <c r="K385" s="818" t="str">
        <f>E_EnergyFlows!K289</f>
        <v/>
      </c>
      <c r="L385" s="818" t="str">
        <f>E_EnergyFlows!L289</f>
        <v/>
      </c>
      <c r="M385" s="818" t="str">
        <f>E_EnergyFlows!M289</f>
        <v/>
      </c>
      <c r="N385" s="8"/>
      <c r="O385" s="17"/>
      <c r="P385" s="150"/>
      <c r="Q385" s="150"/>
      <c r="R385" s="150"/>
      <c r="S385" s="150"/>
    </row>
    <row r="386" spans="1:19" ht="5.0999999999999996" customHeight="1" x14ac:dyDescent="0.25">
      <c r="A386" s="150"/>
      <c r="B386" s="17"/>
      <c r="C386" s="17"/>
      <c r="D386" s="17"/>
      <c r="E386" s="17"/>
      <c r="F386" s="17"/>
      <c r="G386" s="17"/>
      <c r="H386" s="17"/>
      <c r="I386" s="17"/>
      <c r="J386" s="17"/>
      <c r="K386" s="17"/>
      <c r="L386" s="17"/>
      <c r="M386" s="17"/>
      <c r="N386" s="17"/>
      <c r="O386" s="17"/>
      <c r="P386" s="150"/>
      <c r="Q386" s="150"/>
      <c r="R386" s="150"/>
      <c r="S386" s="150"/>
    </row>
    <row r="387" spans="1:19" x14ac:dyDescent="0.25">
      <c r="A387" s="150"/>
      <c r="B387" s="8"/>
      <c r="C387" s="15"/>
      <c r="D387" s="15" t="str">
        <f>E_EnergyFlows!D291</f>
        <v>(g)</v>
      </c>
      <c r="E387" s="1447" t="str">
        <f>E_EnergyFlows!E291</f>
        <v>Waste gases consumed within product benchmark sub-installations</v>
      </c>
      <c r="F387" s="1443"/>
      <c r="G387" s="1443"/>
      <c r="H387" s="1443"/>
      <c r="I387" s="1443"/>
      <c r="J387" s="1443"/>
      <c r="K387" s="1443"/>
      <c r="L387" s="1443"/>
      <c r="M387" s="1443"/>
      <c r="N387" s="1443"/>
      <c r="O387" s="17"/>
      <c r="P387" s="190"/>
      <c r="Q387" s="150"/>
      <c r="R387" s="150"/>
      <c r="S387" s="150"/>
    </row>
    <row r="388" spans="1:19" x14ac:dyDescent="0.25">
      <c r="A388" s="150"/>
      <c r="B388" s="17"/>
      <c r="C388" s="17"/>
      <c r="D388" s="17"/>
      <c r="E388" s="1452" t="str">
        <f>E_EnergyFlows!E293</f>
        <v>Type of product BM sub-installation</v>
      </c>
      <c r="F388" s="1451"/>
      <c r="G388" s="1451"/>
      <c r="H388" s="23" t="str">
        <f>E_EnergyFlows!H293</f>
        <v>Unit</v>
      </c>
      <c r="I388" s="128">
        <f>E_EnergyFlows!I293</f>
        <v>2019</v>
      </c>
      <c r="J388" s="128">
        <f>E_EnergyFlows!J293</f>
        <v>2020</v>
      </c>
      <c r="K388" s="128">
        <f>E_EnergyFlows!K293</f>
        <v>2021</v>
      </c>
      <c r="L388" s="128">
        <f>E_EnergyFlows!L293</f>
        <v>2022</v>
      </c>
      <c r="M388" s="128">
        <f>E_EnergyFlows!M293</f>
        <v>2023</v>
      </c>
      <c r="N388" s="8"/>
      <c r="O388" s="17"/>
      <c r="P388" s="190"/>
      <c r="Q388" s="190"/>
      <c r="R388" s="190"/>
      <c r="S388" s="190"/>
    </row>
    <row r="389" spans="1:19" ht="12.75" customHeight="1" x14ac:dyDescent="0.25">
      <c r="A389" s="150"/>
      <c r="B389" s="17"/>
      <c r="C389" s="17"/>
      <c r="D389" s="113"/>
      <c r="E389" s="1448" t="str">
        <f>E_EnergyFlows!E294</f>
        <v/>
      </c>
      <c r="F389" s="1448"/>
      <c r="G389" s="1448"/>
      <c r="H389" s="291" t="str">
        <f>E_EnergyFlows!H294</f>
        <v>TJ / year</v>
      </c>
      <c r="I389" s="857" t="str">
        <f>E_EnergyFlows!I294</f>
        <v/>
      </c>
      <c r="J389" s="857" t="str">
        <f>E_EnergyFlows!J294</f>
        <v/>
      </c>
      <c r="K389" s="857" t="str">
        <f>E_EnergyFlows!K294</f>
        <v/>
      </c>
      <c r="L389" s="857" t="str">
        <f>E_EnergyFlows!L294</f>
        <v/>
      </c>
      <c r="M389" s="857" t="str">
        <f>E_EnergyFlows!M294</f>
        <v/>
      </c>
      <c r="N389" s="8"/>
      <c r="O389" s="17"/>
      <c r="P389" s="190"/>
      <c r="Q389" s="190"/>
      <c r="R389" s="190"/>
      <c r="S389" s="190"/>
    </row>
    <row r="390" spans="1:19" x14ac:dyDescent="0.25">
      <c r="A390" s="150"/>
      <c r="B390" s="17"/>
      <c r="C390" s="17"/>
      <c r="D390" s="113"/>
      <c r="E390" s="1448" t="str">
        <f>E_EnergyFlows!E295</f>
        <v/>
      </c>
      <c r="F390" s="1448"/>
      <c r="G390" s="1448"/>
      <c r="H390" s="833" t="str">
        <f>E_EnergyFlows!H295</f>
        <v>TJ / year</v>
      </c>
      <c r="I390" s="859" t="str">
        <f>E_EnergyFlows!I295</f>
        <v/>
      </c>
      <c r="J390" s="859" t="str">
        <f>E_EnergyFlows!J295</f>
        <v/>
      </c>
      <c r="K390" s="859" t="str">
        <f>E_EnergyFlows!K295</f>
        <v/>
      </c>
      <c r="L390" s="859" t="str">
        <f>E_EnergyFlows!L295</f>
        <v/>
      </c>
      <c r="M390" s="859" t="str">
        <f>E_EnergyFlows!M295</f>
        <v/>
      </c>
      <c r="N390" s="8"/>
      <c r="O390" s="17"/>
      <c r="P390" s="190"/>
      <c r="Q390" s="190"/>
      <c r="R390" s="190"/>
      <c r="S390" s="190"/>
    </row>
    <row r="391" spans="1:19" ht="12.75" customHeight="1" x14ac:dyDescent="0.25">
      <c r="A391" s="150"/>
      <c r="B391" s="17"/>
      <c r="C391" s="17"/>
      <c r="D391" s="113"/>
      <c r="E391" s="1448" t="str">
        <f>E_EnergyFlows!E296</f>
        <v/>
      </c>
      <c r="F391" s="1448"/>
      <c r="G391" s="1448"/>
      <c r="H391" s="833" t="str">
        <f>E_EnergyFlows!H296</f>
        <v>TJ / year</v>
      </c>
      <c r="I391" s="859" t="str">
        <f>E_EnergyFlows!I296</f>
        <v/>
      </c>
      <c r="J391" s="859" t="str">
        <f>E_EnergyFlows!J296</f>
        <v/>
      </c>
      <c r="K391" s="859" t="str">
        <f>E_EnergyFlows!K296</f>
        <v/>
      </c>
      <c r="L391" s="859" t="str">
        <f>E_EnergyFlows!L296</f>
        <v/>
      </c>
      <c r="M391" s="859" t="str">
        <f>E_EnergyFlows!M296</f>
        <v/>
      </c>
      <c r="N391" s="8"/>
      <c r="O391" s="17"/>
      <c r="P391" s="190"/>
      <c r="Q391" s="190"/>
      <c r="R391" s="190"/>
      <c r="S391" s="190"/>
    </row>
    <row r="392" spans="1:19" x14ac:dyDescent="0.25">
      <c r="A392" s="150"/>
      <c r="B392" s="17"/>
      <c r="C392" s="17"/>
      <c r="D392" s="113"/>
      <c r="E392" s="1448" t="str">
        <f>E_EnergyFlows!E297</f>
        <v/>
      </c>
      <c r="F392" s="1448"/>
      <c r="G392" s="1448"/>
      <c r="H392" s="833" t="str">
        <f>E_EnergyFlows!H297</f>
        <v>TJ / year</v>
      </c>
      <c r="I392" s="859" t="str">
        <f>E_EnergyFlows!I297</f>
        <v/>
      </c>
      <c r="J392" s="859" t="str">
        <f>E_EnergyFlows!J297</f>
        <v/>
      </c>
      <c r="K392" s="859" t="str">
        <f>E_EnergyFlows!K297</f>
        <v/>
      </c>
      <c r="L392" s="859" t="str">
        <f>E_EnergyFlows!L297</f>
        <v/>
      </c>
      <c r="M392" s="859" t="str">
        <f>E_EnergyFlows!M297</f>
        <v/>
      </c>
      <c r="N392" s="8"/>
      <c r="O392" s="17"/>
      <c r="P392" s="190"/>
      <c r="Q392" s="190"/>
      <c r="R392" s="190"/>
      <c r="S392" s="190"/>
    </row>
    <row r="393" spans="1:19" x14ac:dyDescent="0.25">
      <c r="A393" s="150"/>
      <c r="B393" s="17"/>
      <c r="C393" s="17"/>
      <c r="D393" s="113"/>
      <c r="E393" s="1448" t="str">
        <f>E_EnergyFlows!E298</f>
        <v/>
      </c>
      <c r="F393" s="1448"/>
      <c r="G393" s="1448"/>
      <c r="H393" s="833" t="str">
        <f>E_EnergyFlows!H298</f>
        <v>TJ / year</v>
      </c>
      <c r="I393" s="859" t="str">
        <f>E_EnergyFlows!I298</f>
        <v/>
      </c>
      <c r="J393" s="859" t="str">
        <f>E_EnergyFlows!J298</f>
        <v/>
      </c>
      <c r="K393" s="859" t="str">
        <f>E_EnergyFlows!K298</f>
        <v/>
      </c>
      <c r="L393" s="859" t="str">
        <f>E_EnergyFlows!L298</f>
        <v/>
      </c>
      <c r="M393" s="859" t="str">
        <f>E_EnergyFlows!M298</f>
        <v/>
      </c>
      <c r="N393" s="8"/>
      <c r="O393" s="17"/>
      <c r="P393" s="190"/>
      <c r="Q393" s="190"/>
      <c r="R393" s="190"/>
      <c r="S393" s="190"/>
    </row>
    <row r="394" spans="1:19" x14ac:dyDescent="0.25">
      <c r="A394" s="150"/>
      <c r="B394" s="17"/>
      <c r="C394" s="17"/>
      <c r="D394" s="113"/>
      <c r="E394" s="1448" t="str">
        <f>E_EnergyFlows!E299</f>
        <v/>
      </c>
      <c r="F394" s="1448"/>
      <c r="G394" s="1448"/>
      <c r="H394" s="833" t="str">
        <f>E_EnergyFlows!H299</f>
        <v>TJ / year</v>
      </c>
      <c r="I394" s="859" t="str">
        <f>E_EnergyFlows!I299</f>
        <v/>
      </c>
      <c r="J394" s="859" t="str">
        <f>E_EnergyFlows!J299</f>
        <v/>
      </c>
      <c r="K394" s="859" t="str">
        <f>E_EnergyFlows!K299</f>
        <v/>
      </c>
      <c r="L394" s="859" t="str">
        <f>E_EnergyFlows!L299</f>
        <v/>
      </c>
      <c r="M394" s="859" t="str">
        <f>E_EnergyFlows!M299</f>
        <v/>
      </c>
      <c r="N394" s="8"/>
      <c r="O394" s="17"/>
      <c r="P394" s="190"/>
      <c r="Q394" s="190"/>
      <c r="R394" s="190"/>
      <c r="S394" s="190"/>
    </row>
    <row r="395" spans="1:19" x14ac:dyDescent="0.25">
      <c r="A395" s="150"/>
      <c r="B395" s="17"/>
      <c r="C395" s="17"/>
      <c r="D395" s="113"/>
      <c r="E395" s="1448" t="str">
        <f>E_EnergyFlows!E300</f>
        <v/>
      </c>
      <c r="F395" s="1448"/>
      <c r="G395" s="1448"/>
      <c r="H395" s="833" t="str">
        <f>E_EnergyFlows!H300</f>
        <v>TJ / year</v>
      </c>
      <c r="I395" s="859" t="str">
        <f>E_EnergyFlows!I300</f>
        <v/>
      </c>
      <c r="J395" s="859" t="str">
        <f>E_EnergyFlows!J300</f>
        <v/>
      </c>
      <c r="K395" s="859" t="str">
        <f>E_EnergyFlows!K300</f>
        <v/>
      </c>
      <c r="L395" s="859" t="str">
        <f>E_EnergyFlows!L300</f>
        <v/>
      </c>
      <c r="M395" s="859" t="str">
        <f>E_EnergyFlows!M300</f>
        <v/>
      </c>
      <c r="N395" s="8"/>
      <c r="O395" s="17"/>
      <c r="P395" s="190"/>
      <c r="Q395" s="190"/>
      <c r="R395" s="190"/>
      <c r="S395" s="190"/>
    </row>
    <row r="396" spans="1:19" x14ac:dyDescent="0.25">
      <c r="A396" s="150"/>
      <c r="B396" s="17"/>
      <c r="C396" s="17"/>
      <c r="D396" s="113"/>
      <c r="E396" s="1448" t="str">
        <f>E_EnergyFlows!E301</f>
        <v/>
      </c>
      <c r="F396" s="1448"/>
      <c r="G396" s="1448"/>
      <c r="H396" s="833" t="str">
        <f>E_EnergyFlows!H301</f>
        <v>TJ / year</v>
      </c>
      <c r="I396" s="859" t="str">
        <f>E_EnergyFlows!I301</f>
        <v/>
      </c>
      <c r="J396" s="859" t="str">
        <f>E_EnergyFlows!J301</f>
        <v/>
      </c>
      <c r="K396" s="859" t="str">
        <f>E_EnergyFlows!K301</f>
        <v/>
      </c>
      <c r="L396" s="859" t="str">
        <f>E_EnergyFlows!L301</f>
        <v/>
      </c>
      <c r="M396" s="859" t="str">
        <f>E_EnergyFlows!M301</f>
        <v/>
      </c>
      <c r="N396" s="8"/>
      <c r="O396" s="17"/>
      <c r="P396" s="190"/>
      <c r="Q396" s="190"/>
      <c r="R396" s="190"/>
      <c r="S396" s="190"/>
    </row>
    <row r="397" spans="1:19" x14ac:dyDescent="0.25">
      <c r="A397" s="150"/>
      <c r="B397" s="17"/>
      <c r="C397" s="17"/>
      <c r="D397" s="113"/>
      <c r="E397" s="1448" t="str">
        <f>E_EnergyFlows!E302</f>
        <v/>
      </c>
      <c r="F397" s="1448"/>
      <c r="G397" s="1448"/>
      <c r="H397" s="833" t="str">
        <f>E_EnergyFlows!H302</f>
        <v>TJ / year</v>
      </c>
      <c r="I397" s="859" t="str">
        <f>E_EnergyFlows!I302</f>
        <v/>
      </c>
      <c r="J397" s="859" t="str">
        <f>E_EnergyFlows!J302</f>
        <v/>
      </c>
      <c r="K397" s="859" t="str">
        <f>E_EnergyFlows!K302</f>
        <v/>
      </c>
      <c r="L397" s="859" t="str">
        <f>E_EnergyFlows!L302</f>
        <v/>
      </c>
      <c r="M397" s="859" t="str">
        <f>E_EnergyFlows!M302</f>
        <v/>
      </c>
      <c r="N397" s="8"/>
      <c r="O397" s="17"/>
      <c r="P397" s="190"/>
      <c r="Q397" s="190"/>
      <c r="R397" s="190"/>
      <c r="S397" s="190"/>
    </row>
    <row r="398" spans="1:19" x14ac:dyDescent="0.25">
      <c r="A398" s="150"/>
      <c r="B398" s="17"/>
      <c r="C398" s="17"/>
      <c r="D398" s="113"/>
      <c r="E398" s="1465" t="str">
        <f>E_EnergyFlows!E303</f>
        <v/>
      </c>
      <c r="F398" s="1465"/>
      <c r="G398" s="1465"/>
      <c r="H398" s="835" t="str">
        <f>E_EnergyFlows!H303</f>
        <v>TJ / year</v>
      </c>
      <c r="I398" s="861" t="str">
        <f>E_EnergyFlows!I303</f>
        <v/>
      </c>
      <c r="J398" s="861" t="str">
        <f>E_EnergyFlows!J303</f>
        <v/>
      </c>
      <c r="K398" s="861" t="str">
        <f>E_EnergyFlows!K303</f>
        <v/>
      </c>
      <c r="L398" s="861" t="str">
        <f>E_EnergyFlows!L303</f>
        <v/>
      </c>
      <c r="M398" s="861" t="str">
        <f>E_EnergyFlows!M303</f>
        <v/>
      </c>
      <c r="N398" s="8"/>
      <c r="O398" s="17"/>
      <c r="P398" s="190"/>
      <c r="Q398" s="190"/>
      <c r="R398" s="190"/>
      <c r="S398" s="190"/>
    </row>
    <row r="399" spans="1:19" ht="12.75" customHeight="1" x14ac:dyDescent="0.25">
      <c r="A399" s="150"/>
      <c r="B399" s="17"/>
      <c r="C399" s="113"/>
      <c r="D399" s="113"/>
      <c r="E399" s="1464" t="str">
        <f>E_EnergyFlows!E304</f>
        <v>Sub-total</v>
      </c>
      <c r="F399" s="1464"/>
      <c r="G399" s="1464"/>
      <c r="H399" s="227" t="str">
        <f>E_EnergyFlows!H304</f>
        <v>TJ / year</v>
      </c>
      <c r="I399" s="163" t="str">
        <f>E_EnergyFlows!I304</f>
        <v/>
      </c>
      <c r="J399" s="163" t="str">
        <f>E_EnergyFlows!J304</f>
        <v/>
      </c>
      <c r="K399" s="163" t="str">
        <f>E_EnergyFlows!K304</f>
        <v/>
      </c>
      <c r="L399" s="163" t="str">
        <f>E_EnergyFlows!L304</f>
        <v/>
      </c>
      <c r="M399" s="163" t="str">
        <f>E_EnergyFlows!M304</f>
        <v/>
      </c>
      <c r="N399" s="8"/>
      <c r="O399" s="17"/>
      <c r="P399" s="190"/>
      <c r="Q399" s="190"/>
      <c r="R399" s="190"/>
      <c r="S399" s="190"/>
    </row>
    <row r="400" spans="1:19" ht="5.0999999999999996" customHeight="1" x14ac:dyDescent="0.25">
      <c r="A400" s="150"/>
      <c r="B400" s="8"/>
      <c r="C400" s="8"/>
      <c r="D400" s="8"/>
      <c r="E400" s="8"/>
      <c r="F400" s="8"/>
      <c r="G400" s="8"/>
      <c r="H400" s="8"/>
      <c r="I400" s="8"/>
      <c r="J400" s="8"/>
      <c r="K400" s="8"/>
      <c r="L400" s="8"/>
      <c r="M400" s="8"/>
      <c r="N400" s="8"/>
      <c r="O400" s="17"/>
      <c r="P400" s="190"/>
      <c r="Q400" s="190"/>
      <c r="R400" s="190"/>
      <c r="S400" s="190"/>
    </row>
    <row r="401" spans="1:19" x14ac:dyDescent="0.25">
      <c r="A401" s="150"/>
      <c r="B401" s="8"/>
      <c r="C401" s="15"/>
      <c r="D401" s="15" t="str">
        <f>E_EnergyFlows!D306</f>
        <v>(h)</v>
      </c>
      <c r="E401" s="1447" t="str">
        <f>E_EnergyFlows!E306</f>
        <v>Waste gases consumed within fall-back sub-installations</v>
      </c>
      <c r="F401" s="1443"/>
      <c r="G401" s="1443"/>
      <c r="H401" s="1443"/>
      <c r="I401" s="1443"/>
      <c r="J401" s="1443"/>
      <c r="K401" s="1443"/>
      <c r="L401" s="1443"/>
      <c r="M401" s="1443"/>
      <c r="N401" s="1443"/>
      <c r="O401" s="17"/>
      <c r="P401" s="190"/>
      <c r="Q401" s="190"/>
      <c r="R401" s="190"/>
      <c r="S401" s="190"/>
    </row>
    <row r="402" spans="1:19" x14ac:dyDescent="0.25">
      <c r="A402" s="150"/>
      <c r="B402" s="17"/>
      <c r="C402" s="17"/>
      <c r="D402" s="17"/>
      <c r="E402" s="1447" t="str">
        <f>E_EnergyFlows!E308</f>
        <v>Type of fall-back sub-installation</v>
      </c>
      <c r="F402" s="1443"/>
      <c r="G402" s="1443"/>
      <c r="H402" s="15" t="str">
        <f>E_EnergyFlows!H308</f>
        <v>Unit</v>
      </c>
      <c r="I402" s="128">
        <f>E_EnergyFlows!I308</f>
        <v>2019</v>
      </c>
      <c r="J402" s="128">
        <f>E_EnergyFlows!J308</f>
        <v>2020</v>
      </c>
      <c r="K402" s="128">
        <f>E_EnergyFlows!K308</f>
        <v>2021</v>
      </c>
      <c r="L402" s="128">
        <f>E_EnergyFlows!L308</f>
        <v>2022</v>
      </c>
      <c r="M402" s="144">
        <f>E_EnergyFlows!M308</f>
        <v>2023</v>
      </c>
      <c r="N402" s="656"/>
      <c r="O402" s="17"/>
      <c r="P402" s="190"/>
      <c r="Q402" s="190"/>
      <c r="R402" s="190"/>
      <c r="S402" s="190"/>
    </row>
    <row r="403" spans="1:19" ht="12.75" customHeight="1" x14ac:dyDescent="0.25">
      <c r="B403" s="17"/>
      <c r="C403" s="17"/>
      <c r="D403" s="113"/>
      <c r="E403" s="1248" t="str">
        <f>E_EnergyFlows!E309</f>
        <v>Heat benchmark sub-installation, CL</v>
      </c>
      <c r="F403" s="1248"/>
      <c r="G403" s="1248"/>
      <c r="H403" s="291" t="str">
        <f>E_EnergyFlows!H309</f>
        <v>TJ / year</v>
      </c>
      <c r="I403" s="857" t="str">
        <f>E_EnergyFlows!I309</f>
        <v/>
      </c>
      <c r="J403" s="857" t="str">
        <f>E_EnergyFlows!J309</f>
        <v/>
      </c>
      <c r="K403" s="857" t="str">
        <f>E_EnergyFlows!K309</f>
        <v/>
      </c>
      <c r="L403" s="857" t="str">
        <f>E_EnergyFlows!L309</f>
        <v/>
      </c>
      <c r="M403" s="857" t="str">
        <f>E_EnergyFlows!M309</f>
        <v/>
      </c>
      <c r="N403" s="8"/>
      <c r="O403" s="17"/>
      <c r="P403" s="190"/>
      <c r="Q403" s="190"/>
      <c r="R403" s="190"/>
      <c r="S403" s="190"/>
    </row>
    <row r="404" spans="1:19" ht="12.75" customHeight="1" x14ac:dyDescent="0.25">
      <c r="B404" s="17"/>
      <c r="C404" s="17"/>
      <c r="D404" s="113"/>
      <c r="E404" s="1251" t="str">
        <f>E_EnergyFlows!E310</f>
        <v>Heat benchmark sub-installation, non-CL</v>
      </c>
      <c r="F404" s="1251"/>
      <c r="G404" s="1251"/>
      <c r="H404" s="833" t="str">
        <f>E_EnergyFlows!H310</f>
        <v>TJ / year</v>
      </c>
      <c r="I404" s="859" t="str">
        <f>E_EnergyFlows!I310</f>
        <v/>
      </c>
      <c r="J404" s="859" t="str">
        <f>E_EnergyFlows!J310</f>
        <v/>
      </c>
      <c r="K404" s="859" t="str">
        <f>E_EnergyFlows!K310</f>
        <v/>
      </c>
      <c r="L404" s="859" t="str">
        <f>E_EnergyFlows!L310</f>
        <v/>
      </c>
      <c r="M404" s="859" t="str">
        <f>E_EnergyFlows!M310</f>
        <v/>
      </c>
      <c r="N404" s="8"/>
      <c r="O404" s="17"/>
      <c r="P404" s="190"/>
      <c r="Q404" s="190"/>
      <c r="R404" s="190"/>
      <c r="S404" s="190"/>
    </row>
    <row r="405" spans="1:19" ht="12.75" customHeight="1" x14ac:dyDescent="0.25">
      <c r="B405" s="17"/>
      <c r="C405" s="17"/>
      <c r="D405" s="113"/>
      <c r="E405" s="1251" t="str">
        <f>E_EnergyFlows!E311</f>
        <v>District heating sub-installation</v>
      </c>
      <c r="F405" s="1251"/>
      <c r="G405" s="1251"/>
      <c r="H405" s="833" t="str">
        <f>E_EnergyFlows!H311</f>
        <v>TJ / year</v>
      </c>
      <c r="I405" s="859" t="str">
        <f>E_EnergyFlows!I311</f>
        <v/>
      </c>
      <c r="J405" s="859" t="str">
        <f>E_EnergyFlows!J311</f>
        <v/>
      </c>
      <c r="K405" s="859" t="str">
        <f>E_EnergyFlows!K311</f>
        <v/>
      </c>
      <c r="L405" s="859" t="str">
        <f>E_EnergyFlows!L311</f>
        <v/>
      </c>
      <c r="M405" s="859" t="str">
        <f>E_EnergyFlows!M311</f>
        <v/>
      </c>
      <c r="N405" s="8"/>
      <c r="O405" s="17"/>
      <c r="P405" s="190"/>
      <c r="Q405" s="190"/>
      <c r="R405" s="190"/>
      <c r="S405" s="190"/>
    </row>
    <row r="406" spans="1:19" ht="12.75" customHeight="1" x14ac:dyDescent="0.25">
      <c r="B406" s="17"/>
      <c r="C406" s="17"/>
      <c r="D406" s="113"/>
      <c r="E406" s="1251" t="str">
        <f>E_EnergyFlows!E312</f>
        <v>Fuel benchmark sub-installation, CL</v>
      </c>
      <c r="F406" s="1251"/>
      <c r="G406" s="1251"/>
      <c r="H406" s="833" t="str">
        <f>E_EnergyFlows!H312</f>
        <v>TJ / year</v>
      </c>
      <c r="I406" s="859" t="str">
        <f>E_EnergyFlows!I312</f>
        <v/>
      </c>
      <c r="J406" s="859" t="str">
        <f>E_EnergyFlows!J312</f>
        <v/>
      </c>
      <c r="K406" s="859" t="str">
        <f>E_EnergyFlows!K312</f>
        <v/>
      </c>
      <c r="L406" s="859" t="str">
        <f>E_EnergyFlows!L312</f>
        <v/>
      </c>
      <c r="M406" s="859" t="str">
        <f>E_EnergyFlows!M312</f>
        <v/>
      </c>
      <c r="N406" s="8"/>
      <c r="O406" s="17"/>
      <c r="P406" s="190"/>
      <c r="Q406" s="190"/>
      <c r="R406" s="190"/>
      <c r="S406" s="190"/>
    </row>
    <row r="407" spans="1:19" ht="12.75" customHeight="1" x14ac:dyDescent="0.25">
      <c r="B407" s="17"/>
      <c r="C407" s="17"/>
      <c r="D407" s="113"/>
      <c r="E407" s="1254" t="str">
        <f>E_EnergyFlows!E313</f>
        <v>Fuel benchmark sub-installation, non-CL</v>
      </c>
      <c r="F407" s="1254"/>
      <c r="G407" s="1254"/>
      <c r="H407" s="835" t="str">
        <f>E_EnergyFlows!H313</f>
        <v>TJ / year</v>
      </c>
      <c r="I407" s="861" t="str">
        <f>E_EnergyFlows!I313</f>
        <v/>
      </c>
      <c r="J407" s="861" t="str">
        <f>E_EnergyFlows!J313</f>
        <v/>
      </c>
      <c r="K407" s="861" t="str">
        <f>E_EnergyFlows!K313</f>
        <v/>
      </c>
      <c r="L407" s="861" t="str">
        <f>E_EnergyFlows!L313</f>
        <v/>
      </c>
      <c r="M407" s="861" t="str">
        <f>E_EnergyFlows!M313</f>
        <v/>
      </c>
      <c r="N407" s="8"/>
      <c r="O407" s="17"/>
      <c r="P407" s="190"/>
      <c r="Q407" s="190"/>
      <c r="R407" s="190"/>
      <c r="S407" s="190"/>
    </row>
    <row r="408" spans="1:19" ht="12.75" customHeight="1" x14ac:dyDescent="0.25">
      <c r="A408" s="150"/>
      <c r="B408" s="17"/>
      <c r="C408" s="17"/>
      <c r="D408" s="113"/>
      <c r="E408" s="1464" t="str">
        <f>E_EnergyFlows!E314</f>
        <v>Sub-total</v>
      </c>
      <c r="F408" s="1464"/>
      <c r="G408" s="1464"/>
      <c r="H408" s="864" t="str">
        <f>E_EnergyFlows!H314</f>
        <v>TJ / year</v>
      </c>
      <c r="I408" s="304" t="str">
        <f>E_EnergyFlows!I314</f>
        <v/>
      </c>
      <c r="J408" s="304" t="str">
        <f>E_EnergyFlows!J314</f>
        <v/>
      </c>
      <c r="K408" s="304" t="str">
        <f>E_EnergyFlows!K314</f>
        <v/>
      </c>
      <c r="L408" s="304" t="str">
        <f>E_EnergyFlows!L314</f>
        <v/>
      </c>
      <c r="M408" s="304" t="str">
        <f>E_EnergyFlows!M314</f>
        <v/>
      </c>
      <c r="N408" s="8"/>
      <c r="O408" s="17"/>
      <c r="P408" s="190"/>
      <c r="Q408" s="190"/>
      <c r="R408" s="190"/>
      <c r="S408" s="190"/>
    </row>
    <row r="409" spans="1:19" ht="5.0999999999999996" customHeight="1" x14ac:dyDescent="0.25">
      <c r="A409" s="150"/>
      <c r="B409" s="17"/>
      <c r="C409" s="17"/>
      <c r="D409" s="17"/>
      <c r="E409" s="17"/>
      <c r="F409" s="17"/>
      <c r="G409" s="17"/>
      <c r="H409" s="17"/>
      <c r="I409" s="17"/>
      <c r="J409" s="17"/>
      <c r="K409" s="17"/>
      <c r="L409" s="17"/>
      <c r="M409" s="17"/>
      <c r="N409" s="17"/>
      <c r="O409" s="17"/>
      <c r="P409" s="190"/>
      <c r="Q409" s="190"/>
      <c r="R409" s="190"/>
      <c r="S409" s="190"/>
    </row>
    <row r="410" spans="1:19" x14ac:dyDescent="0.25">
      <c r="A410" s="150"/>
      <c r="B410" s="8"/>
      <c r="C410" s="15"/>
      <c r="D410" s="15" t="str">
        <f>E_EnergyFlows!D316</f>
        <v>(i)</v>
      </c>
      <c r="E410" s="1447" t="str">
        <f>E_EnergyFlows!E316</f>
        <v>Amount of waste gases consumed for the production of electricity</v>
      </c>
      <c r="F410" s="1443"/>
      <c r="G410" s="1443"/>
      <c r="H410" s="1443"/>
      <c r="I410" s="1443"/>
      <c r="J410" s="1443"/>
      <c r="K410" s="1443"/>
      <c r="L410" s="1443"/>
      <c r="M410" s="1443"/>
      <c r="N410" s="1443"/>
      <c r="O410" s="17"/>
      <c r="P410" s="190"/>
      <c r="Q410" s="190"/>
      <c r="R410" s="190"/>
      <c r="S410" s="190"/>
    </row>
    <row r="411" spans="1:19" x14ac:dyDescent="0.25">
      <c r="A411" s="150"/>
      <c r="B411" s="17"/>
      <c r="C411" s="17"/>
      <c r="D411" s="17"/>
      <c r="E411" s="1449" t="str">
        <f>E_EnergyFlows!E317</f>
        <v>Waste gases for electricity</v>
      </c>
      <c r="F411" s="1454"/>
      <c r="G411" s="1454"/>
      <c r="H411" s="217" t="str">
        <f>E_EnergyFlows!H317</f>
        <v>TJ / year</v>
      </c>
      <c r="I411" s="163" t="str">
        <f>IF(ISBLANK(E_EnergyFlows!I317),"",E_EnergyFlows!I317)</f>
        <v/>
      </c>
      <c r="J411" s="163" t="str">
        <f>IF(ISBLANK(E_EnergyFlows!J317),"",E_EnergyFlows!J317)</f>
        <v/>
      </c>
      <c r="K411" s="163" t="str">
        <f>IF(ISBLANK(E_EnergyFlows!K317),"",E_EnergyFlows!K317)</f>
        <v/>
      </c>
      <c r="L411" s="163" t="str">
        <f>IF(ISBLANK(E_EnergyFlows!L317),"",E_EnergyFlows!L317)</f>
        <v/>
      </c>
      <c r="M411" s="163" t="str">
        <f>IF(ISBLANK(E_EnergyFlows!M317),"",E_EnergyFlows!M317)</f>
        <v/>
      </c>
      <c r="N411" s="8"/>
      <c r="O411" s="17"/>
      <c r="P411" s="190"/>
      <c r="Q411" s="190"/>
      <c r="R411" s="190"/>
      <c r="S411" s="190"/>
    </row>
    <row r="412" spans="1:19" ht="5.0999999999999996" customHeight="1" x14ac:dyDescent="0.25">
      <c r="A412" s="150"/>
      <c r="B412" s="8"/>
      <c r="C412" s="8"/>
      <c r="D412" s="8"/>
      <c r="E412" s="8"/>
      <c r="F412" s="8"/>
      <c r="G412" s="8"/>
      <c r="H412" s="8"/>
      <c r="I412" s="8"/>
      <c r="J412" s="8"/>
      <c r="K412" s="8"/>
      <c r="L412" s="8"/>
      <c r="M412" s="8"/>
      <c r="N412" s="8"/>
      <c r="O412" s="17"/>
      <c r="P412" s="190"/>
      <c r="Q412" s="190"/>
      <c r="R412" s="190"/>
      <c r="S412" s="190"/>
    </row>
    <row r="413" spans="1:19" ht="12.75" customHeight="1" x14ac:dyDescent="0.25">
      <c r="A413" s="150"/>
      <c r="B413" s="8"/>
      <c r="C413" s="15"/>
      <c r="D413" s="15" t="str">
        <f>E_EnergyFlows!D319</f>
        <v>(j)</v>
      </c>
      <c r="E413" s="1447" t="str">
        <f>E_EnergyFlows!E319</f>
        <v>Amount of waste gases flared other than safety flaring</v>
      </c>
      <c r="F413" s="1443"/>
      <c r="G413" s="1443"/>
      <c r="H413" s="1443"/>
      <c r="I413" s="1443"/>
      <c r="J413" s="1443"/>
      <c r="K413" s="1443"/>
      <c r="L413" s="1443"/>
      <c r="M413" s="1443"/>
      <c r="N413" s="1443"/>
      <c r="O413" s="17"/>
      <c r="P413" s="190"/>
      <c r="Q413" s="190"/>
      <c r="R413" s="190"/>
      <c r="S413" s="190"/>
    </row>
    <row r="414" spans="1:19" x14ac:dyDescent="0.25">
      <c r="A414" s="150"/>
      <c r="B414" s="17"/>
      <c r="C414" s="17"/>
      <c r="D414" s="17"/>
      <c r="E414" s="1452" t="str">
        <f>E_EnergyFlows!E322</f>
        <v>Sub-installation</v>
      </c>
      <c r="F414" s="1451"/>
      <c r="G414" s="1451"/>
      <c r="H414" s="23" t="str">
        <f>E_EnergyFlows!H322</f>
        <v>Unit</v>
      </c>
      <c r="I414" s="149">
        <f>E_EnergyFlows!I322</f>
        <v>2019</v>
      </c>
      <c r="J414" s="149">
        <f>E_EnergyFlows!J322</f>
        <v>2020</v>
      </c>
      <c r="K414" s="149">
        <f>E_EnergyFlows!K322</f>
        <v>2021</v>
      </c>
      <c r="L414" s="149">
        <f>E_EnergyFlows!L322</f>
        <v>2022</v>
      </c>
      <c r="M414" s="149">
        <f>E_EnergyFlows!M322</f>
        <v>2023</v>
      </c>
      <c r="N414" s="656"/>
      <c r="O414" s="17"/>
      <c r="P414" s="190"/>
      <c r="Q414" s="190"/>
      <c r="R414" s="190"/>
      <c r="S414" s="190"/>
    </row>
    <row r="415" spans="1:19" ht="12.75" customHeight="1" x14ac:dyDescent="0.25">
      <c r="A415" s="150"/>
      <c r="B415" s="17"/>
      <c r="C415" s="17"/>
      <c r="D415" s="113"/>
      <c r="E415" s="1463" t="str">
        <f>E_EnergyFlows!E323</f>
        <v/>
      </c>
      <c r="F415" s="1463"/>
      <c r="G415" s="1463"/>
      <c r="H415" s="291" t="str">
        <f>E_EnergyFlows!H323</f>
        <v>TJ / year</v>
      </c>
      <c r="I415" s="857" t="str">
        <f>E_EnergyFlows!I323</f>
        <v/>
      </c>
      <c r="J415" s="857" t="str">
        <f>E_EnergyFlows!J323</f>
        <v/>
      </c>
      <c r="K415" s="857" t="str">
        <f>E_EnergyFlows!K323</f>
        <v/>
      </c>
      <c r="L415" s="857" t="str">
        <f>E_EnergyFlows!L323</f>
        <v/>
      </c>
      <c r="M415" s="857" t="str">
        <f>E_EnergyFlows!M323</f>
        <v/>
      </c>
      <c r="N415" s="8"/>
      <c r="O415" s="17"/>
      <c r="P415" s="190"/>
      <c r="Q415" s="190"/>
      <c r="R415" s="190"/>
      <c r="S415" s="190"/>
    </row>
    <row r="416" spans="1:19" ht="12.75" customHeight="1" x14ac:dyDescent="0.25">
      <c r="A416" s="150"/>
      <c r="B416" s="17"/>
      <c r="C416" s="17"/>
      <c r="D416" s="113"/>
      <c r="E416" s="1448" t="str">
        <f>E_EnergyFlows!E324</f>
        <v/>
      </c>
      <c r="F416" s="1448"/>
      <c r="G416" s="1448"/>
      <c r="H416" s="833" t="str">
        <f>E_EnergyFlows!H324</f>
        <v>TJ / year</v>
      </c>
      <c r="I416" s="859" t="str">
        <f>E_EnergyFlows!I324</f>
        <v/>
      </c>
      <c r="J416" s="859" t="str">
        <f>E_EnergyFlows!J324</f>
        <v/>
      </c>
      <c r="K416" s="859" t="str">
        <f>E_EnergyFlows!K324</f>
        <v/>
      </c>
      <c r="L416" s="859" t="str">
        <f>E_EnergyFlows!L324</f>
        <v/>
      </c>
      <c r="M416" s="859" t="str">
        <f>E_EnergyFlows!M324</f>
        <v/>
      </c>
      <c r="N416" s="8"/>
      <c r="O416" s="17"/>
      <c r="P416" s="190"/>
      <c r="Q416" s="190"/>
      <c r="R416" s="190"/>
      <c r="S416" s="190"/>
    </row>
    <row r="417" spans="1:19" ht="12.75" customHeight="1" x14ac:dyDescent="0.25">
      <c r="A417" s="150"/>
      <c r="B417" s="17"/>
      <c r="C417" s="17"/>
      <c r="D417" s="113"/>
      <c r="E417" s="1448" t="str">
        <f>E_EnergyFlows!E325</f>
        <v/>
      </c>
      <c r="F417" s="1448"/>
      <c r="G417" s="1448"/>
      <c r="H417" s="833" t="str">
        <f>E_EnergyFlows!H325</f>
        <v>TJ / year</v>
      </c>
      <c r="I417" s="859" t="str">
        <f>E_EnergyFlows!I325</f>
        <v/>
      </c>
      <c r="J417" s="859" t="str">
        <f>E_EnergyFlows!J325</f>
        <v/>
      </c>
      <c r="K417" s="859" t="str">
        <f>E_EnergyFlows!K325</f>
        <v/>
      </c>
      <c r="L417" s="859" t="str">
        <f>E_EnergyFlows!L325</f>
        <v/>
      </c>
      <c r="M417" s="859" t="str">
        <f>E_EnergyFlows!M325</f>
        <v/>
      </c>
      <c r="N417" s="8"/>
      <c r="O417" s="17"/>
      <c r="P417" s="190"/>
      <c r="Q417" s="190"/>
      <c r="R417" s="190"/>
      <c r="S417" s="190"/>
    </row>
    <row r="418" spans="1:19" ht="12.75" customHeight="1" x14ac:dyDescent="0.25">
      <c r="A418" s="150"/>
      <c r="B418" s="17"/>
      <c r="C418" s="17"/>
      <c r="D418" s="113"/>
      <c r="E418" s="1448" t="str">
        <f>E_EnergyFlows!E326</f>
        <v/>
      </c>
      <c r="F418" s="1448"/>
      <c r="G418" s="1448"/>
      <c r="H418" s="833" t="str">
        <f>E_EnergyFlows!H326</f>
        <v>TJ / year</v>
      </c>
      <c r="I418" s="859" t="str">
        <f>E_EnergyFlows!I326</f>
        <v/>
      </c>
      <c r="J418" s="859" t="str">
        <f>E_EnergyFlows!J326</f>
        <v/>
      </c>
      <c r="K418" s="859" t="str">
        <f>E_EnergyFlows!K326</f>
        <v/>
      </c>
      <c r="L418" s="859" t="str">
        <f>E_EnergyFlows!L326</f>
        <v/>
      </c>
      <c r="M418" s="859" t="str">
        <f>E_EnergyFlows!M326</f>
        <v/>
      </c>
      <c r="N418" s="8"/>
      <c r="O418" s="17"/>
      <c r="P418" s="190"/>
      <c r="Q418" s="190"/>
      <c r="R418" s="190"/>
      <c r="S418" s="190"/>
    </row>
    <row r="419" spans="1:19" ht="12.75" customHeight="1" x14ac:dyDescent="0.25">
      <c r="A419" s="150"/>
      <c r="B419" s="17"/>
      <c r="C419" s="17"/>
      <c r="D419" s="113"/>
      <c r="E419" s="1448" t="str">
        <f>E_EnergyFlows!E327</f>
        <v/>
      </c>
      <c r="F419" s="1448"/>
      <c r="G419" s="1448"/>
      <c r="H419" s="833" t="str">
        <f>E_EnergyFlows!H327</f>
        <v>TJ / year</v>
      </c>
      <c r="I419" s="859" t="str">
        <f>E_EnergyFlows!I327</f>
        <v/>
      </c>
      <c r="J419" s="859" t="str">
        <f>E_EnergyFlows!J327</f>
        <v/>
      </c>
      <c r="K419" s="859" t="str">
        <f>E_EnergyFlows!K327</f>
        <v/>
      </c>
      <c r="L419" s="859" t="str">
        <f>E_EnergyFlows!L327</f>
        <v/>
      </c>
      <c r="M419" s="859" t="str">
        <f>E_EnergyFlows!M327</f>
        <v/>
      </c>
      <c r="N419" s="8"/>
      <c r="O419" s="17"/>
      <c r="P419" s="190"/>
      <c r="Q419" s="190"/>
      <c r="R419" s="190"/>
      <c r="S419" s="190"/>
    </row>
    <row r="420" spans="1:19" ht="12.75" customHeight="1" x14ac:dyDescent="0.25">
      <c r="A420" s="150"/>
      <c r="B420" s="17"/>
      <c r="C420" s="17"/>
      <c r="D420" s="113"/>
      <c r="E420" s="1448" t="str">
        <f>E_EnergyFlows!E328</f>
        <v/>
      </c>
      <c r="F420" s="1448"/>
      <c r="G420" s="1448"/>
      <c r="H420" s="833" t="str">
        <f>E_EnergyFlows!H328</f>
        <v>TJ / year</v>
      </c>
      <c r="I420" s="859" t="str">
        <f>E_EnergyFlows!I328</f>
        <v/>
      </c>
      <c r="J420" s="859" t="str">
        <f>E_EnergyFlows!J328</f>
        <v/>
      </c>
      <c r="K420" s="859" t="str">
        <f>E_EnergyFlows!K328</f>
        <v/>
      </c>
      <c r="L420" s="859" t="str">
        <f>E_EnergyFlows!L328</f>
        <v/>
      </c>
      <c r="M420" s="859" t="str">
        <f>E_EnergyFlows!M328</f>
        <v/>
      </c>
      <c r="N420" s="8"/>
      <c r="O420" s="17"/>
      <c r="P420" s="190"/>
      <c r="Q420" s="190"/>
      <c r="R420" s="190"/>
      <c r="S420" s="190"/>
    </row>
    <row r="421" spans="1:19" ht="12.75" customHeight="1" x14ac:dyDescent="0.25">
      <c r="A421" s="150"/>
      <c r="B421" s="17"/>
      <c r="C421" s="17"/>
      <c r="D421" s="113"/>
      <c r="E421" s="1448" t="str">
        <f>E_EnergyFlows!E329</f>
        <v/>
      </c>
      <c r="F421" s="1448"/>
      <c r="G421" s="1448"/>
      <c r="H421" s="833" t="str">
        <f>E_EnergyFlows!H329</f>
        <v>TJ / year</v>
      </c>
      <c r="I421" s="859" t="str">
        <f>E_EnergyFlows!I329</f>
        <v/>
      </c>
      <c r="J421" s="859" t="str">
        <f>E_EnergyFlows!J329</f>
        <v/>
      </c>
      <c r="K421" s="859" t="str">
        <f>E_EnergyFlows!K329</f>
        <v/>
      </c>
      <c r="L421" s="859" t="str">
        <f>E_EnergyFlows!L329</f>
        <v/>
      </c>
      <c r="M421" s="859" t="str">
        <f>E_EnergyFlows!M329</f>
        <v/>
      </c>
      <c r="N421" s="8"/>
      <c r="O421" s="17"/>
      <c r="P421" s="190"/>
      <c r="Q421" s="190"/>
      <c r="R421" s="190"/>
      <c r="S421" s="190"/>
    </row>
    <row r="422" spans="1:19" ht="12.75" customHeight="1" x14ac:dyDescent="0.25">
      <c r="A422" s="150"/>
      <c r="B422" s="17"/>
      <c r="C422" s="17"/>
      <c r="D422" s="113"/>
      <c r="E422" s="1448" t="str">
        <f>E_EnergyFlows!E330</f>
        <v/>
      </c>
      <c r="F422" s="1448"/>
      <c r="G422" s="1448"/>
      <c r="H422" s="833" t="str">
        <f>E_EnergyFlows!H330</f>
        <v>TJ / year</v>
      </c>
      <c r="I422" s="859" t="str">
        <f>E_EnergyFlows!I330</f>
        <v/>
      </c>
      <c r="J422" s="859" t="str">
        <f>E_EnergyFlows!J330</f>
        <v/>
      </c>
      <c r="K422" s="859" t="str">
        <f>E_EnergyFlows!K330</f>
        <v/>
      </c>
      <c r="L422" s="859" t="str">
        <f>E_EnergyFlows!L330</f>
        <v/>
      </c>
      <c r="M422" s="859" t="str">
        <f>E_EnergyFlows!M330</f>
        <v/>
      </c>
      <c r="N422" s="8"/>
      <c r="O422" s="17"/>
      <c r="P422" s="190"/>
      <c r="Q422" s="190"/>
      <c r="R422" s="190"/>
      <c r="S422" s="190"/>
    </row>
    <row r="423" spans="1:19" ht="12.75" customHeight="1" x14ac:dyDescent="0.25">
      <c r="A423" s="150"/>
      <c r="B423" s="17"/>
      <c r="C423" s="17"/>
      <c r="D423" s="113"/>
      <c r="E423" s="1448" t="str">
        <f>E_EnergyFlows!E331</f>
        <v/>
      </c>
      <c r="F423" s="1448"/>
      <c r="G423" s="1448"/>
      <c r="H423" s="833" t="str">
        <f>E_EnergyFlows!H331</f>
        <v>TJ / year</v>
      </c>
      <c r="I423" s="859" t="str">
        <f>E_EnergyFlows!I331</f>
        <v/>
      </c>
      <c r="J423" s="859" t="str">
        <f>E_EnergyFlows!J331</f>
        <v/>
      </c>
      <c r="K423" s="859" t="str">
        <f>E_EnergyFlows!K331</f>
        <v/>
      </c>
      <c r="L423" s="859" t="str">
        <f>E_EnergyFlows!L331</f>
        <v/>
      </c>
      <c r="M423" s="859" t="str">
        <f>E_EnergyFlows!M331</f>
        <v/>
      </c>
      <c r="N423" s="8"/>
      <c r="O423" s="17"/>
      <c r="P423" s="190"/>
      <c r="Q423" s="190"/>
      <c r="R423" s="190"/>
      <c r="S423" s="190"/>
    </row>
    <row r="424" spans="1:19" ht="12.75" customHeight="1" x14ac:dyDescent="0.25">
      <c r="A424" s="150"/>
      <c r="B424" s="17"/>
      <c r="C424" s="17"/>
      <c r="D424" s="113"/>
      <c r="E424" s="1465" t="str">
        <f>E_EnergyFlows!E332</f>
        <v/>
      </c>
      <c r="F424" s="1465"/>
      <c r="G424" s="1465"/>
      <c r="H424" s="835" t="str">
        <f>E_EnergyFlows!H332</f>
        <v>TJ / year</v>
      </c>
      <c r="I424" s="861" t="str">
        <f>E_EnergyFlows!I332</f>
        <v/>
      </c>
      <c r="J424" s="861" t="str">
        <f>E_EnergyFlows!J332</f>
        <v/>
      </c>
      <c r="K424" s="861" t="str">
        <f>E_EnergyFlows!K332</f>
        <v/>
      </c>
      <c r="L424" s="861" t="str">
        <f>E_EnergyFlows!L332</f>
        <v/>
      </c>
      <c r="M424" s="861" t="str">
        <f>E_EnergyFlows!M332</f>
        <v/>
      </c>
      <c r="N424" s="8"/>
      <c r="O424" s="17"/>
      <c r="P424" s="190"/>
      <c r="Q424" s="190"/>
      <c r="R424" s="190"/>
      <c r="S424" s="190"/>
    </row>
    <row r="425" spans="1:19" ht="25.5" customHeight="1" x14ac:dyDescent="0.25">
      <c r="A425" s="150"/>
      <c r="B425" s="17"/>
      <c r="C425" s="17"/>
      <c r="D425" s="113"/>
      <c r="E425" s="1464" t="str">
        <f>E_EnergyFlows!E333</f>
        <v>produced outside product BM sub-installations</v>
      </c>
      <c r="F425" s="1451"/>
      <c r="G425" s="1451"/>
      <c r="H425" s="41" t="str">
        <f>E_EnergyFlows!H333</f>
        <v>TJ / year</v>
      </c>
      <c r="I425" s="1057" t="str">
        <f>IF(ISBLANK(E_EnergyFlows!I333),"",E_EnergyFlows!I333)</f>
        <v/>
      </c>
      <c r="J425" s="1057" t="str">
        <f>IF(ISBLANK(E_EnergyFlows!J333),"",E_EnergyFlows!J333)</f>
        <v/>
      </c>
      <c r="K425" s="1057" t="str">
        <f>IF(ISBLANK(E_EnergyFlows!K333),"",E_EnergyFlows!K333)</f>
        <v/>
      </c>
      <c r="L425" s="1057" t="str">
        <f>IF(ISBLANK(E_EnergyFlows!L333),"",E_EnergyFlows!L333)</f>
        <v/>
      </c>
      <c r="M425" s="1057" t="str">
        <f>IF(ISBLANK(E_EnergyFlows!M333),"",E_EnergyFlows!M333)</f>
        <v/>
      </c>
      <c r="N425" s="8"/>
      <c r="O425" s="17"/>
      <c r="P425" s="190"/>
      <c r="Q425" s="190"/>
      <c r="R425" s="190"/>
      <c r="S425" s="190"/>
    </row>
    <row r="426" spans="1:19" ht="12.75" customHeight="1" x14ac:dyDescent="0.25">
      <c r="A426" s="150"/>
      <c r="B426" s="17"/>
      <c r="C426" s="17"/>
      <c r="D426" s="113"/>
      <c r="E426" s="1464" t="str">
        <f>E_EnergyFlows!E334</f>
        <v>Sub-total</v>
      </c>
      <c r="F426" s="1464"/>
      <c r="G426" s="1464"/>
      <c r="H426" s="217" t="str">
        <f>E_EnergyFlows!H334</f>
        <v>TJ / year</v>
      </c>
      <c r="I426" s="818" t="str">
        <f>E_EnergyFlows!I334</f>
        <v/>
      </c>
      <c r="J426" s="818" t="str">
        <f>E_EnergyFlows!J334</f>
        <v/>
      </c>
      <c r="K426" s="818" t="str">
        <f>E_EnergyFlows!K334</f>
        <v/>
      </c>
      <c r="L426" s="818" t="str">
        <f>E_EnergyFlows!L334</f>
        <v/>
      </c>
      <c r="M426" s="818" t="str">
        <f>E_EnergyFlows!M334</f>
        <v/>
      </c>
      <c r="N426" s="8"/>
      <c r="O426" s="17"/>
      <c r="P426" s="190"/>
      <c r="Q426" s="190"/>
      <c r="R426" s="190"/>
      <c r="S426" s="190"/>
    </row>
    <row r="427" spans="1:19" ht="5.0999999999999996" customHeight="1" x14ac:dyDescent="0.25">
      <c r="A427" s="150"/>
      <c r="B427" s="8"/>
      <c r="C427" s="8"/>
      <c r="D427" s="8"/>
      <c r="E427" s="8"/>
      <c r="F427" s="8"/>
      <c r="G427" s="8"/>
      <c r="H427" s="8"/>
      <c r="I427" s="8"/>
      <c r="J427" s="8"/>
      <c r="K427" s="8"/>
      <c r="L427" s="8"/>
      <c r="M427" s="8"/>
      <c r="N427" s="8"/>
      <c r="O427" s="17"/>
      <c r="P427" s="190"/>
      <c r="Q427" s="190"/>
      <c r="R427" s="190"/>
      <c r="S427" s="190"/>
    </row>
    <row r="428" spans="1:19" ht="12.75" customHeight="1" x14ac:dyDescent="0.25">
      <c r="A428" s="150"/>
      <c r="B428" s="8"/>
      <c r="C428" s="15"/>
      <c r="D428" s="15" t="str">
        <f>E_EnergyFlows!D336</f>
        <v>(k)</v>
      </c>
      <c r="E428" s="1447" t="str">
        <f>E_EnergyFlows!E336</f>
        <v>Plausibility check</v>
      </c>
      <c r="F428" s="1443"/>
      <c r="G428" s="1443"/>
      <c r="H428" s="1443"/>
      <c r="I428" s="1443"/>
      <c r="J428" s="1443"/>
      <c r="K428" s="1443"/>
      <c r="L428" s="1443"/>
      <c r="M428" s="1443"/>
      <c r="N428" s="1443"/>
      <c r="O428" s="17"/>
      <c r="P428" s="190"/>
      <c r="Q428" s="190"/>
      <c r="R428" s="190"/>
      <c r="S428" s="190"/>
    </row>
    <row r="429" spans="1:19" ht="12.75" customHeight="1" x14ac:dyDescent="0.25">
      <c r="A429" s="150"/>
      <c r="B429" s="17"/>
      <c r="C429" s="17"/>
      <c r="D429" s="113"/>
      <c r="E429" s="1449" t="str">
        <f>E_EnergyFlows!E338</f>
        <v>Difference (calculated)</v>
      </c>
      <c r="F429" s="1454"/>
      <c r="G429" s="1454"/>
      <c r="H429" s="217" t="str">
        <f>E_EnergyFlows!H338</f>
        <v>TJ / year</v>
      </c>
      <c r="I429" s="818" t="str">
        <f>E_EnergyFlows!I338</f>
        <v/>
      </c>
      <c r="J429" s="818" t="str">
        <f>E_EnergyFlows!J338</f>
        <v/>
      </c>
      <c r="K429" s="818" t="str">
        <f>E_EnergyFlows!K338</f>
        <v/>
      </c>
      <c r="L429" s="818" t="str">
        <f>E_EnergyFlows!L338</f>
        <v/>
      </c>
      <c r="M429" s="818" t="str">
        <f>E_EnergyFlows!M338</f>
        <v/>
      </c>
      <c r="N429" s="8"/>
      <c r="O429" s="17"/>
      <c r="P429" s="190"/>
      <c r="Q429" s="190"/>
      <c r="R429" s="190"/>
      <c r="S429" s="190"/>
    </row>
    <row r="430" spans="1:19" ht="12.75" customHeight="1" x14ac:dyDescent="0.25">
      <c r="A430" s="150"/>
      <c r="B430" s="17"/>
      <c r="C430" s="17"/>
      <c r="D430" s="113"/>
      <c r="E430" s="1449" t="str">
        <f>E_EnergyFlows!E339</f>
        <v>Difference (as fraction of f)</v>
      </c>
      <c r="F430" s="1454"/>
      <c r="G430" s="1454"/>
      <c r="H430" s="217" t="str">
        <f>E_EnergyFlows!H339</f>
        <v>%</v>
      </c>
      <c r="I430" s="304" t="str">
        <f>E_EnergyFlows!I339</f>
        <v/>
      </c>
      <c r="J430" s="304" t="str">
        <f>E_EnergyFlows!J339</f>
        <v/>
      </c>
      <c r="K430" s="304" t="str">
        <f>E_EnergyFlows!K339</f>
        <v/>
      </c>
      <c r="L430" s="304" t="str">
        <f>E_EnergyFlows!L339</f>
        <v/>
      </c>
      <c r="M430" s="304" t="str">
        <f>E_EnergyFlows!M339</f>
        <v/>
      </c>
      <c r="N430" s="8"/>
      <c r="O430" s="17"/>
      <c r="P430" s="190"/>
      <c r="Q430" s="190"/>
      <c r="R430" s="190"/>
      <c r="S430" s="190"/>
    </row>
    <row r="431" spans="1:19" ht="12.75" customHeight="1" x14ac:dyDescent="0.25">
      <c r="B431" s="17"/>
      <c r="C431" s="17"/>
      <c r="D431" s="17"/>
      <c r="E431" s="17"/>
      <c r="F431" s="17"/>
      <c r="G431" s="17"/>
      <c r="H431" s="17"/>
      <c r="I431" s="17"/>
      <c r="J431" s="17"/>
      <c r="K431" s="17"/>
      <c r="L431" s="17"/>
      <c r="M431" s="17"/>
      <c r="N431" s="17"/>
      <c r="O431" s="17"/>
      <c r="P431" s="190"/>
      <c r="Q431" s="190"/>
      <c r="R431" s="190"/>
      <c r="S431" s="190"/>
    </row>
    <row r="432" spans="1:19" ht="13.8" x14ac:dyDescent="0.25">
      <c r="A432" s="150"/>
      <c r="B432" s="8"/>
      <c r="C432" s="19">
        <v>8</v>
      </c>
      <c r="D432" s="1462" t="str">
        <f>E_EnergyFlows!D343</f>
        <v>Complete balance of electricity at the installation</v>
      </c>
      <c r="E432" s="1443"/>
      <c r="F432" s="1443"/>
      <c r="G432" s="1443"/>
      <c r="H432" s="1443"/>
      <c r="I432" s="1443"/>
      <c r="J432" s="1443"/>
      <c r="K432" s="1443"/>
      <c r="L432" s="1443"/>
      <c r="M432" s="1443"/>
      <c r="N432" s="1443"/>
      <c r="O432" s="17"/>
      <c r="P432" s="190"/>
      <c r="Q432" s="190"/>
      <c r="R432" s="190"/>
      <c r="S432" s="190"/>
    </row>
    <row r="433" spans="1:20" ht="5.0999999999999996" customHeight="1" x14ac:dyDescent="0.25">
      <c r="A433" s="150"/>
      <c r="B433" s="8"/>
      <c r="C433" s="8"/>
      <c r="D433" s="8"/>
      <c r="E433" s="8"/>
      <c r="F433" s="8"/>
      <c r="G433" s="8"/>
      <c r="H433" s="8"/>
      <c r="I433" s="8"/>
      <c r="J433" s="8"/>
      <c r="K433" s="8"/>
      <c r="L433" s="8"/>
      <c r="M433" s="8"/>
      <c r="N433" s="8"/>
      <c r="O433" s="17"/>
      <c r="P433" s="190"/>
      <c r="Q433" s="190"/>
      <c r="R433" s="190"/>
      <c r="S433" s="190"/>
    </row>
    <row r="434" spans="1:20" ht="13.5" customHeight="1" x14ac:dyDescent="0.25">
      <c r="B434" s="17"/>
      <c r="C434" s="17"/>
      <c r="D434" s="15"/>
      <c r="E434" s="1208" t="str">
        <f>E_EnergyFlows!E345</f>
        <v>Does the installation produce electricity?</v>
      </c>
      <c r="F434" s="1208"/>
      <c r="G434" s="1208"/>
      <c r="H434" s="1208"/>
      <c r="I434" s="1208"/>
      <c r="J434" s="1208"/>
      <c r="K434" s="1433"/>
      <c r="L434" s="1714" t="str">
        <f>IF(ISBLANK(E_EnergyFlows!M345),"",E_EnergyFlows!M345)</f>
        <v/>
      </c>
      <c r="M434" s="1715"/>
      <c r="N434" s="276"/>
      <c r="O434" s="17"/>
      <c r="P434" s="190"/>
      <c r="Q434" s="190"/>
      <c r="R434" s="190"/>
      <c r="S434" s="190"/>
    </row>
    <row r="435" spans="1:20" ht="5.0999999999999996" customHeight="1" x14ac:dyDescent="0.25">
      <c r="A435" s="150"/>
      <c r="B435" s="8"/>
      <c r="C435" s="8"/>
      <c r="D435" s="15"/>
      <c r="E435" s="1447"/>
      <c r="F435" s="1443"/>
      <c r="G435" s="1443"/>
      <c r="H435" s="1443"/>
      <c r="I435" s="1443"/>
      <c r="J435" s="1443"/>
      <c r="K435" s="1443"/>
      <c r="L435" s="1443"/>
      <c r="M435" s="1443"/>
      <c r="N435" s="1443"/>
      <c r="O435" s="17"/>
      <c r="P435" s="190"/>
      <c r="Q435" s="190"/>
      <c r="R435" s="190"/>
      <c r="S435" s="190"/>
    </row>
    <row r="436" spans="1:20" x14ac:dyDescent="0.25">
      <c r="A436" s="150"/>
      <c r="B436" s="17"/>
      <c r="C436" s="17"/>
      <c r="D436" s="17"/>
      <c r="E436" s="22"/>
      <c r="F436" s="78"/>
      <c r="G436" s="78"/>
      <c r="H436" s="23" t="str">
        <f>E_EnergyFlows!H350</f>
        <v>Unit</v>
      </c>
      <c r="I436" s="128">
        <f>E_EnergyFlows!I350</f>
        <v>2019</v>
      </c>
      <c r="J436" s="128">
        <f>E_EnergyFlows!J350</f>
        <v>2020</v>
      </c>
      <c r="K436" s="128">
        <f>E_EnergyFlows!K350</f>
        <v>2021</v>
      </c>
      <c r="L436" s="128">
        <f>E_EnergyFlows!L350</f>
        <v>2022</v>
      </c>
      <c r="M436" s="128">
        <f>E_EnergyFlows!M350</f>
        <v>2023</v>
      </c>
      <c r="N436" s="17"/>
      <c r="O436" s="17"/>
      <c r="P436" s="190"/>
      <c r="Q436" s="190"/>
      <c r="R436" s="190"/>
      <c r="S436" s="190"/>
    </row>
    <row r="437" spans="1:20" x14ac:dyDescent="0.25">
      <c r="A437" s="150"/>
      <c r="B437" s="17"/>
      <c r="C437" s="17"/>
      <c r="D437" s="113"/>
      <c r="E437" s="1449" t="str">
        <f>E_EnergyFlows!E351</f>
        <v>Net electricity produced from fuels</v>
      </c>
      <c r="F437" s="1449"/>
      <c r="G437" s="1449"/>
      <c r="H437" s="43" t="str">
        <f>E_EnergyFlows!H351</f>
        <v>MWh / year</v>
      </c>
      <c r="I437" s="163" t="str">
        <f>IF(ISBLANK(E_EnergyFlows!I351),"",E_EnergyFlows!I351)</f>
        <v/>
      </c>
      <c r="J437" s="163" t="str">
        <f>IF(ISBLANK(E_EnergyFlows!J351),"",E_EnergyFlows!J351)</f>
        <v/>
      </c>
      <c r="K437" s="163" t="str">
        <f>IF(ISBLANK(E_EnergyFlows!K351),"",E_EnergyFlows!K351)</f>
        <v/>
      </c>
      <c r="L437" s="163" t="str">
        <f>IF(ISBLANK(E_EnergyFlows!L351),"",E_EnergyFlows!L351)</f>
        <v/>
      </c>
      <c r="M437" s="163" t="str">
        <f>IF(ISBLANK(E_EnergyFlows!M351),"",E_EnergyFlows!M351)</f>
        <v/>
      </c>
      <c r="N437" s="17"/>
      <c r="O437" s="17"/>
      <c r="P437" s="190"/>
      <c r="Q437" s="190"/>
      <c r="R437" s="190"/>
      <c r="S437" s="190"/>
    </row>
    <row r="438" spans="1:20" x14ac:dyDescent="0.25">
      <c r="A438" s="150"/>
      <c r="B438" s="17"/>
      <c r="C438" s="17"/>
      <c r="D438" s="113"/>
      <c r="E438" s="1449" t="str">
        <f>E_EnergyFlows!E352</f>
        <v>Other electricity produced</v>
      </c>
      <c r="F438" s="1449"/>
      <c r="G438" s="1449"/>
      <c r="H438" s="43" t="str">
        <f>E_EnergyFlows!H352</f>
        <v>MWh / year</v>
      </c>
      <c r="I438" s="163" t="str">
        <f>IF(ISBLANK(E_EnergyFlows!I352),"",E_EnergyFlows!I352)</f>
        <v/>
      </c>
      <c r="J438" s="163" t="str">
        <f>IF(ISBLANK(E_EnergyFlows!J352),"",E_EnergyFlows!J352)</f>
        <v/>
      </c>
      <c r="K438" s="163" t="str">
        <f>IF(ISBLANK(E_EnergyFlows!K352),"",E_EnergyFlows!K352)</f>
        <v/>
      </c>
      <c r="L438" s="163" t="str">
        <f>IF(ISBLANK(E_EnergyFlows!L352),"",E_EnergyFlows!L352)</f>
        <v/>
      </c>
      <c r="M438" s="163" t="str">
        <f>IF(ISBLANK(E_EnergyFlows!M352),"",E_EnergyFlows!M352)</f>
        <v/>
      </c>
      <c r="N438" s="17"/>
      <c r="O438" s="17"/>
      <c r="P438" s="190"/>
      <c r="Q438" s="190"/>
      <c r="R438" s="190"/>
      <c r="S438" s="190"/>
    </row>
    <row r="439" spans="1:20" x14ac:dyDescent="0.25">
      <c r="A439" s="150"/>
      <c r="B439" s="17"/>
      <c r="C439" s="17"/>
      <c r="D439" s="17"/>
      <c r="E439" s="1449" t="str">
        <f>E_EnergyFlows!E355</f>
        <v>Electricity imported</v>
      </c>
      <c r="F439" s="1449"/>
      <c r="G439" s="1449"/>
      <c r="H439" s="43" t="str">
        <f>E_EnergyFlows!H355</f>
        <v>MWh / year</v>
      </c>
      <c r="I439" s="163" t="str">
        <f>IF(ISBLANK(E_EnergyFlows!I355),"",E_EnergyFlows!I355)</f>
        <v/>
      </c>
      <c r="J439" s="163" t="str">
        <f>IF(ISBLANK(E_EnergyFlows!J355),"",E_EnergyFlows!J355)</f>
        <v/>
      </c>
      <c r="K439" s="163" t="str">
        <f>IF(ISBLANK(E_EnergyFlows!K355),"",E_EnergyFlows!K355)</f>
        <v/>
      </c>
      <c r="L439" s="163" t="str">
        <f>IF(ISBLANK(E_EnergyFlows!L355),"",E_EnergyFlows!L355)</f>
        <v/>
      </c>
      <c r="M439" s="163" t="str">
        <f>IF(ISBLANK(E_EnergyFlows!M355),"",E_EnergyFlows!M355)</f>
        <v/>
      </c>
      <c r="N439" s="17"/>
      <c r="O439" s="17"/>
      <c r="P439" s="190"/>
      <c r="Q439" s="190"/>
      <c r="R439" s="190"/>
      <c r="S439" s="190"/>
    </row>
    <row r="440" spans="1:20" x14ac:dyDescent="0.25">
      <c r="A440" s="150"/>
      <c r="B440" s="17"/>
      <c r="C440" s="17"/>
      <c r="D440" s="17"/>
      <c r="E440" s="1449" t="str">
        <f>E_EnergyFlows!E358</f>
        <v>Electricity exported</v>
      </c>
      <c r="F440" s="1449"/>
      <c r="G440" s="1449"/>
      <c r="H440" s="43" t="str">
        <f>E_EnergyFlows!H358</f>
        <v>MWh / year</v>
      </c>
      <c r="I440" s="163" t="str">
        <f>IF(ISBLANK(E_EnergyFlows!I358),"",E_EnergyFlows!I358)</f>
        <v/>
      </c>
      <c r="J440" s="163" t="str">
        <f>IF(ISBLANK(E_EnergyFlows!J358),"",E_EnergyFlows!J358)</f>
        <v/>
      </c>
      <c r="K440" s="163" t="str">
        <f>IF(ISBLANK(E_EnergyFlows!K358),"",E_EnergyFlows!K358)</f>
        <v/>
      </c>
      <c r="L440" s="163" t="str">
        <f>IF(ISBLANK(E_EnergyFlows!L358),"",E_EnergyFlows!L358)</f>
        <v/>
      </c>
      <c r="M440" s="163" t="str">
        <f>IF(ISBLANK(E_EnergyFlows!M358),"",E_EnergyFlows!M358)</f>
        <v/>
      </c>
      <c r="N440" s="17"/>
      <c r="O440" s="17"/>
      <c r="P440" s="190"/>
      <c r="Q440" s="190"/>
      <c r="R440" s="190"/>
      <c r="S440" s="190"/>
    </row>
    <row r="441" spans="1:20" x14ac:dyDescent="0.25">
      <c r="A441" s="150"/>
      <c r="B441" s="17"/>
      <c r="C441" s="17"/>
      <c r="D441" s="17"/>
      <c r="E441" s="1449" t="str">
        <f>E_EnergyFlows!E361</f>
        <v>Electricity useable</v>
      </c>
      <c r="F441" s="1449"/>
      <c r="G441" s="1449"/>
      <c r="H441" s="43" t="str">
        <f>E_EnergyFlows!H361</f>
        <v>MWh / year</v>
      </c>
      <c r="I441" s="818" t="str">
        <f>E_EnergyFlows!I361</f>
        <v/>
      </c>
      <c r="J441" s="818" t="str">
        <f>E_EnergyFlows!J361</f>
        <v/>
      </c>
      <c r="K441" s="818" t="str">
        <f>E_EnergyFlows!K361</f>
        <v/>
      </c>
      <c r="L441" s="818" t="str">
        <f>E_EnergyFlows!L361</f>
        <v/>
      </c>
      <c r="M441" s="818" t="str">
        <f>E_EnergyFlows!M361</f>
        <v/>
      </c>
      <c r="N441" s="17"/>
      <c r="O441" s="17"/>
      <c r="P441" s="190"/>
      <c r="Q441" s="190"/>
      <c r="R441" s="190"/>
      <c r="S441" s="190"/>
    </row>
    <row r="442" spans="1:20" x14ac:dyDescent="0.25">
      <c r="A442" s="150"/>
      <c r="B442" s="17"/>
      <c r="C442" s="17"/>
      <c r="D442" s="17"/>
      <c r="E442" s="1449" t="str">
        <f>E_EnergyFlows!E364</f>
        <v>Electricity consumed in the installation</v>
      </c>
      <c r="F442" s="1449"/>
      <c r="G442" s="1449"/>
      <c r="H442" s="43" t="str">
        <f>E_EnergyFlows!H364</f>
        <v>MWh / year</v>
      </c>
      <c r="I442" s="163" t="str">
        <f>IF(ISBLANK(E_EnergyFlows!I364),"",E_EnergyFlows!I364)</f>
        <v/>
      </c>
      <c r="J442" s="163" t="str">
        <f>IF(ISBLANK(E_EnergyFlows!J364),"",E_EnergyFlows!J364)</f>
        <v/>
      </c>
      <c r="K442" s="163" t="str">
        <f>IF(ISBLANK(E_EnergyFlows!K364),"",E_EnergyFlows!K364)</f>
        <v/>
      </c>
      <c r="L442" s="163" t="str">
        <f>IF(ISBLANK(E_EnergyFlows!L364),"",E_EnergyFlows!L364)</f>
        <v/>
      </c>
      <c r="M442" s="163" t="str">
        <f>IF(ISBLANK(E_EnergyFlows!M364),"",E_EnergyFlows!M364)</f>
        <v/>
      </c>
      <c r="N442" s="17"/>
      <c r="O442" s="17"/>
      <c r="P442" s="190"/>
      <c r="Q442" s="190"/>
      <c r="R442" s="190"/>
      <c r="S442" s="190"/>
    </row>
    <row r="443" spans="1:20" ht="12.75" customHeight="1" x14ac:dyDescent="0.25">
      <c r="B443" s="17"/>
      <c r="C443" s="17"/>
      <c r="D443" s="17"/>
      <c r="E443" s="17"/>
      <c r="F443" s="17"/>
      <c r="G443" s="17"/>
      <c r="H443" s="17"/>
      <c r="I443" s="17"/>
      <c r="J443" s="17"/>
      <c r="K443" s="17"/>
      <c r="L443" s="17"/>
      <c r="M443" s="17"/>
      <c r="N443" s="17"/>
      <c r="O443" s="17"/>
      <c r="P443" s="9"/>
      <c r="Q443" s="9"/>
      <c r="R443" s="9"/>
      <c r="S443" s="9"/>
      <c r="T443" s="9"/>
    </row>
    <row r="444" spans="1:20" ht="16.2" thickBot="1" x14ac:dyDescent="0.35">
      <c r="B444" s="8"/>
      <c r="C444" s="13" t="s">
        <v>6</v>
      </c>
      <c r="D444" s="14" t="str">
        <f>Translations!$B$1201</f>
        <v>Sub-installation data relevant for allocation and benchmark update purposes</v>
      </c>
      <c r="E444" s="14"/>
      <c r="F444" s="14"/>
      <c r="G444" s="14"/>
      <c r="H444" s="14"/>
      <c r="I444" s="14"/>
      <c r="J444" s="14"/>
      <c r="K444" s="14"/>
      <c r="L444" s="14"/>
      <c r="M444" s="14"/>
      <c r="N444" s="14"/>
      <c r="O444" s="17"/>
      <c r="P444" s="9"/>
      <c r="Q444" s="9"/>
      <c r="R444" s="9"/>
      <c r="S444" s="9"/>
      <c r="T444" s="9"/>
    </row>
    <row r="445" spans="1:20" ht="5.0999999999999996" customHeight="1" x14ac:dyDescent="0.25">
      <c r="B445" s="17"/>
      <c r="C445" s="906"/>
      <c r="D445" s="906"/>
      <c r="E445" s="906"/>
      <c r="F445" s="906"/>
      <c r="G445" s="906"/>
      <c r="H445" s="906"/>
      <c r="I445" s="906"/>
      <c r="J445" s="906"/>
      <c r="K445" s="906"/>
      <c r="L445" s="906"/>
      <c r="M445" s="906"/>
      <c r="N445" s="906"/>
      <c r="O445" s="17"/>
      <c r="T445" s="9"/>
    </row>
    <row r="446" spans="1:20" ht="13.8" x14ac:dyDescent="0.25">
      <c r="B446" s="17"/>
      <c r="C446" s="17"/>
      <c r="D446" s="1234" t="str">
        <f>Translations!$B$1202</f>
        <v>Calculation of the indicative number of allowances</v>
      </c>
      <c r="E446" s="1234"/>
      <c r="F446" s="1234"/>
      <c r="G446" s="1234"/>
      <c r="H446" s="1234"/>
      <c r="I446" s="1234"/>
      <c r="J446" s="1234"/>
      <c r="K446" s="1234"/>
      <c r="L446" s="1234"/>
      <c r="M446" s="1234"/>
      <c r="N446" s="1234"/>
      <c r="O446" s="17"/>
      <c r="T446" s="9"/>
    </row>
    <row r="447" spans="1:20" ht="5.0999999999999996" customHeight="1" x14ac:dyDescent="0.25">
      <c r="B447" s="17"/>
      <c r="C447" s="8"/>
      <c r="D447" s="8"/>
      <c r="E447" s="8"/>
      <c r="F447" s="8"/>
      <c r="G447" s="8"/>
      <c r="H447" s="8"/>
      <c r="I447" s="8"/>
      <c r="J447" s="8"/>
      <c r="K447" s="8"/>
      <c r="L447" s="8"/>
      <c r="M447" s="8"/>
      <c r="N447" s="8"/>
      <c r="O447" s="17"/>
      <c r="T447" s="9"/>
    </row>
    <row r="448" spans="1:20" ht="12.75" customHeight="1" x14ac:dyDescent="0.25">
      <c r="B448" s="8"/>
      <c r="C448" s="8"/>
      <c r="D448" s="1707" t="str">
        <f>Translations!$B$1203</f>
        <v>The following abbreviations are used in the tables below:</v>
      </c>
      <c r="E448" s="1707"/>
      <c r="F448" s="1707"/>
      <c r="G448" s="1707"/>
      <c r="H448" s="1707"/>
      <c r="I448" s="1707"/>
      <c r="J448" s="1707"/>
      <c r="K448" s="1707"/>
      <c r="L448" s="1707"/>
      <c r="M448" s="1707"/>
      <c r="N448" s="1707"/>
      <c r="O448" s="17"/>
      <c r="P448" s="9"/>
    </row>
    <row r="449" spans="1:20" ht="12.75" customHeight="1" x14ac:dyDescent="0.25">
      <c r="B449" s="8"/>
      <c r="C449" s="8"/>
      <c r="D449" s="1713" t="str">
        <f>Translations!$B$1204</f>
        <v>CL-exposed</v>
      </c>
      <c r="E449" s="1713"/>
      <c r="F449" s="1708" t="str">
        <f>Translations!$B$1205</f>
        <v>Carbon leakage exposure. "True" if the sub-installation serves a sector deemed to be exposed to a significant risk of carbon leakage.</v>
      </c>
      <c r="G449" s="1708"/>
      <c r="H449" s="1708"/>
      <c r="I449" s="1708"/>
      <c r="J449" s="1708"/>
      <c r="K449" s="1708"/>
      <c r="L449" s="1708"/>
      <c r="M449" s="1708"/>
      <c r="N449" s="1708"/>
      <c r="O449" s="17"/>
      <c r="P449" s="9"/>
    </row>
    <row r="450" spans="1:20" ht="12.75" customHeight="1" x14ac:dyDescent="0.25">
      <c r="B450" s="8"/>
      <c r="C450" s="8"/>
      <c r="D450" s="1713" t="str">
        <f>Translations!$B$1206</f>
        <v>No. of BM</v>
      </c>
      <c r="E450" s="1713"/>
      <c r="F450" s="1708" t="str">
        <f>Translations!$B$1207</f>
        <v>Number of the Benchmark</v>
      </c>
      <c r="G450" s="1708"/>
      <c r="H450" s="1708"/>
      <c r="I450" s="1708"/>
      <c r="J450" s="1708"/>
      <c r="K450" s="1708"/>
      <c r="L450" s="1708"/>
      <c r="M450" s="1708"/>
      <c r="N450" s="1708"/>
      <c r="O450" s="17"/>
      <c r="P450" s="9"/>
    </row>
    <row r="451" spans="1:20" ht="12.75" customHeight="1" x14ac:dyDescent="0.25">
      <c r="B451" s="8"/>
      <c r="C451" s="8"/>
      <c r="D451" s="1713" t="str">
        <f>Translations!$B$1208</f>
        <v>Started</v>
      </c>
      <c r="E451" s="1713"/>
      <c r="F451" s="1708" t="str">
        <f>Translations!$B$1209</f>
        <v>Start of operation of the sub-installation</v>
      </c>
      <c r="G451" s="1708"/>
      <c r="H451" s="1708"/>
      <c r="I451" s="1708"/>
      <c r="J451" s="1708"/>
      <c r="K451" s="1708"/>
      <c r="L451" s="1708"/>
      <c r="M451" s="1708"/>
      <c r="N451" s="1708"/>
      <c r="O451" s="17"/>
      <c r="P451" s="9"/>
    </row>
    <row r="452" spans="1:20" ht="25.5" customHeight="1" x14ac:dyDescent="0.25">
      <c r="B452" s="8"/>
      <c r="C452" s="8"/>
      <c r="D452" s="1713" t="str">
        <f>Translations!$B$1210</f>
        <v>BM value</v>
      </c>
      <c r="E452" s="1752"/>
      <c r="F452" s="1708" t="s">
        <v>628</v>
      </c>
      <c r="G452" s="1708"/>
      <c r="H452" s="1708"/>
      <c r="I452" s="1708"/>
      <c r="J452" s="1708"/>
      <c r="K452" s="1708"/>
      <c r="L452" s="1708"/>
      <c r="M452" s="1708"/>
      <c r="N452" s="1708"/>
      <c r="O452" s="17"/>
      <c r="P452" s="9"/>
    </row>
    <row r="453" spans="1:20" ht="12.75" customHeight="1" x14ac:dyDescent="0.25">
      <c r="B453" s="8"/>
      <c r="C453" s="8"/>
      <c r="D453" s="1713" t="str">
        <f>Translations!$B$1212</f>
        <v>15(7).3?</v>
      </c>
      <c r="E453" s="1713"/>
      <c r="F453" s="1708" t="str">
        <f>Translations!$B$1213</f>
        <v>Is the third sub-paragraph of Article 15(7) of the FAR relevant (i.e. has the sub-installation been operated less than one year in the baseline period)?</v>
      </c>
      <c r="G453" s="1708"/>
      <c r="H453" s="1708"/>
      <c r="I453" s="1708"/>
      <c r="J453" s="1708"/>
      <c r="K453" s="1708"/>
      <c r="L453" s="1708"/>
      <c r="M453" s="1708"/>
      <c r="N453" s="1708"/>
      <c r="O453" s="17"/>
      <c r="P453" s="9"/>
    </row>
    <row r="454" spans="1:20" ht="12.75" customHeight="1" x14ac:dyDescent="0.25">
      <c r="B454" s="8"/>
      <c r="C454" s="8"/>
      <c r="D454" s="1713" t="str">
        <f>Translations!$B$1214</f>
        <v>15(7).3 HAL</v>
      </c>
      <c r="E454" s="1713"/>
      <c r="F454" s="1708" t="str">
        <f>Translations!$B$1215</f>
        <v>The historic activity level, if the third sub-paragraph of Article 15(7) applies. Note that this value will only be known after the first activity level report will be submitted.</v>
      </c>
      <c r="G454" s="1708"/>
      <c r="H454" s="1708"/>
      <c r="I454" s="1708"/>
      <c r="J454" s="1708"/>
      <c r="K454" s="1708"/>
      <c r="L454" s="1708"/>
      <c r="M454" s="1708"/>
      <c r="N454" s="1708"/>
      <c r="O454" s="17"/>
      <c r="P454" s="9"/>
    </row>
    <row r="455" spans="1:20" ht="12.75" customHeight="1" x14ac:dyDescent="0.25">
      <c r="B455" s="8"/>
      <c r="C455" s="8"/>
      <c r="D455" s="1713" t="s">
        <v>629</v>
      </c>
      <c r="E455" s="1713"/>
      <c r="F455" s="1708" t="str">
        <f>Translations!$B$1216</f>
        <v>Is exchangeability of electricity and fuel relevant for this sub-installation?</v>
      </c>
      <c r="G455" s="1708"/>
      <c r="H455" s="1708"/>
      <c r="I455" s="1708"/>
      <c r="J455" s="1708"/>
      <c r="K455" s="1708"/>
      <c r="L455" s="1708"/>
      <c r="M455" s="1708"/>
      <c r="N455" s="1708"/>
      <c r="O455" s="17"/>
      <c r="P455" s="9"/>
    </row>
    <row r="456" spans="1:20" ht="12.75" customHeight="1" x14ac:dyDescent="0.25">
      <c r="B456" s="8"/>
      <c r="C456" s="8"/>
      <c r="D456" s="1713" t="s">
        <v>630</v>
      </c>
      <c r="E456" s="1713"/>
      <c r="F456" s="1708" t="str">
        <f>Translations!$B$1217</f>
        <v>Calculation factor for taking into account the exchangeability of electricity and fuel in accordance with Article 22 of the FAR</v>
      </c>
      <c r="G456" s="1708"/>
      <c r="H456" s="1708"/>
      <c r="I456" s="1708"/>
      <c r="J456" s="1708"/>
      <c r="K456" s="1708"/>
      <c r="L456" s="1708"/>
      <c r="M456" s="1708"/>
      <c r="N456" s="1708"/>
      <c r="O456" s="17"/>
      <c r="P456" s="9"/>
    </row>
    <row r="457" spans="1:20" ht="12.75" customHeight="1" x14ac:dyDescent="0.25">
      <c r="B457" s="8"/>
      <c r="C457" s="8"/>
      <c r="D457" s="1713" t="str">
        <f>Translations!$B$1218</f>
        <v>non-ETS heat</v>
      </c>
      <c r="E457" s="1713"/>
      <c r="F457" s="1708" t="str">
        <f>Translations!$B$1219</f>
        <v>Amount to be deducted from the preliminary annual amount of allowances in accordance with Article 21 of the FAR</v>
      </c>
      <c r="G457" s="1708"/>
      <c r="H457" s="1708"/>
      <c r="I457" s="1708"/>
      <c r="J457" s="1708"/>
      <c r="K457" s="1708"/>
      <c r="L457" s="1708"/>
      <c r="M457" s="1708"/>
      <c r="N457" s="1708"/>
      <c r="O457" s="17"/>
      <c r="P457" s="9"/>
    </row>
    <row r="458" spans="1:20" ht="25.5" customHeight="1" x14ac:dyDescent="0.25">
      <c r="B458" s="8"/>
      <c r="C458" s="8"/>
      <c r="D458" s="1713" t="str">
        <f>Translations!$B$1220</f>
        <v>WGflare</v>
      </c>
      <c r="E458" s="1713"/>
      <c r="F458" s="1708" t="str">
        <f>Translations!$B$1221</f>
        <v>Amount to be deducted from the preliminary annual amount of allowances for flared waste gases from 2026 onwards in accordance with the second sub-paragraph of Article 16(5) of the FAR</v>
      </c>
      <c r="G458" s="1708"/>
      <c r="H458" s="1708"/>
      <c r="I458" s="1708"/>
      <c r="J458" s="1708"/>
      <c r="K458" s="1708"/>
      <c r="L458" s="1708"/>
      <c r="M458" s="1708"/>
      <c r="N458" s="1708"/>
      <c r="O458" s="17"/>
      <c r="P458" s="9"/>
    </row>
    <row r="459" spans="1:20" ht="12.75" customHeight="1" x14ac:dyDescent="0.25">
      <c r="B459" s="8"/>
      <c r="C459" s="8"/>
      <c r="D459" s="1713" t="s">
        <v>631</v>
      </c>
      <c r="E459" s="1713"/>
      <c r="F459" s="1708" t="str">
        <f>Translations!$B$1222</f>
        <v>Amount to be added to the preliminary annual amount of allowances for steam cracking sub-installations in accordance with Article 19 of the FAR</v>
      </c>
      <c r="G459" s="1708"/>
      <c r="H459" s="1708"/>
      <c r="I459" s="1708"/>
      <c r="J459" s="1708"/>
      <c r="K459" s="1708"/>
      <c r="L459" s="1708"/>
      <c r="M459" s="1708"/>
      <c r="N459" s="1708"/>
      <c r="O459" s="17"/>
      <c r="P459" s="9"/>
      <c r="Q459" s="9"/>
      <c r="R459" s="9"/>
      <c r="S459" s="9"/>
      <c r="T459" s="9"/>
    </row>
    <row r="460" spans="1:20" ht="12.75" customHeight="1" x14ac:dyDescent="0.25">
      <c r="B460" s="8"/>
      <c r="C460" s="8"/>
      <c r="D460" s="1713" t="s">
        <v>632</v>
      </c>
      <c r="E460" s="1713"/>
      <c r="F460" s="1708" t="str">
        <f>Translations!$B$1223</f>
        <v>Calculation factor for taking into account hydrogen-related emissions in vinylchloride monomer sub-installations in accordance with Article 20 of the FAR</v>
      </c>
      <c r="G460" s="1708"/>
      <c r="H460" s="1708"/>
      <c r="I460" s="1708"/>
      <c r="J460" s="1708"/>
      <c r="K460" s="1708"/>
      <c r="L460" s="1708"/>
      <c r="M460" s="1708"/>
      <c r="N460" s="1708"/>
      <c r="O460" s="17"/>
      <c r="P460" s="9"/>
      <c r="Q460" s="9"/>
      <c r="R460" s="9"/>
      <c r="S460" s="9"/>
      <c r="T460" s="9"/>
    </row>
    <row r="461" spans="1:20" ht="12.75" customHeight="1" x14ac:dyDescent="0.25">
      <c r="B461" s="8"/>
      <c r="C461" s="8"/>
      <c r="D461" s="1713" t="str">
        <f>Translations!$B$1224</f>
        <v>Average</v>
      </c>
      <c r="E461" s="1713"/>
      <c r="F461" s="1708" t="str">
        <f>Translations!$B$1225</f>
        <v>Average of the historical activity levels in the baseline period</v>
      </c>
      <c r="G461" s="1708"/>
      <c r="H461" s="1708"/>
      <c r="I461" s="1708"/>
      <c r="J461" s="1708"/>
      <c r="K461" s="1708"/>
      <c r="L461" s="1708"/>
      <c r="M461" s="1708"/>
      <c r="N461" s="1708"/>
      <c r="O461" s="17"/>
      <c r="P461" s="9"/>
    </row>
    <row r="462" spans="1:20" ht="25.5" customHeight="1" x14ac:dyDescent="0.25">
      <c r="B462" s="8"/>
      <c r="C462" s="8"/>
      <c r="D462" s="1753" t="str">
        <f>Translations!$B$1226</f>
        <v>Prelim Alloc Year 1 (min)</v>
      </c>
      <c r="E462" s="1753"/>
      <c r="F462" s="1753" t="str">
        <f>Translations!$B$1227</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462" s="1753"/>
      <c r="H462" s="1753"/>
      <c r="I462" s="1753"/>
      <c r="J462" s="1753"/>
      <c r="K462" s="1753"/>
      <c r="L462" s="1753"/>
      <c r="M462" s="1753"/>
      <c r="N462" s="1753"/>
      <c r="O462" s="17"/>
      <c r="P462" s="9"/>
      <c r="Q462" s="9"/>
      <c r="R462" s="9"/>
      <c r="S462" s="9"/>
      <c r="T462" s="9"/>
    </row>
    <row r="463" spans="1:20" ht="38.25" customHeight="1" x14ac:dyDescent="0.25">
      <c r="B463" s="8"/>
      <c r="C463" s="8"/>
      <c r="D463" s="1058"/>
      <c r="E463" s="276"/>
      <c r="F463" s="1707" t="str">
        <f>Translations!$B$1228</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463" s="1707"/>
      <c r="H463" s="1707"/>
      <c r="I463" s="1707"/>
      <c r="J463" s="1707"/>
      <c r="K463" s="1707"/>
      <c r="L463" s="1707"/>
      <c r="M463" s="1707"/>
      <c r="N463" s="1707"/>
      <c r="O463" s="17"/>
      <c r="P463" s="9"/>
      <c r="Q463" s="9"/>
      <c r="R463" s="9"/>
      <c r="S463" s="9"/>
      <c r="T463" s="9"/>
    </row>
    <row r="464" spans="1:20" s="614" customFormat="1" ht="25.5" customHeight="1" x14ac:dyDescent="0.25">
      <c r="A464" s="145"/>
      <c r="B464" s="1059"/>
      <c r="C464" s="1059"/>
      <c r="D464" s="1708" t="str">
        <f>Translations!$B$1229</f>
        <v>Prelim Alloc Year 1 (max)</v>
      </c>
      <c r="E464" s="1708"/>
      <c r="F464" s="1708" t="str">
        <f>Translations!$B$1230</f>
        <v>(Draft) preliminary annual number of emission allowances taking into account the highest possible benchmark value for this sub-installation. The same disclaimer as for the (min) value applies.</v>
      </c>
      <c r="G464" s="1708"/>
      <c r="H464" s="1708"/>
      <c r="I464" s="1708"/>
      <c r="J464" s="1708"/>
      <c r="K464" s="1708"/>
      <c r="L464" s="1708"/>
      <c r="M464" s="1708"/>
      <c r="N464" s="1708"/>
      <c r="O464" s="17"/>
      <c r="P464" s="415"/>
      <c r="Q464" s="413"/>
      <c r="R464" s="413"/>
      <c r="S464" s="413"/>
      <c r="T464" s="413"/>
    </row>
    <row r="465" spans="2:20" ht="25.5" customHeight="1" x14ac:dyDescent="0.25">
      <c r="B465" s="8"/>
      <c r="C465" s="8"/>
      <c r="D465" s="1709" t="str">
        <f>Translations!$B$1231</f>
        <v>Prelim Alloc Year 1 (actual)</v>
      </c>
      <c r="E465" s="1709"/>
      <c r="F465" s="1709" t="s">
        <v>633</v>
      </c>
      <c r="G465" s="1709"/>
      <c r="H465" s="1709"/>
      <c r="I465" s="1709"/>
      <c r="J465" s="1709"/>
      <c r="K465" s="1709"/>
      <c r="L465" s="1709"/>
      <c r="M465" s="1709"/>
      <c r="N465" s="1709"/>
      <c r="O465" s="17"/>
      <c r="P465" s="9"/>
    </row>
    <row r="466" spans="2:20" ht="12.75" customHeight="1" thickBot="1" x14ac:dyDescent="0.3">
      <c r="B466" s="8"/>
      <c r="C466" s="8"/>
      <c r="D466" s="17"/>
      <c r="E466" s="17"/>
      <c r="F466" s="17"/>
      <c r="G466" s="17"/>
      <c r="H466" s="17"/>
      <c r="I466" s="17"/>
      <c r="J466" s="17"/>
      <c r="K466" s="17"/>
      <c r="L466" s="17"/>
      <c r="M466" s="17"/>
      <c r="N466" s="17"/>
      <c r="O466" s="17"/>
      <c r="P466" s="9"/>
      <c r="Q466" s="9"/>
      <c r="R466" s="9"/>
      <c r="S466" s="9"/>
      <c r="T466" s="9"/>
    </row>
    <row r="467" spans="2:20" ht="75" customHeight="1" thickBot="1" x14ac:dyDescent="0.3">
      <c r="B467" s="8"/>
      <c r="C467" s="8"/>
      <c r="D467" s="1214" t="str">
        <f>Translations!$B$1233</f>
        <v>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v>
      </c>
      <c r="E467" s="1215"/>
      <c r="F467" s="1215"/>
      <c r="G467" s="1215"/>
      <c r="H467" s="1215"/>
      <c r="I467" s="1215"/>
      <c r="J467" s="1215"/>
      <c r="K467" s="1215"/>
      <c r="L467" s="1215"/>
      <c r="M467" s="1215"/>
      <c r="N467" s="1216"/>
      <c r="O467" s="17"/>
      <c r="P467" s="9"/>
      <c r="Q467" s="9"/>
      <c r="R467" s="9"/>
      <c r="S467" s="9"/>
      <c r="T467" s="9"/>
    </row>
    <row r="468" spans="2:20" ht="13.8" thickBot="1" x14ac:dyDescent="0.3">
      <c r="B468" s="17"/>
      <c r="C468" s="17"/>
      <c r="D468" s="17"/>
      <c r="E468" s="17"/>
      <c r="F468" s="17"/>
      <c r="G468" s="17"/>
      <c r="H468" s="17"/>
      <c r="I468" s="17"/>
      <c r="J468" s="17"/>
      <c r="K468" s="17"/>
      <c r="L468" s="17"/>
      <c r="M468" s="17"/>
      <c r="N468" s="17"/>
      <c r="O468" s="17"/>
      <c r="P468" s="145" t="s">
        <v>634</v>
      </c>
      <c r="Q468" s="145" t="s">
        <v>635</v>
      </c>
      <c r="R468" s="145" t="s">
        <v>636</v>
      </c>
      <c r="S468" s="252" t="s">
        <v>637</v>
      </c>
      <c r="T468" s="9" t="s">
        <v>638</v>
      </c>
    </row>
    <row r="469" spans="2:20" ht="15" customHeight="1" thickBot="1" x14ac:dyDescent="0.3">
      <c r="B469" s="17"/>
      <c r="C469" s="19">
        <v>1</v>
      </c>
      <c r="D469" s="1234" t="str">
        <f>CONCATENATE(EUconst_BMSubinst," ",C469, ":")</f>
        <v>Sub-installation with product benchmark 1:</v>
      </c>
      <c r="E469" s="1234"/>
      <c r="F469" s="1234"/>
      <c r="G469" s="1234"/>
      <c r="H469" s="1704"/>
      <c r="I469" s="1550" t="str">
        <f>IF(INDEX(CNTR_SubInstListIsProdBM,$C469),INDEX(CNTR_SubInstListNames,$C469),"")</f>
        <v/>
      </c>
      <c r="J469" s="1705"/>
      <c r="K469" s="1705"/>
      <c r="L469" s="1705"/>
      <c r="M469" s="1705"/>
      <c r="N469" s="1706"/>
      <c r="O469" s="17"/>
      <c r="Q469" s="427">
        <f>C469</f>
        <v>1</v>
      </c>
      <c r="R469" s="424" t="str">
        <f>I469</f>
        <v/>
      </c>
      <c r="S469" s="426" t="str">
        <f>H472</f>
        <v>N.A.</v>
      </c>
      <c r="T469" s="425" t="str">
        <f>IF(M481="","",IF(S472=0,0,SUM(M481)/S472))</f>
        <v/>
      </c>
    </row>
    <row r="470" spans="2:20" ht="5.0999999999999996" customHeight="1" thickBot="1" x14ac:dyDescent="0.3">
      <c r="B470" s="17"/>
      <c r="C470" s="17"/>
      <c r="D470" s="17"/>
      <c r="E470" s="17"/>
      <c r="F470" s="17"/>
      <c r="G470" s="17"/>
      <c r="H470" s="17"/>
      <c r="I470" s="17"/>
      <c r="J470" s="17"/>
      <c r="K470" s="17"/>
      <c r="L470" s="17"/>
      <c r="M470" s="17"/>
      <c r="N470" s="17"/>
      <c r="O470" s="17"/>
      <c r="T470" s="9"/>
    </row>
    <row r="471" spans="2:20" x14ac:dyDescent="0.25">
      <c r="B471" s="17"/>
      <c r="C471" s="17"/>
      <c r="D471" s="17"/>
      <c r="E471" s="17"/>
      <c r="F471" s="17"/>
      <c r="G471" s="17"/>
      <c r="H471" s="253" t="str">
        <f>Translations!$B$1204</f>
        <v>CL-exposed</v>
      </c>
      <c r="I471" s="254" t="s">
        <v>629</v>
      </c>
      <c r="J471" s="254" t="str">
        <f>Translations!$B$1208</f>
        <v>Started</v>
      </c>
      <c r="K471" s="254" t="str">
        <f>Translations!$B$1206</f>
        <v>No. of BM</v>
      </c>
      <c r="L471" s="329" t="str">
        <f>Translations!$B$1212</f>
        <v>15(7).3?</v>
      </c>
      <c r="M471" s="468" t="str">
        <f>Translations!$B$1234</f>
        <v>BM value (min/max/actual)</v>
      </c>
      <c r="N471" s="469"/>
      <c r="O471" s="17"/>
      <c r="T471" s="9"/>
    </row>
    <row r="472" spans="2:20" x14ac:dyDescent="0.25">
      <c r="B472" s="17"/>
      <c r="C472" s="17"/>
      <c r="D472" s="17"/>
      <c r="E472" s="255" t="str">
        <f>I469</f>
        <v/>
      </c>
      <c r="F472" s="256"/>
      <c r="G472" s="230"/>
      <c r="H472" s="257" t="str">
        <f>IF(K472=EUconst_NA,EUconst_NA,INDEX(EUconst_BMlistCLstatus,K472))</f>
        <v>N.A.</v>
      </c>
      <c r="I472" s="258" t="str">
        <f>IF(E472="","",INDEX(EUconst_BMlistElExchangability,K472))</f>
        <v/>
      </c>
      <c r="J472" s="355" t="str">
        <f>IF($I469="",EUconst_NA,INDEX(CNTR_SubInstStartDate,MATCH(E472,CNTR_SubInstListNames,0)))</f>
        <v>N.A.</v>
      </c>
      <c r="K472" s="203" t="str">
        <f>IF($I469="",EUconst_NA,MATCH(E472,EUconst_BMlistNames,0))</f>
        <v>N.A.</v>
      </c>
      <c r="L472" s="467" t="str">
        <f>IF(E472="","",INDEX(CNTR_SubInstLess1Year,MATCH(E472,CNTR_SubInstListNames,0)))</f>
        <v/>
      </c>
      <c r="M472" s="470" t="str">
        <f>IF(I469="",EUconst_NA,INDEX(EUconst_BMlistBMvaluesMatrix,K472,2))</f>
        <v>N.A.</v>
      </c>
      <c r="N472" s="471" t="str">
        <f>EUconst_EUA &amp; "/" &amp; H477</f>
        <v>UKA/tonnes</v>
      </c>
      <c r="O472" s="17"/>
      <c r="R472" s="288" t="s">
        <v>639</v>
      </c>
      <c r="S472" s="335" t="str">
        <f>IF(H472=EUconst_NA,"",IF(H472,1,INDEX(EUconst_CLEFYears,1)))</f>
        <v/>
      </c>
      <c r="T472" s="9"/>
    </row>
    <row r="473" spans="2:20" x14ac:dyDescent="0.25">
      <c r="B473" s="17"/>
      <c r="C473" s="17"/>
      <c r="D473" s="17"/>
      <c r="E473" s="276"/>
      <c r="F473" s="276"/>
      <c r="G473" s="254" t="str">
        <f>Translations!$B$1218</f>
        <v>non-ETS heat</v>
      </c>
      <c r="H473" s="329" t="str">
        <f>Translations!$B$1220</f>
        <v>WGflare</v>
      </c>
      <c r="I473" s="254" t="s">
        <v>630</v>
      </c>
      <c r="J473" s="254" t="s">
        <v>631</v>
      </c>
      <c r="K473" s="254" t="s">
        <v>632</v>
      </c>
      <c r="L473" s="329" t="str">
        <f>Translations!$B$1214</f>
        <v>15(7).3 HAL</v>
      </c>
      <c r="M473" s="470" t="str">
        <f>IF(I469="",EUconst_NA,INDEX(EUconst_BMlistBMvaluesMatrix,K472,1))</f>
        <v>N.A.</v>
      </c>
      <c r="N473" s="471" t="str">
        <f>EUconst_EUA &amp; "/" &amp; H477</f>
        <v>UKA/tonnes</v>
      </c>
      <c r="O473" s="17"/>
      <c r="R473" s="288"/>
      <c r="S473" s="368"/>
      <c r="T473" s="9"/>
    </row>
    <row r="474" spans="2:20" ht="13.8" thickBot="1" x14ac:dyDescent="0.3">
      <c r="B474" s="17"/>
      <c r="C474" s="17"/>
      <c r="D474" s="17"/>
      <c r="E474" s="370" t="str">
        <f>Translations!$B$1235</f>
        <v>Special factors:</v>
      </c>
      <c r="F474" s="371"/>
      <c r="G474" s="203" t="str">
        <f>IF($I469="","",SUMIF(F_ProductBM!$P:$P,EUconst_CNTR_HEAT&amp;$I469,F_ProductBM!$Q:$Q))</f>
        <v/>
      </c>
      <c r="H474" s="353" t="str">
        <f>IF(OR($I469="",CNTR_BaselinePeriod&lt;&gt;2),"",SUMIF(F_ProductBM!$P:$P,EUconst_CNTR_WGFlaredEF &amp; I469,F_ProductBM!$R:$R))</f>
        <v/>
      </c>
      <c r="I474" s="334">
        <f>IF(AND($I469&lt;&gt;"",$I472=TRUE),IF(ISNUMBER(INDEX(F_ProductBM!$Q:$Q,MATCH(EUconst_CNTR_ELEXCH&amp;$I469,F_ProductBM!$P:$P,0))),INDEX(F_ProductBM!$Q:$Q,MATCH(EUconst_CNTR_ELEXCH&amp;$I469,F_ProductBM!$P:$P,0)),1),1)</f>
        <v>1</v>
      </c>
      <c r="J474" s="203" t="str">
        <f>IF($I469="","",IF($K472=42,SUMIF(H_SpecialBM!$P$9:$P$384,EUconst_CNTR_HVC,H_SpecialBM!$I$9:$I$384),0))</f>
        <v/>
      </c>
      <c r="K474" s="369" t="str">
        <f>IF($I469="","",IF($K472=47,IF(ISNUMBER(INDEX(H_SpecialBM!$Q$9:$Q$384,MATCH(EUconst_CNTR_VCM,H_SpecialBM!$P$9:$P$384,0))),INDEX(H_SpecialBM!$Q$9:$Q$384,MATCH(EUconst_CNTR_VCM,H_SpecialBM!$P$9:$P$384,0)),1),1))</f>
        <v/>
      </c>
      <c r="L474" s="353" t="str">
        <f>IF($L472=TRUE,SUMIF(F_ProductBM!$P$11:$P$2192,EUconst_CNTR_HAL&amp;$I469,F_ProductBM!$N$11:$N$2192),"")</f>
        <v/>
      </c>
      <c r="M474" s="472" t="str">
        <f>IF(I469="",EUconst_NA,IF(EUconst_StatusOfDataCollection,INDEX(EUconst_BMlistBMvaluesMatrix,K472,3),""))</f>
        <v>N.A.</v>
      </c>
      <c r="N474" s="473" t="str">
        <f>EUconst_EUA &amp; "/" &amp; H477</f>
        <v>UKA/tonnes</v>
      </c>
      <c r="O474" s="17"/>
      <c r="R474" s="288"/>
      <c r="S474" s="368"/>
      <c r="T474" s="9"/>
    </row>
    <row r="475" spans="2:20" ht="5.0999999999999996" customHeight="1" x14ac:dyDescent="0.25">
      <c r="B475" s="17"/>
      <c r="C475" s="17"/>
      <c r="D475" s="17"/>
      <c r="E475" s="17"/>
      <c r="F475" s="17"/>
      <c r="G475" s="17"/>
      <c r="H475" s="17"/>
      <c r="I475" s="17"/>
      <c r="J475" s="17"/>
      <c r="K475" s="17"/>
      <c r="L475" s="17"/>
      <c r="M475" s="17"/>
      <c r="N475" s="17"/>
      <c r="O475" s="17"/>
      <c r="T475" s="9"/>
    </row>
    <row r="476" spans="2:20" x14ac:dyDescent="0.25">
      <c r="B476" s="17"/>
      <c r="C476" s="17"/>
      <c r="D476" s="17"/>
      <c r="E476" s="78"/>
      <c r="F476" s="78"/>
      <c r="G476" s="259"/>
      <c r="H476" s="366" t="str">
        <f>EUconst_Unit</f>
        <v>Unit</v>
      </c>
      <c r="I476" s="149">
        <f>I$1397</f>
        <v>2019</v>
      </c>
      <c r="J476" s="149">
        <f>J$1397</f>
        <v>2020</v>
      </c>
      <c r="K476" s="149">
        <f>K$1397</f>
        <v>2021</v>
      </c>
      <c r="L476" s="149">
        <f>L$1397</f>
        <v>2022</v>
      </c>
      <c r="M476" s="149">
        <f>M$1397</f>
        <v>2023</v>
      </c>
      <c r="N476" s="17"/>
      <c r="O476" s="17"/>
      <c r="P476" s="63" t="s">
        <v>397</v>
      </c>
      <c r="T476" s="9"/>
    </row>
    <row r="477" spans="2:20" x14ac:dyDescent="0.25">
      <c r="B477" s="17"/>
      <c r="C477" s="17"/>
      <c r="D477" s="17"/>
      <c r="E477" s="260" t="str">
        <f>Translations!$B$1236</f>
        <v>HAL (Historic activity level) reported</v>
      </c>
      <c r="F477" s="261"/>
      <c r="G477" s="262"/>
      <c r="H477" s="257" t="str">
        <f>IF(ISNUMBER(K472),INDEX(EUconst_BMlistUnits,K472),EUconst_Tons)</f>
        <v>tonnes</v>
      </c>
      <c r="I477" s="203" t="str">
        <f>IF($I469="","",SUMIF(F_ProductBM!$P$11:$P$1876,$P477,F_ProductBM!I$11:I$1876))</f>
        <v/>
      </c>
      <c r="J477" s="203" t="str">
        <f>IF($I469="","",SUMIF(F_ProductBM!$P$11:$P$1876,$P477,F_ProductBM!J$11:J$1876))</f>
        <v/>
      </c>
      <c r="K477" s="203" t="str">
        <f>IF($I469="","",SUMIF(F_ProductBM!$P$11:$P$1876,$P477,F_ProductBM!K$11:K$1876))</f>
        <v/>
      </c>
      <c r="L477" s="203" t="str">
        <f>IF($I469="","",SUMIF(F_ProductBM!$P$11:$P$1876,$P477,F_ProductBM!L$11:L$1876))</f>
        <v/>
      </c>
      <c r="M477" s="203" t="str">
        <f>IF($I469="","",SUMIF(F_ProductBM!$P$11:$P$1876,$P477,F_ProductBM!M$11:M$1876))</f>
        <v/>
      </c>
      <c r="N477" s="254" t="str">
        <f>Translations!$B$1224</f>
        <v>Average</v>
      </c>
      <c r="O477" s="17"/>
      <c r="P477" s="63" t="str">
        <f>EUconst_CNTR_HAL&amp;I469</f>
        <v>HAL_</v>
      </c>
      <c r="T477" s="9"/>
    </row>
    <row r="478" spans="2:20" x14ac:dyDescent="0.25">
      <c r="B478" s="17"/>
      <c r="C478" s="17"/>
      <c r="D478" s="17"/>
      <c r="E478" s="260" t="str">
        <f>Translations!$B$1237</f>
        <v>Values used for HAL calculation:</v>
      </c>
      <c r="F478" s="261"/>
      <c r="G478" s="262"/>
      <c r="H478" s="257" t="str">
        <f>H477</f>
        <v>tonnes</v>
      </c>
      <c r="I478" s="203" t="str">
        <f>IF($I469="","",INDEX(F_ProductBM!S$11:S$1876,MATCH($P478,F_ProductBM!$P$11:$P$1876,0)))</f>
        <v/>
      </c>
      <c r="J478" s="203" t="str">
        <f>IF($I469="","",INDEX(F_ProductBM!T$11:T$1876,MATCH($P478,F_ProductBM!$P$11:$P$1876,0)))</f>
        <v/>
      </c>
      <c r="K478" s="203" t="str">
        <f>IF($I469="","",INDEX(F_ProductBM!U$11:U$1876,MATCH($P478,F_ProductBM!$P$11:$P$1876,0)))</f>
        <v/>
      </c>
      <c r="L478" s="203" t="str">
        <f>IF($I469="","",INDEX(F_ProductBM!V$11:V$1876,MATCH($P478,F_ProductBM!$P$11:$P$1876,0)))</f>
        <v/>
      </c>
      <c r="M478" s="203" t="str">
        <f>IF($I469="","",INDEX(F_ProductBM!W$11:W$1876,MATCH($P478,F_ProductBM!$P$11:$P$1876,0)))</f>
        <v/>
      </c>
      <c r="N478" s="203" t="str">
        <f>IF(OR($I469="",$L472=TRUE),"",IF(COUNT($I478:$M478)&gt;0,AVERAGE($I478:$M478),""))</f>
        <v/>
      </c>
      <c r="O478" s="17"/>
      <c r="P478" s="63" t="str">
        <f>EUconst_CNTR_HAL&amp;I469</f>
        <v>HAL_</v>
      </c>
      <c r="R478" s="442" t="s">
        <v>640</v>
      </c>
      <c r="S478" s="442" t="s">
        <v>641</v>
      </c>
      <c r="T478" s="442" t="s">
        <v>642</v>
      </c>
    </row>
    <row r="479" spans="2:20" ht="5.0999999999999996" customHeight="1" thickBot="1" x14ac:dyDescent="0.3">
      <c r="B479" s="17"/>
      <c r="C479" s="17"/>
      <c r="D479" s="17"/>
      <c r="E479" s="367"/>
      <c r="F479" s="367"/>
      <c r="G479" s="367"/>
      <c r="H479" s="367"/>
      <c r="I479" s="367"/>
      <c r="J479" s="367"/>
      <c r="K479" s="367"/>
      <c r="L479" s="367"/>
      <c r="M479" s="276"/>
      <c r="N479" s="276"/>
      <c r="O479" s="17"/>
      <c r="T479" s="9"/>
    </row>
    <row r="480" spans="2:20" ht="13.8" thickBot="1" x14ac:dyDescent="0.3">
      <c r="B480" s="17"/>
      <c r="C480" s="276"/>
      <c r="D480" s="17"/>
      <c r="E480" s="367"/>
      <c r="F480" s="336" t="s">
        <v>643</v>
      </c>
      <c r="G480" s="337"/>
      <c r="H480" s="276"/>
      <c r="I480" s="336" t="str">
        <f>Translations!$B$1226</f>
        <v>Prelim Alloc Year 1 (min)</v>
      </c>
      <c r="J480" s="337"/>
      <c r="K480" s="336" t="str">
        <f>Translations!$B$1229</f>
        <v>Prelim Alloc Year 1 (max)</v>
      </c>
      <c r="L480" s="337"/>
      <c r="M480" s="336" t="str">
        <f>Translations!$B$1231</f>
        <v>Prelim Alloc Year 1 (actual)</v>
      </c>
      <c r="N480" s="337"/>
      <c r="O480" s="17"/>
      <c r="P480" s="63" t="str">
        <f>EUconst_AllocPrelim&amp;I469</f>
        <v>AllocPrelim_</v>
      </c>
      <c r="R480" s="423" t="str">
        <f>IF(I481="","",IF(S472=0,0,SUM(I481)/S472))</f>
        <v/>
      </c>
      <c r="S480" s="423" t="str">
        <f>IF(K481="","",IF(S472=0,0,SUM(K481)/S472))</f>
        <v/>
      </c>
      <c r="T480" s="423" t="str">
        <f>T469</f>
        <v/>
      </c>
    </row>
    <row r="481" spans="2:20" ht="13.8" thickBot="1" x14ac:dyDescent="0.3">
      <c r="B481" s="17"/>
      <c r="C481" s="276"/>
      <c r="D481" s="276"/>
      <c r="E481" s="367"/>
      <c r="F481" s="264" t="str">
        <f>IF(I469="","",MAX(0, IF(L472=TRUE, SUM(L474), SUM(N478))))</f>
        <v/>
      </c>
      <c r="G481" s="265" t="str">
        <f>H477&amp;" / "&amp;EUconst_Year</f>
        <v>tonnes / year</v>
      </c>
      <c r="H481" s="276"/>
      <c r="I481" s="333" t="str">
        <f>IF(I469="","",ROUND((SUM(M472)*SUM(F481)*SUM(I474)*SUM(K474)-SUM(G474)-SUM(H474)+SUM(J474))*SUM(S472),0))</f>
        <v/>
      </c>
      <c r="J481" s="409" t="str">
        <f>EUconst_EUApa</f>
        <v>UKA / year</v>
      </c>
      <c r="K481" s="333" t="str">
        <f>IF(I469="","",ROUND((SUM(M473)*SUM(F481)*SUM(I474)*SUM(K474)-SUM(G474)-SUM(H474)+SUM(J474))*SUM(S472),0))</f>
        <v/>
      </c>
      <c r="L481" s="409" t="str">
        <f>EUconst_EUApa</f>
        <v>UKA / year</v>
      </c>
      <c r="M481" s="333" t="str">
        <f>IF(OR(I469="",M474=""),"",ROUND((SUM(M474)*SUM(F481)*SUM(I474)*SUM(K474)-SUM(G474)-SUM(H474)+SUM(J474))*SUM(S472),0))</f>
        <v/>
      </c>
      <c r="N481" s="409" t="str">
        <f>EUconst_EUApa</f>
        <v>UKA / year</v>
      </c>
      <c r="O481" s="17"/>
      <c r="P481" s="63" t="str">
        <f>EUconst_HALsum &amp; I469</f>
        <v>HALsum_</v>
      </c>
      <c r="T481" s="9"/>
    </row>
    <row r="482" spans="2:20" ht="5.0999999999999996" customHeight="1" x14ac:dyDescent="0.25">
      <c r="B482" s="17"/>
      <c r="C482" s="17"/>
      <c r="D482" s="276"/>
      <c r="E482" s="113"/>
      <c r="F482" s="17"/>
      <c r="G482" s="17"/>
      <c r="H482" s="17"/>
      <c r="I482" s="17"/>
      <c r="J482" s="17"/>
      <c r="K482" s="17"/>
      <c r="L482" s="17"/>
      <c r="M482" s="17"/>
      <c r="N482" s="17"/>
      <c r="O482" s="17"/>
      <c r="T482" s="9"/>
    </row>
    <row r="483" spans="2:20" ht="12.75" customHeight="1" x14ac:dyDescent="0.25">
      <c r="B483" s="17"/>
      <c r="C483" s="17"/>
      <c r="D483" s="17"/>
      <c r="E483" s="193"/>
      <c r="F483" s="342"/>
      <c r="G483" s="342"/>
      <c r="H483" s="342"/>
      <c r="I483" s="342"/>
      <c r="J483" s="342"/>
      <c r="K483" s="342"/>
      <c r="L483" s="342"/>
      <c r="M483" s="342"/>
      <c r="N483" s="342"/>
      <c r="O483" s="17"/>
      <c r="T483" s="9"/>
    </row>
    <row r="484" spans="2:20" ht="13.8" thickBot="1" x14ac:dyDescent="0.3">
      <c r="B484" s="17"/>
      <c r="C484" s="17"/>
      <c r="D484" s="17"/>
      <c r="E484" s="193"/>
      <c r="F484" s="342"/>
      <c r="G484" s="342"/>
      <c r="H484" s="192" t="str">
        <f>EUconst_Unit</f>
        <v>Unit</v>
      </c>
      <c r="I484" s="441">
        <f>I$1397</f>
        <v>2019</v>
      </c>
      <c r="J484" s="153">
        <f>J$1397</f>
        <v>2020</v>
      </c>
      <c r="K484" s="153">
        <f>K$1397</f>
        <v>2021</v>
      </c>
      <c r="L484" s="153">
        <f>L$1397</f>
        <v>2022</v>
      </c>
      <c r="M484" s="153">
        <f>M$1397</f>
        <v>2023</v>
      </c>
      <c r="N484" s="342"/>
      <c r="O484" s="17"/>
      <c r="T484" s="9"/>
    </row>
    <row r="485" spans="2:20" ht="13.8" thickBot="1" x14ac:dyDescent="0.3">
      <c r="B485" s="17"/>
      <c r="C485" s="17"/>
      <c r="D485" s="17"/>
      <c r="E485" s="1610" t="str">
        <f>Translations!$B$1238</f>
        <v>Total attributed emissions</v>
      </c>
      <c r="F485" s="1610"/>
      <c r="G485" s="1610"/>
      <c r="H485" s="411" t="str">
        <f>EUconst_tCO2epa</f>
        <v>t CO2e/year</v>
      </c>
      <c r="I485" s="432" t="str">
        <f>INDEX(I$93:I$109,MATCH($I469,$E$93:$E$109,0))</f>
        <v/>
      </c>
      <c r="J485" s="433" t="str">
        <f>INDEX(J$93:J$109,MATCH($I469,$E$93:$E$109,0))</f>
        <v/>
      </c>
      <c r="K485" s="433" t="str">
        <f>INDEX(K$93:K$109,MATCH($I469,$E$93:$E$109,0))</f>
        <v/>
      </c>
      <c r="L485" s="433" t="str">
        <f>INDEX(L$93:L$109,MATCH($I469,$E$93:$E$109,0))</f>
        <v/>
      </c>
      <c r="M485" s="434" t="str">
        <f>INDEX(M$93:M$109,MATCH($I469,$E$93:$E$109,0))</f>
        <v/>
      </c>
      <c r="N485" s="342"/>
      <c r="O485" s="17"/>
      <c r="T485" s="9"/>
    </row>
    <row r="486" spans="2:20" ht="5.0999999999999996" customHeight="1" x14ac:dyDescent="0.25">
      <c r="B486" s="17"/>
      <c r="C486" s="17"/>
      <c r="D486" s="17"/>
      <c r="E486" s="193"/>
      <c r="F486" s="193"/>
      <c r="G486" s="193"/>
      <c r="H486" s="193"/>
      <c r="I486" s="435"/>
      <c r="J486" s="435"/>
      <c r="K486" s="435"/>
      <c r="L486" s="435"/>
      <c r="M486" s="435"/>
      <c r="N486" s="193"/>
      <c r="O486" s="17"/>
      <c r="T486" s="9"/>
    </row>
    <row r="487" spans="2:20" x14ac:dyDescent="0.25">
      <c r="B487" s="17"/>
      <c r="C487" s="17"/>
      <c r="D487" s="17"/>
      <c r="E487" s="1526" t="str">
        <f>Translations!$B$731</f>
        <v>Fuel input</v>
      </c>
      <c r="F487" s="1526"/>
      <c r="G487" s="1526"/>
      <c r="H487" s="939" t="str">
        <f>EUconst_TJpa</f>
        <v>TJ / year</v>
      </c>
      <c r="I487" s="436" t="str">
        <f>IF($I469="","",IF(INDEX(F_ProductBM!I:I,MATCH($P487,F_ProductBM!$P:$P,0))="","",INDEX(F_ProductBM!I:I,MATCH($P487,F_ProductBM!$P:$P,0))))</f>
        <v/>
      </c>
      <c r="J487" s="436" t="str">
        <f>IF($I469="","",IF(INDEX(F_ProductBM!J:J,MATCH($P487,F_ProductBM!$P:$P,0))="","",INDEX(F_ProductBM!J:J,MATCH($P487,F_ProductBM!$P:$P,0))))</f>
        <v/>
      </c>
      <c r="K487" s="436" t="str">
        <f>IF($I469="","",IF(INDEX(F_ProductBM!K:K,MATCH($P487,F_ProductBM!$P:$P,0))="","",INDEX(F_ProductBM!K:K,MATCH($P487,F_ProductBM!$P:$P,0))))</f>
        <v/>
      </c>
      <c r="L487" s="436" t="str">
        <f>IF($I469="","",IF(INDEX(F_ProductBM!L:L,MATCH($P487,F_ProductBM!$P:$P,0))="","",INDEX(F_ProductBM!L:L,MATCH($P487,F_ProductBM!$P:$P,0))))</f>
        <v/>
      </c>
      <c r="M487" s="436" t="str">
        <f>IF($I469="","",IF(INDEX(F_ProductBM!M:M,MATCH($P487,F_ProductBM!$P:$P,0))="","",INDEX(F_ProductBM!M:M,MATCH($P487,F_ProductBM!$P:$P,0))))</f>
        <v/>
      </c>
      <c r="N487" s="342"/>
      <c r="O487" s="17"/>
      <c r="P487" s="341" t="str">
        <f>EUconst_CNTR_FuelInput &amp; I469</f>
        <v>FuelInput_</v>
      </c>
      <c r="T487" s="9"/>
    </row>
    <row r="488" spans="2:20" x14ac:dyDescent="0.25">
      <c r="B488" s="17"/>
      <c r="C488" s="17"/>
      <c r="D488" s="17"/>
      <c r="E488" s="1527" t="str">
        <f>Translations!$B$732</f>
        <v>Weighted emission factor</v>
      </c>
      <c r="F488" s="1527"/>
      <c r="G488" s="1527"/>
      <c r="H488" s="343" t="str">
        <f>EUconst_tCO2pTJ</f>
        <v>t CO2 / TJ</v>
      </c>
      <c r="I488" s="437" t="str">
        <f>IF($I469="","",IF(INDEX(F_ProductBM!I:I,MATCH($P488,F_ProductBM!$P:$P,0))="","",INDEX(F_ProductBM!I:I,MATCH($P488,F_ProductBM!$P:$P,0))))</f>
        <v/>
      </c>
      <c r="J488" s="437" t="str">
        <f>IF($I469="","",IF(INDEX(F_ProductBM!J:J,MATCH($P488,F_ProductBM!$P:$P,0))="","",INDEX(F_ProductBM!J:J,MATCH($P488,F_ProductBM!$P:$P,0))))</f>
        <v/>
      </c>
      <c r="K488" s="437" t="str">
        <f>IF($I469="","",IF(INDEX(F_ProductBM!K:K,MATCH($P488,F_ProductBM!$P:$P,0))="","",INDEX(F_ProductBM!K:K,MATCH($P488,F_ProductBM!$P:$P,0))))</f>
        <v/>
      </c>
      <c r="L488" s="437" t="str">
        <f>IF($I469="","",IF(INDEX(F_ProductBM!L:L,MATCH($P488,F_ProductBM!$P:$P,0))="","",INDEX(F_ProductBM!L:L,MATCH($P488,F_ProductBM!$P:$P,0))))</f>
        <v/>
      </c>
      <c r="M488" s="437" t="str">
        <f>IF($I469="","",IF(INDEX(F_ProductBM!M:M,MATCH($P488,F_ProductBM!$P:$P,0))="","",INDEX(F_ProductBM!M:M,MATCH($P488,F_ProductBM!$P:$P,0))))</f>
        <v/>
      </c>
      <c r="N488" s="342"/>
      <c r="O488" s="17"/>
      <c r="P488" s="116" t="str">
        <f>EUconst_CNTR_FuelEF &amp; I469</f>
        <v>FuelEF_</v>
      </c>
      <c r="T488" s="9"/>
    </row>
    <row r="489" spans="2:20" ht="5.0999999999999996" customHeight="1" x14ac:dyDescent="0.25">
      <c r="B489" s="17"/>
      <c r="C489" s="17"/>
      <c r="D489" s="276"/>
      <c r="E489" s="193"/>
      <c r="F489" s="342"/>
      <c r="G489" s="342"/>
      <c r="H489" s="342"/>
      <c r="I489" s="438"/>
      <c r="J489" s="438"/>
      <c r="K489" s="438"/>
      <c r="L489" s="438"/>
      <c r="M489" s="438"/>
      <c r="N489" s="342"/>
      <c r="O489" s="17"/>
      <c r="T489" s="9"/>
    </row>
    <row r="490" spans="2:20" ht="12.75" customHeight="1" x14ac:dyDescent="0.25">
      <c r="B490" s="17"/>
      <c r="C490" s="17"/>
      <c r="D490" s="276"/>
      <c r="E490" s="1528" t="str">
        <f>Translations!$B$687</f>
        <v>Direct emissions</v>
      </c>
      <c r="F490" s="1528"/>
      <c r="G490" s="1528"/>
      <c r="H490" s="154" t="str">
        <f>EUconst_tCO2pa</f>
        <v>t CO2 / year</v>
      </c>
      <c r="I490" s="439" t="str">
        <f>IF($I469="","",IF(INDEX(F_ProductBM!I:I,MATCH($P490,F_ProductBM!$P:$P,0))="","",INDEX(F_ProductBM!I:I,MATCH($P490,F_ProductBM!$P:$P,0))))</f>
        <v/>
      </c>
      <c r="J490" s="439" t="str">
        <f>IF($I469="","",IF(INDEX(F_ProductBM!J:J,MATCH($P490,F_ProductBM!$P:$P,0))="","",INDEX(F_ProductBM!J:J,MATCH($P490,F_ProductBM!$P:$P,0))))</f>
        <v/>
      </c>
      <c r="K490" s="439" t="str">
        <f>IF($I469="","",IF(INDEX(F_ProductBM!K:K,MATCH($P490,F_ProductBM!$P:$P,0))="","",INDEX(F_ProductBM!K:K,MATCH($P490,F_ProductBM!$P:$P,0))))</f>
        <v/>
      </c>
      <c r="L490" s="439" t="str">
        <f>IF($I469="","",IF(INDEX(F_ProductBM!L:L,MATCH($P490,F_ProductBM!$P:$P,0))="","",INDEX(F_ProductBM!L:L,MATCH($P490,F_ProductBM!$P:$P,0))))</f>
        <v/>
      </c>
      <c r="M490" s="439" t="str">
        <f>IF($I469="","",IF(INDEX(F_ProductBM!M:M,MATCH($P490,F_ProductBM!$P:$P,0))="","",INDEX(F_ProductBM!M:M,MATCH($P490,F_ProductBM!$P:$P,0))))</f>
        <v/>
      </c>
      <c r="N490" s="342"/>
      <c r="O490" s="17"/>
      <c r="P490" s="116" t="str">
        <f>EUconst_CNTR_Emissions &amp; I469</f>
        <v>DirEmissions_</v>
      </c>
      <c r="T490" s="9"/>
    </row>
    <row r="491" spans="2:20" x14ac:dyDescent="0.25">
      <c r="B491" s="17"/>
      <c r="C491" s="17"/>
      <c r="D491" s="276"/>
      <c r="E491" s="1528" t="str">
        <f>Translations!$B$742</f>
        <v>Further source streams - 1</v>
      </c>
      <c r="F491" s="1528"/>
      <c r="G491" s="1528"/>
      <c r="H491" s="154" t="str">
        <f>EUconst_tCO2pa</f>
        <v>t CO2 / year</v>
      </c>
      <c r="I491" s="439" t="str">
        <f>IF($I469="","",IF(INDEX(F_ProductBM!I:I,MATCH($P491,F_ProductBM!$P:$P,0))="","",INDEX(F_ProductBM!I:I,MATCH($P491,F_ProductBM!$P:$P,0))))</f>
        <v/>
      </c>
      <c r="J491" s="439" t="str">
        <f>IF($I469="","",IF(INDEX(F_ProductBM!J:J,MATCH($P491,F_ProductBM!$P:$P,0))="","",INDEX(F_ProductBM!J:J,MATCH($P491,F_ProductBM!$P:$P,0))))</f>
        <v/>
      </c>
      <c r="K491" s="439" t="str">
        <f>IF($I469="","",IF(INDEX(F_ProductBM!K:K,MATCH($P491,F_ProductBM!$P:$P,0))="","",INDEX(F_ProductBM!K:K,MATCH($P491,F_ProductBM!$P:$P,0))))</f>
        <v/>
      </c>
      <c r="L491" s="439" t="str">
        <f>IF($I469="","",IF(INDEX(F_ProductBM!L:L,MATCH($P491,F_ProductBM!$P:$P,0))="","",INDEX(F_ProductBM!L:L,MATCH($P491,F_ProductBM!$P:$P,0))))</f>
        <v/>
      </c>
      <c r="M491" s="439" t="str">
        <f>IF($I469="","",IF(INDEX(F_ProductBM!M:M,MATCH($P491,F_ProductBM!$P:$P,0))="","",INDEX(F_ProductBM!M:M,MATCH($P491,F_ProductBM!$P:$P,0))))</f>
        <v/>
      </c>
      <c r="N491" s="342"/>
      <c r="O491" s="17"/>
      <c r="P491" s="116" t="str">
        <f>EUconst_CNTR_EmissionsIntSource1 &amp; I469</f>
        <v>EmInternalSource1_</v>
      </c>
      <c r="T491" s="9"/>
    </row>
    <row r="492" spans="2:20" x14ac:dyDescent="0.25">
      <c r="B492" s="17"/>
      <c r="C492" s="17"/>
      <c r="D492" s="276"/>
      <c r="E492" s="1528" t="str">
        <f>Translations!$B$752</f>
        <v>Further source streams - 2</v>
      </c>
      <c r="F492" s="1528"/>
      <c r="G492" s="1528"/>
      <c r="H492" s="154" t="str">
        <f>EUconst_tCO2pa</f>
        <v>t CO2 / year</v>
      </c>
      <c r="I492" s="439" t="str">
        <f>IF($I469="","",IF(INDEX(F_ProductBM!I:I,MATCH($P492,F_ProductBM!$P:$P,0))="","",INDEX(F_ProductBM!I:I,MATCH($P492,F_ProductBM!$P:$P,0))))</f>
        <v/>
      </c>
      <c r="J492" s="439" t="str">
        <f>IF($I469="","",IF(INDEX(F_ProductBM!J:J,MATCH($P492,F_ProductBM!$P:$P,0))="","",INDEX(F_ProductBM!J:J,MATCH($P492,F_ProductBM!$P:$P,0))))</f>
        <v/>
      </c>
      <c r="K492" s="439" t="str">
        <f>IF($I469="","",IF(INDEX(F_ProductBM!K:K,MATCH($P492,F_ProductBM!$P:$P,0))="","",INDEX(F_ProductBM!K:K,MATCH($P492,F_ProductBM!$P:$P,0))))</f>
        <v/>
      </c>
      <c r="L492" s="439" t="str">
        <f>IF($I469="","",IF(INDEX(F_ProductBM!L:L,MATCH($P492,F_ProductBM!$P:$P,0))="","",INDEX(F_ProductBM!L:L,MATCH($P492,F_ProductBM!$P:$P,0))))</f>
        <v/>
      </c>
      <c r="M492" s="439" t="str">
        <f>IF($I469="","",IF(INDEX(F_ProductBM!M:M,MATCH($P492,F_ProductBM!$P:$P,0))="","",INDEX(F_ProductBM!M:M,MATCH($P492,F_ProductBM!$P:$P,0))))</f>
        <v/>
      </c>
      <c r="N492" s="342"/>
      <c r="O492" s="17"/>
      <c r="P492" s="116" t="str">
        <f>EUconst_CNTR_EmissionsIntSource2 &amp; I469</f>
        <v>EmInternalSource2_</v>
      </c>
      <c r="T492" s="9"/>
    </row>
    <row r="493" spans="2:20" x14ac:dyDescent="0.25">
      <c r="B493" s="17"/>
      <c r="C493" s="17"/>
      <c r="D493" s="17"/>
      <c r="E493" s="1528" t="str">
        <f>Translations!$B$756</f>
        <v>GHG imported or exported</v>
      </c>
      <c r="F493" s="1528"/>
      <c r="G493" s="1528"/>
      <c r="H493" s="154" t="str">
        <f>EUconst_tCO2epa</f>
        <v>t CO2e/year</v>
      </c>
      <c r="I493" s="439" t="str">
        <f>IF($I469="","",IF(INDEX(F_ProductBM!I:I,MATCH($P493,F_ProductBM!$P:$P,0))="","",INDEX(F_ProductBM!I:I,MATCH($P493,F_ProductBM!$P:$P,0))))</f>
        <v/>
      </c>
      <c r="J493" s="439" t="str">
        <f>IF($I469="","",IF(INDEX(F_ProductBM!J:J,MATCH($P493,F_ProductBM!$P:$P,0))="","",INDEX(F_ProductBM!J:J,MATCH($P493,F_ProductBM!$P:$P,0))))</f>
        <v/>
      </c>
      <c r="K493" s="439" t="str">
        <f>IF($I469="","",IF(INDEX(F_ProductBM!K:K,MATCH($P493,F_ProductBM!$P:$P,0))="","",INDEX(F_ProductBM!K:K,MATCH($P493,F_ProductBM!$P:$P,0))))</f>
        <v/>
      </c>
      <c r="L493" s="439" t="str">
        <f>IF($I469="","",IF(INDEX(F_ProductBM!L:L,MATCH($P493,F_ProductBM!$P:$P,0))="","",INDEX(F_ProductBM!L:L,MATCH($P493,F_ProductBM!$P:$P,0))))</f>
        <v/>
      </c>
      <c r="M493" s="439" t="str">
        <f>IF($I469="","",IF(INDEX(F_ProductBM!M:M,MATCH($P493,F_ProductBM!$P:$P,0))="","",INDEX(F_ProductBM!M:M,MATCH($P493,F_ProductBM!$P:$P,0))))</f>
        <v/>
      </c>
      <c r="N493" s="342"/>
      <c r="O493" s="17"/>
      <c r="P493" s="116" t="str">
        <f>EUconst_CNTR_CO2Feedstock &amp; I469</f>
        <v>EmCO2Feedstock_</v>
      </c>
      <c r="T493" s="9"/>
    </row>
    <row r="494" spans="2:20" ht="5.0999999999999996" customHeight="1" x14ac:dyDescent="0.25">
      <c r="B494" s="17"/>
      <c r="C494" s="17"/>
      <c r="D494" s="17"/>
      <c r="E494" s="342"/>
      <c r="F494" s="342"/>
      <c r="G494" s="342"/>
      <c r="H494" s="342"/>
      <c r="I494" s="438"/>
      <c r="J494" s="438"/>
      <c r="K494" s="438"/>
      <c r="L494" s="438"/>
      <c r="M494" s="438"/>
      <c r="N494" s="342"/>
      <c r="O494" s="17"/>
      <c r="T494" s="9"/>
    </row>
    <row r="495" spans="2:20" x14ac:dyDescent="0.25">
      <c r="B495" s="17"/>
      <c r="C495" s="17"/>
      <c r="D495" s="17"/>
      <c r="E495" s="1526" t="str">
        <f>Translations!$B$764</f>
        <v>Net heat imported</v>
      </c>
      <c r="F495" s="1526"/>
      <c r="G495" s="1526"/>
      <c r="H495" s="939" t="str">
        <f>EUconst_TJpa</f>
        <v>TJ / year</v>
      </c>
      <c r="I495" s="436" t="str">
        <f>IF($I469="","",IF(INDEX(F_ProductBM!I:I,MATCH($P495,F_ProductBM!$P:$P,0))="","",INDEX(F_ProductBM!I:I,MATCH($P495,F_ProductBM!$P:$P,0))))</f>
        <v/>
      </c>
      <c r="J495" s="436" t="str">
        <f>IF($I469="","",IF(INDEX(F_ProductBM!J:J,MATCH($P495,F_ProductBM!$P:$P,0))="","",INDEX(F_ProductBM!J:J,MATCH($P495,F_ProductBM!$P:$P,0))))</f>
        <v/>
      </c>
      <c r="K495" s="436" t="str">
        <f>IF($I469="","",IF(INDEX(F_ProductBM!K:K,MATCH($P495,F_ProductBM!$P:$P,0))="","",INDEX(F_ProductBM!K:K,MATCH($P495,F_ProductBM!$P:$P,0))))</f>
        <v/>
      </c>
      <c r="L495" s="436" t="str">
        <f>IF($I469="","",IF(INDEX(F_ProductBM!L:L,MATCH($P495,F_ProductBM!$P:$P,0))="","",INDEX(F_ProductBM!L:L,MATCH($P495,F_ProductBM!$P:$P,0))))</f>
        <v/>
      </c>
      <c r="M495" s="436" t="str">
        <f>IF($I469="","",IF(INDEX(F_ProductBM!M:M,MATCH($P495,F_ProductBM!$P:$P,0))="","",INDEX(F_ProductBM!M:M,MATCH($P495,F_ProductBM!$P:$P,0))))</f>
        <v/>
      </c>
      <c r="N495" s="342"/>
      <c r="O495" s="17"/>
      <c r="P495" s="116" t="str">
        <f>EUconst_CNTR_HeatImport &amp; I469</f>
        <v>HeatIm_</v>
      </c>
      <c r="T495" s="9"/>
    </row>
    <row r="496" spans="2:20" x14ac:dyDescent="0.25">
      <c r="B496" s="17"/>
      <c r="C496" s="17"/>
      <c r="D496" s="17"/>
      <c r="E496" s="1527" t="str">
        <f>Translations!$B$765</f>
        <v>Specific EF (imported heat)</v>
      </c>
      <c r="F496" s="1527"/>
      <c r="G496" s="1527"/>
      <c r="H496" s="343" t="str">
        <f>EUconst_tCO2pTJ</f>
        <v>t CO2 / TJ</v>
      </c>
      <c r="I496" s="437" t="str">
        <f>IF($I469="","",IF(INDEX(F_ProductBM!I:I,MATCH($P496,F_ProductBM!$P:$P,0))="","",INDEX(F_ProductBM!I:I,MATCH($P496,F_ProductBM!$P:$P,0))))</f>
        <v/>
      </c>
      <c r="J496" s="437" t="str">
        <f>IF($I469="","",IF(INDEX(F_ProductBM!J:J,MATCH($P496,F_ProductBM!$P:$P,0))="","",INDEX(F_ProductBM!J:J,MATCH($P496,F_ProductBM!$P:$P,0))))</f>
        <v/>
      </c>
      <c r="K496" s="437" t="str">
        <f>IF($I469="","",IF(INDEX(F_ProductBM!K:K,MATCH($P496,F_ProductBM!$P:$P,0))="","",INDEX(F_ProductBM!K:K,MATCH($P496,F_ProductBM!$P:$P,0))))</f>
        <v/>
      </c>
      <c r="L496" s="437" t="str">
        <f>IF($I469="","",IF(INDEX(F_ProductBM!L:L,MATCH($P496,F_ProductBM!$P:$P,0))="","",INDEX(F_ProductBM!L:L,MATCH($P496,F_ProductBM!$P:$P,0))))</f>
        <v/>
      </c>
      <c r="M496" s="437" t="str">
        <f>IF($I469="","",IF(INDEX(F_ProductBM!M:M,MATCH($P496,F_ProductBM!$P:$P,0))="","",INDEX(F_ProductBM!M:M,MATCH($P496,F_ProductBM!$P:$P,0))))</f>
        <v/>
      </c>
      <c r="N496" s="342"/>
      <c r="O496" s="17"/>
      <c r="P496" s="116" t="str">
        <f>EUconst_CNTR_HeatImportEF &amp; I469</f>
        <v>HeatImEF_</v>
      </c>
      <c r="T496" s="9"/>
    </row>
    <row r="497" spans="2:20" ht="5.0999999999999996" customHeight="1" x14ac:dyDescent="0.25">
      <c r="B497" s="17"/>
      <c r="C497" s="17"/>
      <c r="D497" s="17"/>
      <c r="E497" s="193"/>
      <c r="F497" s="342"/>
      <c r="G497" s="342"/>
      <c r="H497" s="342"/>
      <c r="I497" s="438"/>
      <c r="J497" s="438"/>
      <c r="K497" s="438"/>
      <c r="L497" s="438"/>
      <c r="M497" s="438"/>
      <c r="N497" s="342"/>
      <c r="O497" s="17"/>
      <c r="P497" s="9"/>
      <c r="T497" s="9"/>
    </row>
    <row r="498" spans="2:20" x14ac:dyDescent="0.25">
      <c r="B498" s="17"/>
      <c r="C498" s="17"/>
      <c r="D498" s="17"/>
      <c r="E498" s="1528" t="str">
        <f>Translations!$B$820</f>
        <v>Net heat imported from pulp</v>
      </c>
      <c r="F498" s="1528"/>
      <c r="G498" s="1528"/>
      <c r="H498" s="154" t="str">
        <f>EUconst_TJpa</f>
        <v>TJ / year</v>
      </c>
      <c r="I498" s="439" t="str">
        <f>IF($I469="","",IF(INDEX(F_ProductBM!I:I,MATCH($P498,F_ProductBM!$P:$P,0))="","",INDEX(F_ProductBM!I:I,MATCH($P498,F_ProductBM!$P:$P,0))))</f>
        <v/>
      </c>
      <c r="J498" s="439" t="str">
        <f>IF($I469="","",IF(INDEX(F_ProductBM!J:J,MATCH($P498,F_ProductBM!$P:$P,0))="","",INDEX(F_ProductBM!J:J,MATCH($P498,F_ProductBM!$P:$P,0))))</f>
        <v/>
      </c>
      <c r="K498" s="439" t="str">
        <f>IF($I469="","",IF(INDEX(F_ProductBM!K:K,MATCH($P498,F_ProductBM!$P:$P,0))="","",INDEX(F_ProductBM!K:K,MATCH($P498,F_ProductBM!$P:$P,0))))</f>
        <v/>
      </c>
      <c r="L498" s="439" t="str">
        <f>IF($I469="","",IF(INDEX(F_ProductBM!L:L,MATCH($P498,F_ProductBM!$P:$P,0))="","",INDEX(F_ProductBM!L:L,MATCH($P498,F_ProductBM!$P:$P,0))))</f>
        <v/>
      </c>
      <c r="M498" s="439" t="str">
        <f>IF($I469="","",IF(INDEX(F_ProductBM!M:M,MATCH($P498,F_ProductBM!$P:$P,0))="","",INDEX(F_ProductBM!M:M,MATCH($P498,F_ProductBM!$P:$P,0))))</f>
        <v/>
      </c>
      <c r="N498" s="342"/>
      <c r="O498" s="17"/>
      <c r="P498" s="116" t="str">
        <f>EUconst_CNTR_HeatImportPulp &amp; I469</f>
        <v>HeatImPulp_</v>
      </c>
      <c r="T498" s="9"/>
    </row>
    <row r="499" spans="2:20" x14ac:dyDescent="0.25">
      <c r="B499" s="17"/>
      <c r="C499" s="17"/>
      <c r="D499" s="17"/>
      <c r="E499" s="1528" t="str">
        <f>Translations!$B$768</f>
        <v>Net heat imported from nitric acid sub-installation</v>
      </c>
      <c r="F499" s="1528"/>
      <c r="G499" s="1528"/>
      <c r="H499" s="154" t="str">
        <f>EUconst_TJpa</f>
        <v>TJ / year</v>
      </c>
      <c r="I499" s="439" t="str">
        <f>IF($I469="","",IF(INDEX(F_ProductBM!I:I,MATCH($P499,F_ProductBM!$P:$P,0))="","",INDEX(F_ProductBM!I:I,MATCH($P499,F_ProductBM!$P:$P,0))))</f>
        <v/>
      </c>
      <c r="J499" s="439" t="str">
        <f>IF($I469="","",IF(INDEX(F_ProductBM!J:J,MATCH($P499,F_ProductBM!$P:$P,0))="","",INDEX(F_ProductBM!J:J,MATCH($P499,F_ProductBM!$P:$P,0))))</f>
        <v/>
      </c>
      <c r="K499" s="439" t="str">
        <f>IF($I469="","",IF(INDEX(F_ProductBM!K:K,MATCH($P499,F_ProductBM!$P:$P,0))="","",INDEX(F_ProductBM!K:K,MATCH($P499,F_ProductBM!$P:$P,0))))</f>
        <v/>
      </c>
      <c r="L499" s="439" t="str">
        <f>IF($I469="","",IF(INDEX(F_ProductBM!L:L,MATCH($P499,F_ProductBM!$P:$P,0))="","",INDEX(F_ProductBM!L:L,MATCH($P499,F_ProductBM!$P:$P,0))))</f>
        <v/>
      </c>
      <c r="M499" s="439" t="str">
        <f>IF($I469="","",IF(INDEX(F_ProductBM!M:M,MATCH($P499,F_ProductBM!$P:$P,0))="","",INDEX(F_ProductBM!M:M,MATCH($P499,F_ProductBM!$P:$P,0))))</f>
        <v/>
      </c>
      <c r="N499" s="342"/>
      <c r="O499" s="17"/>
      <c r="P499" s="116" t="str">
        <f>EUconst_CNTR_HeatImportNitric &amp; I469</f>
        <v>HeatImNitric_</v>
      </c>
      <c r="T499" s="9"/>
    </row>
    <row r="500" spans="2:20" ht="5.0999999999999996" customHeight="1" x14ac:dyDescent="0.25">
      <c r="B500" s="17"/>
      <c r="C500" s="17"/>
      <c r="D500" s="17"/>
      <c r="E500" s="193"/>
      <c r="F500" s="193"/>
      <c r="G500" s="193"/>
      <c r="H500" s="193"/>
      <c r="I500" s="438"/>
      <c r="J500" s="438"/>
      <c r="K500" s="438"/>
      <c r="L500" s="438"/>
      <c r="M500" s="438"/>
      <c r="N500" s="342"/>
      <c r="O500" s="17"/>
      <c r="P500" s="9"/>
      <c r="T500" s="9"/>
    </row>
    <row r="501" spans="2:20" x14ac:dyDescent="0.25">
      <c r="B501" s="17"/>
      <c r="C501" s="17"/>
      <c r="D501" s="17"/>
      <c r="E501" s="1526" t="str">
        <f>Translations!$B$770</f>
        <v>Net heat exported</v>
      </c>
      <c r="F501" s="1526"/>
      <c r="G501" s="1526"/>
      <c r="H501" s="939" t="str">
        <f>EUconst_TJpa</f>
        <v>TJ / year</v>
      </c>
      <c r="I501" s="436" t="str">
        <f>IF($I469="","",IF(INDEX(F_ProductBM!I:I,MATCH($P501,F_ProductBM!$P:$P,0))="","",INDEX(F_ProductBM!I:I,MATCH($P501,F_ProductBM!$P:$P,0))))</f>
        <v/>
      </c>
      <c r="J501" s="436" t="str">
        <f>IF($I469="","",IF(INDEX(F_ProductBM!J:J,MATCH($P501,F_ProductBM!$P:$P,0))="","",INDEX(F_ProductBM!J:J,MATCH($P501,F_ProductBM!$P:$P,0))))</f>
        <v/>
      </c>
      <c r="K501" s="436" t="str">
        <f>IF($I469="","",IF(INDEX(F_ProductBM!K:K,MATCH($P501,F_ProductBM!$P:$P,0))="","",INDEX(F_ProductBM!K:K,MATCH($P501,F_ProductBM!$P:$P,0))))</f>
        <v/>
      </c>
      <c r="L501" s="436" t="str">
        <f>IF($I469="","",IF(INDEX(F_ProductBM!L:L,MATCH($P501,F_ProductBM!$P:$P,0))="","",INDEX(F_ProductBM!L:L,MATCH($P501,F_ProductBM!$P:$P,0))))</f>
        <v/>
      </c>
      <c r="M501" s="436" t="str">
        <f>IF($I469="","",IF(INDEX(F_ProductBM!M:M,MATCH($P501,F_ProductBM!$P:$P,0))="","",INDEX(F_ProductBM!M:M,MATCH($P501,F_ProductBM!$P:$P,0))))</f>
        <v/>
      </c>
      <c r="N501" s="342"/>
      <c r="O501" s="17"/>
      <c r="P501" s="116" t="str">
        <f>EUconst_CNTR_HeatExport &amp; I469</f>
        <v>HeatEx_</v>
      </c>
      <c r="T501" s="9"/>
    </row>
    <row r="502" spans="2:20" x14ac:dyDescent="0.25">
      <c r="B502" s="17"/>
      <c r="C502" s="17"/>
      <c r="D502" s="17"/>
      <c r="E502" s="1527" t="str">
        <f>Translations!$B$771</f>
        <v>Specific EF (exported heat)</v>
      </c>
      <c r="F502" s="1527"/>
      <c r="G502" s="1527"/>
      <c r="H502" s="343" t="str">
        <f>EUconst_tCO2pTJ</f>
        <v>t CO2 / TJ</v>
      </c>
      <c r="I502" s="437" t="str">
        <f>IF($I469="","",IF(INDEX(F_ProductBM!I:I,MATCH($P502,F_ProductBM!$P:$P,0))="","",INDEX(F_ProductBM!I:I,MATCH($P502,F_ProductBM!$P:$P,0))))</f>
        <v/>
      </c>
      <c r="J502" s="437" t="str">
        <f>IF($I469="","",IF(INDEX(F_ProductBM!J:J,MATCH($P502,F_ProductBM!$P:$P,0))="","",INDEX(F_ProductBM!J:J,MATCH($P502,F_ProductBM!$P:$P,0))))</f>
        <v/>
      </c>
      <c r="K502" s="437" t="str">
        <f>IF($I469="","",IF(INDEX(F_ProductBM!K:K,MATCH($P502,F_ProductBM!$P:$P,0))="","",INDEX(F_ProductBM!K:K,MATCH($P502,F_ProductBM!$P:$P,0))))</f>
        <v/>
      </c>
      <c r="L502" s="437" t="str">
        <f>IF($I469="","",IF(INDEX(F_ProductBM!L:L,MATCH($P502,F_ProductBM!$P:$P,0))="","",INDEX(F_ProductBM!L:L,MATCH($P502,F_ProductBM!$P:$P,0))))</f>
        <v/>
      </c>
      <c r="M502" s="437" t="str">
        <f>IF($I469="","",IF(INDEX(F_ProductBM!M:M,MATCH($P502,F_ProductBM!$P:$P,0))="","",INDEX(F_ProductBM!M:M,MATCH($P502,F_ProductBM!$P:$P,0))))</f>
        <v/>
      </c>
      <c r="N502" s="342"/>
      <c r="O502" s="17"/>
      <c r="P502" s="116" t="str">
        <f>EUconst_CNTR_HeatExportEF &amp; I469</f>
        <v>HeatExEF_</v>
      </c>
      <c r="T502" s="9"/>
    </row>
    <row r="503" spans="2:20" ht="5.0999999999999996" customHeight="1" x14ac:dyDescent="0.25">
      <c r="B503" s="17"/>
      <c r="C503" s="17"/>
      <c r="D503" s="17"/>
      <c r="E503" s="193"/>
      <c r="F503" s="193"/>
      <c r="G503" s="193"/>
      <c r="H503" s="193"/>
      <c r="I503" s="438"/>
      <c r="J503" s="438"/>
      <c r="K503" s="438"/>
      <c r="L503" s="438"/>
      <c r="M503" s="438"/>
      <c r="N503" s="342"/>
      <c r="O503" s="17"/>
      <c r="P503" s="9"/>
      <c r="T503" s="9"/>
    </row>
    <row r="504" spans="2:20" x14ac:dyDescent="0.25">
      <c r="B504" s="17"/>
      <c r="C504" s="17"/>
      <c r="D504" s="17"/>
      <c r="E504" s="1526" t="str">
        <f>Translations!$B$778</f>
        <v>Waste gas produced</v>
      </c>
      <c r="F504" s="1526"/>
      <c r="G504" s="1526"/>
      <c r="H504" s="939" t="str">
        <f>EUconst_TJpa</f>
        <v>TJ / year</v>
      </c>
      <c r="I504" s="436" t="str">
        <f>IF($I469="","",IF(INDEX(F_ProductBM!I:I,MATCH($P504,F_ProductBM!$P:$P,0))="","",INDEX(F_ProductBM!I:I,MATCH($P504,F_ProductBM!$P:$P,0))))</f>
        <v/>
      </c>
      <c r="J504" s="436" t="str">
        <f>IF($I469="","",IF(INDEX(F_ProductBM!J:J,MATCH($P504,F_ProductBM!$P:$P,0))="","",INDEX(F_ProductBM!J:J,MATCH($P504,F_ProductBM!$P:$P,0))))</f>
        <v/>
      </c>
      <c r="K504" s="436" t="str">
        <f>IF($I469="","",IF(INDEX(F_ProductBM!K:K,MATCH($P504,F_ProductBM!$P:$P,0))="","",INDEX(F_ProductBM!K:K,MATCH($P504,F_ProductBM!$P:$P,0))))</f>
        <v/>
      </c>
      <c r="L504" s="436" t="str">
        <f>IF($I469="","",IF(INDEX(F_ProductBM!L:L,MATCH($P504,F_ProductBM!$P:$P,0))="","",INDEX(F_ProductBM!L:L,MATCH($P504,F_ProductBM!$P:$P,0))))</f>
        <v/>
      </c>
      <c r="M504" s="436" t="str">
        <f>IF($I469="","",IF(INDEX(F_ProductBM!M:M,MATCH($P504,F_ProductBM!$P:$P,0))="","",INDEX(F_ProductBM!M:M,MATCH($P504,F_ProductBM!$P:$P,0))))</f>
        <v/>
      </c>
      <c r="N504" s="342"/>
      <c r="O504" s="17"/>
      <c r="P504" s="341" t="str">
        <f>EUconst_CNTR_WGProduced &amp; I469</f>
        <v>WasteGasProd_</v>
      </c>
      <c r="T504" s="9"/>
    </row>
    <row r="505" spans="2:20" x14ac:dyDescent="0.25">
      <c r="B505" s="17"/>
      <c r="C505" s="17"/>
      <c r="D505" s="17"/>
      <c r="E505" s="1527" t="str">
        <f>Translations!$B$779</f>
        <v>Specific EF (produced waste gas)</v>
      </c>
      <c r="F505" s="1527"/>
      <c r="G505" s="1527"/>
      <c r="H505" s="343" t="str">
        <f>EUconst_tCO2pTJ</f>
        <v>t CO2 / TJ</v>
      </c>
      <c r="I505" s="437" t="str">
        <f>IF($I469="","",IF(INDEX(F_ProductBM!I:I,MATCH($P505,F_ProductBM!$P:$P,0))="","",INDEX(F_ProductBM!I:I,MATCH($P505,F_ProductBM!$P:$P,0))))</f>
        <v/>
      </c>
      <c r="J505" s="437" t="str">
        <f>IF($I469="","",IF(INDEX(F_ProductBM!J:J,MATCH($P505,F_ProductBM!$P:$P,0))="","",INDEX(F_ProductBM!J:J,MATCH($P505,F_ProductBM!$P:$P,0))))</f>
        <v/>
      </c>
      <c r="K505" s="437" t="str">
        <f>IF($I469="","",IF(INDEX(F_ProductBM!K:K,MATCH($P505,F_ProductBM!$P:$P,0))="","",INDEX(F_ProductBM!K:K,MATCH($P505,F_ProductBM!$P:$P,0))))</f>
        <v/>
      </c>
      <c r="L505" s="437" t="str">
        <f>IF($I469="","",IF(INDEX(F_ProductBM!L:L,MATCH($P505,F_ProductBM!$P:$P,0))="","",INDEX(F_ProductBM!L:L,MATCH($P505,F_ProductBM!$P:$P,0))))</f>
        <v/>
      </c>
      <c r="M505" s="437" t="str">
        <f>IF($I469="","",IF(INDEX(F_ProductBM!M:M,MATCH($P505,F_ProductBM!$P:$P,0))="","",INDEX(F_ProductBM!M:M,MATCH($P505,F_ProductBM!$P:$P,0))))</f>
        <v/>
      </c>
      <c r="N505" s="342"/>
      <c r="O505" s="17"/>
      <c r="P505" s="116" t="str">
        <f>EUconst_CNTR_WGProducedEF &amp; I469</f>
        <v>WasteGasProdEF_</v>
      </c>
      <c r="T505" s="9"/>
    </row>
    <row r="506" spans="2:20" x14ac:dyDescent="0.25">
      <c r="B506" s="17"/>
      <c r="C506" s="17"/>
      <c r="D506" s="17"/>
      <c r="E506" s="1526" t="str">
        <f>Translations!$B$783</f>
        <v>Waste gas consumed</v>
      </c>
      <c r="F506" s="1526"/>
      <c r="G506" s="1526"/>
      <c r="H506" s="939" t="str">
        <f>EUconst_TJpa</f>
        <v>TJ / year</v>
      </c>
      <c r="I506" s="436" t="str">
        <f>IF($I469="","",IF(INDEX(F_ProductBM!I:I,MATCH($P506,F_ProductBM!$P:$P,0))="","",INDEX(F_ProductBM!I:I,MATCH($P506,F_ProductBM!$P:$P,0))))</f>
        <v/>
      </c>
      <c r="J506" s="436" t="str">
        <f>IF($I469="","",IF(INDEX(F_ProductBM!J:J,MATCH($P506,F_ProductBM!$P:$P,0))="","",INDEX(F_ProductBM!J:J,MATCH($P506,F_ProductBM!$P:$P,0))))</f>
        <v/>
      </c>
      <c r="K506" s="436" t="str">
        <f>IF($I469="","",IF(INDEX(F_ProductBM!K:K,MATCH($P506,F_ProductBM!$P:$P,0))="","",INDEX(F_ProductBM!K:K,MATCH($P506,F_ProductBM!$P:$P,0))))</f>
        <v/>
      </c>
      <c r="L506" s="436" t="str">
        <f>IF($I469="","",IF(INDEX(F_ProductBM!L:L,MATCH($P506,F_ProductBM!$P:$P,0))="","",INDEX(F_ProductBM!L:L,MATCH($P506,F_ProductBM!$P:$P,0))))</f>
        <v/>
      </c>
      <c r="M506" s="436" t="str">
        <f>IF($I469="","",IF(INDEX(F_ProductBM!M:M,MATCH($P506,F_ProductBM!$P:$P,0))="","",INDEX(F_ProductBM!M:M,MATCH($P506,F_ProductBM!$P:$P,0))))</f>
        <v/>
      </c>
      <c r="N506" s="342"/>
      <c r="O506" s="17"/>
      <c r="P506" s="116" t="str">
        <f>EUconst_CNTR_WGConsumed &amp; I469</f>
        <v>WasteGasCons_</v>
      </c>
      <c r="T506" s="9"/>
    </row>
    <row r="507" spans="2:20" x14ac:dyDescent="0.25">
      <c r="B507" s="17"/>
      <c r="C507" s="17"/>
      <c r="D507" s="17"/>
      <c r="E507" s="1527" t="str">
        <f>Translations!$B$784</f>
        <v>Specific EF (consumed waste gas)</v>
      </c>
      <c r="F507" s="1527"/>
      <c r="G507" s="1527"/>
      <c r="H507" s="343" t="str">
        <f>EUconst_tCO2pTJ</f>
        <v>t CO2 / TJ</v>
      </c>
      <c r="I507" s="437" t="str">
        <f>IF($I469="","",IF(INDEX(F_ProductBM!I:I,MATCH($P507,F_ProductBM!$P:$P,0))="","",INDEX(F_ProductBM!I:I,MATCH($P507,F_ProductBM!$P:$P,0))))</f>
        <v/>
      </c>
      <c r="J507" s="437" t="str">
        <f>IF($I469="","",IF(INDEX(F_ProductBM!J:J,MATCH($P507,F_ProductBM!$P:$P,0))="","",INDEX(F_ProductBM!J:J,MATCH($P507,F_ProductBM!$P:$P,0))))</f>
        <v/>
      </c>
      <c r="K507" s="437" t="str">
        <f>IF($I469="","",IF(INDEX(F_ProductBM!K:K,MATCH($P507,F_ProductBM!$P:$P,0))="","",INDEX(F_ProductBM!K:K,MATCH($P507,F_ProductBM!$P:$P,0))))</f>
        <v/>
      </c>
      <c r="L507" s="437" t="str">
        <f>IF($I469="","",IF(INDEX(F_ProductBM!L:L,MATCH($P507,F_ProductBM!$P:$P,0))="","",INDEX(F_ProductBM!L:L,MATCH($P507,F_ProductBM!$P:$P,0))))</f>
        <v/>
      </c>
      <c r="M507" s="437" t="str">
        <f>IF($I469="","",IF(INDEX(F_ProductBM!M:M,MATCH($P507,F_ProductBM!$P:$P,0))="","",INDEX(F_ProductBM!M:M,MATCH($P507,F_ProductBM!$P:$P,0))))</f>
        <v/>
      </c>
      <c r="N507" s="342"/>
      <c r="O507" s="17"/>
      <c r="P507" s="116" t="str">
        <f>EUconst_CNTR_WGConsumedEF &amp; I469</f>
        <v>WasteGasConsEF_</v>
      </c>
      <c r="T507" s="9"/>
    </row>
    <row r="508" spans="2:20" x14ac:dyDescent="0.25">
      <c r="B508" s="17"/>
      <c r="C508" s="17"/>
      <c r="D508" s="17"/>
      <c r="E508" s="1526" t="str">
        <f>Translations!$B$790</f>
        <v>Waste gas flared</v>
      </c>
      <c r="F508" s="1526"/>
      <c r="G508" s="1526"/>
      <c r="H508" s="939" t="str">
        <f>EUconst_TJpa</f>
        <v>TJ / year</v>
      </c>
      <c r="I508" s="436" t="str">
        <f>IF($I469="","",IF(INDEX(F_ProductBM!I:I,MATCH($P508,F_ProductBM!$P:$P,0))="","",INDEX(F_ProductBM!I:I,MATCH($P508,F_ProductBM!$P:$P,0))))</f>
        <v/>
      </c>
      <c r="J508" s="436" t="str">
        <f>IF($I469="","",IF(INDEX(F_ProductBM!J:J,MATCH($P508,F_ProductBM!$P:$P,0))="","",INDEX(F_ProductBM!J:J,MATCH($P508,F_ProductBM!$P:$P,0))))</f>
        <v/>
      </c>
      <c r="K508" s="436" t="str">
        <f>IF($I469="","",IF(INDEX(F_ProductBM!K:K,MATCH($P508,F_ProductBM!$P:$P,0))="","",INDEX(F_ProductBM!K:K,MATCH($P508,F_ProductBM!$P:$P,0))))</f>
        <v/>
      </c>
      <c r="L508" s="436" t="str">
        <f>IF($I469="","",IF(INDEX(F_ProductBM!L:L,MATCH($P508,F_ProductBM!$P:$P,0))="","",INDEX(F_ProductBM!L:L,MATCH($P508,F_ProductBM!$P:$P,0))))</f>
        <v/>
      </c>
      <c r="M508" s="436" t="str">
        <f>IF($I469="","",IF(INDEX(F_ProductBM!M:M,MATCH($P508,F_ProductBM!$P:$P,0))="","",INDEX(F_ProductBM!M:M,MATCH($P508,F_ProductBM!$P:$P,0))))</f>
        <v/>
      </c>
      <c r="N508" s="342"/>
      <c r="O508" s="17"/>
      <c r="P508" s="116" t="str">
        <f>EUconst_CNTR_WGFlared &amp; I469</f>
        <v>WasteGasFlare_</v>
      </c>
      <c r="T508" s="9"/>
    </row>
    <row r="509" spans="2:20" x14ac:dyDescent="0.25">
      <c r="B509" s="17"/>
      <c r="C509" s="17"/>
      <c r="D509" s="17"/>
      <c r="E509" s="1527" t="str">
        <f>Translations!$B$791</f>
        <v>Specific EF (flared waste gas)</v>
      </c>
      <c r="F509" s="1527"/>
      <c r="G509" s="1527"/>
      <c r="H509" s="343" t="str">
        <f>EUconst_tCO2pTJ</f>
        <v>t CO2 / TJ</v>
      </c>
      <c r="I509" s="437" t="str">
        <f>IF($I469="","",IF(INDEX(F_ProductBM!I:I,MATCH($P509,F_ProductBM!$P:$P,0))="","",INDEX(F_ProductBM!I:I,MATCH($P509,F_ProductBM!$P:$P,0))))</f>
        <v/>
      </c>
      <c r="J509" s="437" t="str">
        <f>IF($I469="","",IF(INDEX(F_ProductBM!J:J,MATCH($P509,F_ProductBM!$P:$P,0))="","",INDEX(F_ProductBM!J:J,MATCH($P509,F_ProductBM!$P:$P,0))))</f>
        <v/>
      </c>
      <c r="K509" s="437" t="str">
        <f>IF($I469="","",IF(INDEX(F_ProductBM!K:K,MATCH($P509,F_ProductBM!$P:$P,0))="","",INDEX(F_ProductBM!K:K,MATCH($P509,F_ProductBM!$P:$P,0))))</f>
        <v/>
      </c>
      <c r="L509" s="437" t="str">
        <f>IF($I469="","",IF(INDEX(F_ProductBM!L:L,MATCH($P509,F_ProductBM!$P:$P,0))="","",INDEX(F_ProductBM!L:L,MATCH($P509,F_ProductBM!$P:$P,0))))</f>
        <v/>
      </c>
      <c r="M509" s="437" t="str">
        <f>IF($I469="","",IF(INDEX(F_ProductBM!M:M,MATCH($P509,F_ProductBM!$P:$P,0))="","",INDEX(F_ProductBM!M:M,MATCH($P509,F_ProductBM!$P:$P,0))))</f>
        <v/>
      </c>
      <c r="N509" s="342"/>
      <c r="O509" s="17"/>
      <c r="P509" s="116" t="str">
        <f>EUconst_CNTR_WGFlaredEF &amp; I469</f>
        <v>WasteGasFlareEF_</v>
      </c>
      <c r="T509" s="9"/>
    </row>
    <row r="510" spans="2:20" x14ac:dyDescent="0.25">
      <c r="B510" s="17"/>
      <c r="C510" s="17"/>
      <c r="D510" s="17"/>
      <c r="E510" s="1526" t="str">
        <f>Translations!$B$796</f>
        <v>Waste gas imported</v>
      </c>
      <c r="F510" s="1526"/>
      <c r="G510" s="1526"/>
      <c r="H510" s="939" t="str">
        <f>EUconst_TJpa</f>
        <v>TJ / year</v>
      </c>
      <c r="I510" s="436" t="str">
        <f>IF($I469="","",IF(INDEX(F_ProductBM!I:I,MATCH($P510,F_ProductBM!$P:$P,0))="","",INDEX(F_ProductBM!I:I,MATCH($P510,F_ProductBM!$P:$P,0))))</f>
        <v/>
      </c>
      <c r="J510" s="436" t="str">
        <f>IF($I469="","",IF(INDEX(F_ProductBM!J:J,MATCH($P510,F_ProductBM!$P:$P,0))="","",INDEX(F_ProductBM!J:J,MATCH($P510,F_ProductBM!$P:$P,0))))</f>
        <v/>
      </c>
      <c r="K510" s="436" t="str">
        <f>IF($I469="","",IF(INDEX(F_ProductBM!K:K,MATCH($P510,F_ProductBM!$P:$P,0))="","",INDEX(F_ProductBM!K:K,MATCH($P510,F_ProductBM!$P:$P,0))))</f>
        <v/>
      </c>
      <c r="L510" s="436" t="str">
        <f>IF($I469="","",IF(INDEX(F_ProductBM!L:L,MATCH($P510,F_ProductBM!$P:$P,0))="","",INDEX(F_ProductBM!L:L,MATCH($P510,F_ProductBM!$P:$P,0))))</f>
        <v/>
      </c>
      <c r="M510" s="436" t="str">
        <f>IF($I469="","",IF(INDEX(F_ProductBM!M:M,MATCH($P510,F_ProductBM!$P:$P,0))="","",INDEX(F_ProductBM!M:M,MATCH($P510,F_ProductBM!$P:$P,0))))</f>
        <v/>
      </c>
      <c r="N510" s="342"/>
      <c r="O510" s="17"/>
      <c r="P510" s="116" t="str">
        <f>EUconst_CNTR_WGImport &amp; I469</f>
        <v>WasteGasIm_</v>
      </c>
      <c r="T510" s="9"/>
    </row>
    <row r="511" spans="2:20" x14ac:dyDescent="0.25">
      <c r="B511" s="17"/>
      <c r="C511" s="17"/>
      <c r="D511" s="17"/>
      <c r="E511" s="1527" t="str">
        <f>Translations!$B$797</f>
        <v>Specific EF (imported waste gas)</v>
      </c>
      <c r="F511" s="1527"/>
      <c r="G511" s="1527"/>
      <c r="H511" s="343" t="str">
        <f>EUconst_tCO2pTJ</f>
        <v>t CO2 / TJ</v>
      </c>
      <c r="I511" s="437" t="str">
        <f>IF($I469="","",IF(INDEX(F_ProductBM!I:I,MATCH($P511,F_ProductBM!$P:$P,0))="","",INDEX(F_ProductBM!I:I,MATCH($P511,F_ProductBM!$P:$P,0))))</f>
        <v/>
      </c>
      <c r="J511" s="437" t="str">
        <f>IF($I469="","",IF(INDEX(F_ProductBM!J:J,MATCH($P511,F_ProductBM!$P:$P,0))="","",INDEX(F_ProductBM!J:J,MATCH($P511,F_ProductBM!$P:$P,0))))</f>
        <v/>
      </c>
      <c r="K511" s="437" t="str">
        <f>IF($I469="","",IF(INDEX(F_ProductBM!K:K,MATCH($P511,F_ProductBM!$P:$P,0))="","",INDEX(F_ProductBM!K:K,MATCH($P511,F_ProductBM!$P:$P,0))))</f>
        <v/>
      </c>
      <c r="L511" s="437" t="str">
        <f>IF($I469="","",IF(INDEX(F_ProductBM!L:L,MATCH($P511,F_ProductBM!$P:$P,0))="","",INDEX(F_ProductBM!L:L,MATCH($P511,F_ProductBM!$P:$P,0))))</f>
        <v/>
      </c>
      <c r="M511" s="437" t="str">
        <f>IF($I469="","",IF(INDEX(F_ProductBM!M:M,MATCH($P511,F_ProductBM!$P:$P,0))="","",INDEX(F_ProductBM!M:M,MATCH($P511,F_ProductBM!$P:$P,0))))</f>
        <v/>
      </c>
      <c r="N511" s="342"/>
      <c r="O511" s="17"/>
      <c r="P511" s="116" t="str">
        <f>EUconst_CNTR_WGImportEF &amp; I469</f>
        <v>WasteGasImEF_</v>
      </c>
      <c r="T511" s="9"/>
    </row>
    <row r="512" spans="2:20" x14ac:dyDescent="0.25">
      <c r="B512" s="17"/>
      <c r="C512" s="17"/>
      <c r="D512" s="17"/>
      <c r="E512" s="1526" t="str">
        <f>Translations!$B$801</f>
        <v>Waste gas exported</v>
      </c>
      <c r="F512" s="1526"/>
      <c r="G512" s="1526"/>
      <c r="H512" s="939" t="str">
        <f>EUconst_TJpa</f>
        <v>TJ / year</v>
      </c>
      <c r="I512" s="436" t="str">
        <f>IF($I469="","",IF(INDEX(F_ProductBM!I:I,MATCH($P512,F_ProductBM!$P:$P,0))="","",INDEX(F_ProductBM!I:I,MATCH($P512,F_ProductBM!$P:$P,0))))</f>
        <v/>
      </c>
      <c r="J512" s="436" t="str">
        <f>IF($I469="","",IF(INDEX(F_ProductBM!J:J,MATCH($P512,F_ProductBM!$P:$P,0))="","",INDEX(F_ProductBM!J:J,MATCH($P512,F_ProductBM!$P:$P,0))))</f>
        <v/>
      </c>
      <c r="K512" s="436" t="str">
        <f>IF($I469="","",IF(INDEX(F_ProductBM!K:K,MATCH($P512,F_ProductBM!$P:$P,0))="","",INDEX(F_ProductBM!K:K,MATCH($P512,F_ProductBM!$P:$P,0))))</f>
        <v/>
      </c>
      <c r="L512" s="436" t="str">
        <f>IF($I469="","",IF(INDEX(F_ProductBM!L:L,MATCH($P512,F_ProductBM!$P:$P,0))="","",INDEX(F_ProductBM!L:L,MATCH($P512,F_ProductBM!$P:$P,0))))</f>
        <v/>
      </c>
      <c r="M512" s="436" t="str">
        <f>IF($I469="","",IF(INDEX(F_ProductBM!M:M,MATCH($P512,F_ProductBM!$P:$P,0))="","",INDEX(F_ProductBM!M:M,MATCH($P512,F_ProductBM!$P:$P,0))))</f>
        <v/>
      </c>
      <c r="N512" s="342"/>
      <c r="O512" s="17"/>
      <c r="P512" s="116" t="str">
        <f>EUconst_CNTR_WGExport &amp; I469</f>
        <v>WasteGasEx_</v>
      </c>
      <c r="T512" s="9"/>
    </row>
    <row r="513" spans="2:20" x14ac:dyDescent="0.25">
      <c r="B513" s="17"/>
      <c r="C513" s="17"/>
      <c r="D513" s="17"/>
      <c r="E513" s="1527" t="str">
        <f>Translations!$B$802</f>
        <v>Specific EF (exported waste gas)</v>
      </c>
      <c r="F513" s="1527"/>
      <c r="G513" s="1527"/>
      <c r="H513" s="343" t="str">
        <f>EUconst_tCO2pTJ</f>
        <v>t CO2 / TJ</v>
      </c>
      <c r="I513" s="437" t="str">
        <f>IF($I469="","",IF(INDEX(F_ProductBM!I:I,MATCH($P513,F_ProductBM!$P:$P,0))="","",INDEX(F_ProductBM!I:I,MATCH($P513,F_ProductBM!$P:$P,0))))</f>
        <v/>
      </c>
      <c r="J513" s="437" t="str">
        <f>IF($I469="","",IF(INDEX(F_ProductBM!J:J,MATCH($P513,F_ProductBM!$P:$P,0))="","",INDEX(F_ProductBM!J:J,MATCH($P513,F_ProductBM!$P:$P,0))))</f>
        <v/>
      </c>
      <c r="K513" s="437" t="str">
        <f>IF($I469="","",IF(INDEX(F_ProductBM!K:K,MATCH($P513,F_ProductBM!$P:$P,0))="","",INDEX(F_ProductBM!K:K,MATCH($P513,F_ProductBM!$P:$P,0))))</f>
        <v/>
      </c>
      <c r="L513" s="437" t="str">
        <f>IF($I469="","",IF(INDEX(F_ProductBM!L:L,MATCH($P513,F_ProductBM!$P:$P,0))="","",INDEX(F_ProductBM!L:L,MATCH($P513,F_ProductBM!$P:$P,0))))</f>
        <v/>
      </c>
      <c r="M513" s="437" t="str">
        <f>IF($I469="","",IF(INDEX(F_ProductBM!M:M,MATCH($P513,F_ProductBM!$P:$P,0))="","",INDEX(F_ProductBM!M:M,MATCH($P513,F_ProductBM!$P:$P,0))))</f>
        <v/>
      </c>
      <c r="N513" s="342"/>
      <c r="O513" s="17"/>
      <c r="P513" s="116" t="str">
        <f>EUconst_CNTR_WGExportEF &amp; I469</f>
        <v>WasteGasExEF_</v>
      </c>
      <c r="T513" s="9"/>
    </row>
    <row r="514" spans="2:20" ht="5.0999999999999996" customHeight="1" x14ac:dyDescent="0.25">
      <c r="B514" s="17"/>
      <c r="C514" s="17"/>
      <c r="D514" s="17"/>
      <c r="E514" s="193"/>
      <c r="F514" s="193"/>
      <c r="G514" s="193"/>
      <c r="H514" s="193"/>
      <c r="I514" s="438"/>
      <c r="J514" s="438"/>
      <c r="K514" s="438"/>
      <c r="L514" s="438"/>
      <c r="M514" s="438"/>
      <c r="N514" s="342"/>
      <c r="O514" s="17"/>
      <c r="P514" s="9"/>
      <c r="T514" s="9"/>
    </row>
    <row r="515" spans="2:20" x14ac:dyDescent="0.25">
      <c r="B515" s="17"/>
      <c r="C515" s="17"/>
      <c r="D515" s="17"/>
      <c r="E515" s="1528" t="str">
        <f>Translations!$B$689</f>
        <v>Relevant electricity consumption</v>
      </c>
      <c r="F515" s="1528"/>
      <c r="G515" s="1528"/>
      <c r="H515" s="154" t="str">
        <f>EUconst_MWhpa</f>
        <v>MWh / year</v>
      </c>
      <c r="I515" s="439" t="str">
        <f>IF($I469="","",IF(INDEX(F_ProductBM!I:I,MATCH($P515,F_ProductBM!$Q:$Q,0))="","",INDEX(F_ProductBM!I:I,MATCH($P515,F_ProductBM!$Q:$Q,0))))</f>
        <v/>
      </c>
      <c r="J515" s="439" t="str">
        <f>IF($I469="","",IF(INDEX(F_ProductBM!J:J,MATCH($P515,F_ProductBM!$Q:$Q,0))="","",INDEX(F_ProductBM!J:J,MATCH($P515,F_ProductBM!$Q:$Q,0))))</f>
        <v/>
      </c>
      <c r="K515" s="439" t="str">
        <f>IF($I469="","",IF(INDEX(F_ProductBM!K:K,MATCH($P515,F_ProductBM!$Q:$Q,0))="","",INDEX(F_ProductBM!K:K,MATCH($P515,F_ProductBM!$Q:$Q,0))))</f>
        <v/>
      </c>
      <c r="L515" s="439" t="str">
        <f>IF($I469="","",IF(INDEX(F_ProductBM!L:L,MATCH($P515,F_ProductBM!$Q:$Q,0))="","",INDEX(F_ProductBM!L:L,MATCH($P515,F_ProductBM!$Q:$Q,0))))</f>
        <v/>
      </c>
      <c r="M515" s="439" t="str">
        <f>IF($I469="","",IF(INDEX(F_ProductBM!M:M,MATCH($P515,F_ProductBM!$Q:$Q,0))="","",INDEX(F_ProductBM!M:M,MATCH($P515,F_ProductBM!$Q:$Q,0))))</f>
        <v/>
      </c>
      <c r="N515" s="342"/>
      <c r="O515" s="17"/>
      <c r="P515" s="63" t="str">
        <f>EUconst_CNTR_HAL&amp;EUconst_CNTR_ELEXCH &amp; I469</f>
        <v>HAL_ELEXCH_</v>
      </c>
      <c r="T515" s="9"/>
    </row>
    <row r="516" spans="2:20" x14ac:dyDescent="0.25">
      <c r="B516" s="17"/>
      <c r="C516" s="17"/>
      <c r="D516" s="17"/>
      <c r="E516" s="1528" t="str">
        <f>Translations!$B$805</f>
        <v>Electricity produced</v>
      </c>
      <c r="F516" s="1528"/>
      <c r="G516" s="1528"/>
      <c r="H516" s="154" t="str">
        <f>EUconst_MWhpa</f>
        <v>MWh / year</v>
      </c>
      <c r="I516" s="439" t="str">
        <f>IF($I469="","",IF(INDEX(F_ProductBM!I:I,MATCH($P516,F_ProductBM!$P:$P,0))="","",INDEX(F_ProductBM!I:I,MATCH($P516,F_ProductBM!$P:$P,0))))</f>
        <v/>
      </c>
      <c r="J516" s="439" t="str">
        <f>IF($I469="","",IF(INDEX(F_ProductBM!J:J,MATCH($P516,F_ProductBM!$P:$P,0))="","",INDEX(F_ProductBM!J:J,MATCH($P516,F_ProductBM!$P:$P,0))))</f>
        <v/>
      </c>
      <c r="K516" s="439" t="str">
        <f>IF($I469="","",IF(INDEX(F_ProductBM!K:K,MATCH($P516,F_ProductBM!$P:$P,0))="","",INDEX(F_ProductBM!K:K,MATCH($P516,F_ProductBM!$P:$P,0))))</f>
        <v/>
      </c>
      <c r="L516" s="439" t="str">
        <f>IF($I469="","",IF(INDEX(F_ProductBM!L:L,MATCH($P516,F_ProductBM!$P:$P,0))="","",INDEX(F_ProductBM!L:L,MATCH($P516,F_ProductBM!$P:$P,0))))</f>
        <v/>
      </c>
      <c r="M516" s="439" t="str">
        <f>IF($I469="","",IF(INDEX(F_ProductBM!M:M,MATCH($P516,F_ProductBM!$P:$P,0))="","",INDEX(F_ProductBM!M:M,MATCH($P516,F_ProductBM!$P:$P,0))))</f>
        <v/>
      </c>
      <c r="N516" s="342"/>
      <c r="O516" s="17"/>
      <c r="P516" s="116" t="str">
        <f>EUconst_CNTR_ElectricityExported &amp; I469</f>
        <v>ElecEx_</v>
      </c>
      <c r="T516" s="9"/>
    </row>
    <row r="517" spans="2:20" ht="5.0999999999999996" customHeight="1" x14ac:dyDescent="0.25">
      <c r="B517" s="17"/>
      <c r="C517" s="17"/>
      <c r="D517" s="17"/>
      <c r="E517" s="193"/>
      <c r="F517" s="193"/>
      <c r="G517" s="193"/>
      <c r="H517" s="193"/>
      <c r="I517" s="438"/>
      <c r="J517" s="438"/>
      <c r="K517" s="438"/>
      <c r="L517" s="438"/>
      <c r="M517" s="438"/>
      <c r="N517" s="342"/>
      <c r="O517" s="17"/>
      <c r="P517" s="9"/>
      <c r="T517" s="9"/>
    </row>
    <row r="518" spans="2:20" x14ac:dyDescent="0.25">
      <c r="B518" s="17"/>
      <c r="C518" s="17"/>
      <c r="D518" s="17"/>
      <c r="E518" s="1528" t="str">
        <f>Translations!$B$806</f>
        <v>Total amount of pulp produced</v>
      </c>
      <c r="F518" s="1528"/>
      <c r="G518" s="1528"/>
      <c r="H518" s="154" t="str">
        <f>EUconst_Tons</f>
        <v>tonnes</v>
      </c>
      <c r="I518" s="439" t="str">
        <f>IF($I469="","",IF(INDEX(F_ProductBM!I:I,MATCH($P518,F_ProductBM!$P:$P,0))="","",INDEX(F_ProductBM!I:I,MATCH($P518,F_ProductBM!$P:$P,0))))</f>
        <v/>
      </c>
      <c r="J518" s="439" t="str">
        <f>IF($I469="","",IF(INDEX(F_ProductBM!J:J,MATCH($P518,F_ProductBM!$P:$P,0))="","",INDEX(F_ProductBM!J:J,MATCH($P518,F_ProductBM!$P:$P,0))))</f>
        <v/>
      </c>
      <c r="K518" s="439" t="str">
        <f>IF($I469="","",IF(INDEX(F_ProductBM!K:K,MATCH($P518,F_ProductBM!$P:$P,0))="","",INDEX(F_ProductBM!K:K,MATCH($P518,F_ProductBM!$P:$P,0))))</f>
        <v/>
      </c>
      <c r="L518" s="439" t="str">
        <f>IF($I469="","",IF(INDEX(F_ProductBM!L:L,MATCH($P518,F_ProductBM!$P:$P,0))="","",INDEX(F_ProductBM!L:L,MATCH($P518,F_ProductBM!$P:$P,0))))</f>
        <v/>
      </c>
      <c r="M518" s="439" t="str">
        <f>IF($I469="","",IF(INDEX(F_ProductBM!M:M,MATCH($P518,F_ProductBM!$P:$P,0))="","",INDEX(F_ProductBM!M:M,MATCH($P518,F_ProductBM!$P:$P,0))))</f>
        <v/>
      </c>
      <c r="N518" s="342"/>
      <c r="O518" s="17"/>
      <c r="P518" s="116" t="str">
        <f>EUconst_CNTR_HALPulpTotal &amp; I469</f>
        <v>HALPulpTotal_</v>
      </c>
      <c r="T518" s="9"/>
    </row>
    <row r="519" spans="2:20" ht="5.0999999999999996" customHeight="1" x14ac:dyDescent="0.25">
      <c r="B519" s="17"/>
      <c r="C519" s="17"/>
      <c r="D519" s="17"/>
      <c r="E519" s="193"/>
      <c r="F519" s="193"/>
      <c r="G519" s="193"/>
      <c r="H519" s="193"/>
      <c r="I519" s="438"/>
      <c r="J519" s="438"/>
      <c r="K519" s="438"/>
      <c r="L519" s="438"/>
      <c r="M519" s="438"/>
      <c r="N519" s="342"/>
      <c r="O519" s="17"/>
      <c r="P519" s="9"/>
      <c r="T519" s="9"/>
    </row>
    <row r="520" spans="2:20" x14ac:dyDescent="0.25">
      <c r="B520" s="17"/>
      <c r="C520" s="17"/>
      <c r="D520" s="17"/>
      <c r="E520" s="605" t="str">
        <f>Translations!$B$1239</f>
        <v>Intermediate import:</v>
      </c>
      <c r="F520" s="193"/>
      <c r="G520" s="193"/>
      <c r="H520" s="193"/>
      <c r="I520" s="438"/>
      <c r="J520" s="438"/>
      <c r="K520" s="438"/>
      <c r="L520" s="438"/>
      <c r="M520" s="438"/>
      <c r="N520" s="342"/>
      <c r="O520" s="17"/>
      <c r="P520" s="9"/>
      <c r="T520" s="9"/>
    </row>
    <row r="521" spans="2:20" x14ac:dyDescent="0.25">
      <c r="B521" s="17"/>
      <c r="C521" s="17"/>
      <c r="D521" s="17"/>
      <c r="E521" s="1510" t="str">
        <f>IF($I469="","",IF(INDEX(F_ProductBM!E:E,MATCH($P521,F_ProductBM!$P:$P,0))="","",INDEX(F_ProductBM!E:E,MATCH($P521,F_ProductBM!$P:$P,0))))</f>
        <v/>
      </c>
      <c r="F521" s="1510"/>
      <c r="G521" s="1510"/>
      <c r="H521" s="154" t="str">
        <f>EUconst_Tons</f>
        <v>tonnes</v>
      </c>
      <c r="I521" s="439" t="str">
        <f>IF($I469="","",IF(INDEX(F_ProductBM!I:I,MATCH($P521,F_ProductBM!$P:$P,0))="","",INDEX(F_ProductBM!I:I,MATCH($P521,F_ProductBM!$P:$P,0))))</f>
        <v/>
      </c>
      <c r="J521" s="439" t="str">
        <f>IF($I469="","",IF(INDEX(F_ProductBM!J:J,MATCH($P521,F_ProductBM!$P:$P,0))="","",INDEX(F_ProductBM!J:J,MATCH($P521,F_ProductBM!$P:$P,0))))</f>
        <v/>
      </c>
      <c r="K521" s="439" t="str">
        <f>IF($I469="","",IF(INDEX(F_ProductBM!K:K,MATCH($P521,F_ProductBM!$P:$P,0))="","",INDEX(F_ProductBM!K:K,MATCH($P521,F_ProductBM!$P:$P,0))))</f>
        <v/>
      </c>
      <c r="L521" s="439" t="str">
        <f>IF($I469="","",IF(INDEX(F_ProductBM!L:L,MATCH($P521,F_ProductBM!$P:$P,0))="","",INDEX(F_ProductBM!L:L,MATCH($P521,F_ProductBM!$P:$P,0))))</f>
        <v/>
      </c>
      <c r="M521" s="439" t="str">
        <f>IF($I469="","",IF(INDEX(F_ProductBM!M:M,MATCH($P521,F_ProductBM!$P:$P,0))="","",INDEX(F_ProductBM!M:M,MATCH($P521,F_ProductBM!$P:$P,0))))</f>
        <v/>
      </c>
      <c r="N521" s="342"/>
      <c r="O521" s="17"/>
      <c r="P521" s="116" t="str">
        <f>EUconst_CNTR_IntermediateImport &amp; R521 &amp; "_" &amp; I469</f>
        <v>IntImp_1_</v>
      </c>
      <c r="R521" s="372">
        <v>1</v>
      </c>
      <c r="T521" s="9"/>
    </row>
    <row r="522" spans="2:20" x14ac:dyDescent="0.25">
      <c r="B522" s="17"/>
      <c r="C522" s="17"/>
      <c r="D522" s="17"/>
      <c r="E522" s="1510" t="str">
        <f>IF($I469="","",IF(INDEX(F_ProductBM!E:E,MATCH($P522,F_ProductBM!$P:$P,0))="","",INDEX(F_ProductBM!E:E,MATCH($P522,F_ProductBM!$P:$P,0))))</f>
        <v/>
      </c>
      <c r="F522" s="1510"/>
      <c r="G522" s="1510"/>
      <c r="H522" s="154" t="str">
        <f>EUconst_Tons</f>
        <v>tonnes</v>
      </c>
      <c r="I522" s="439" t="str">
        <f>IF($I469="","",IF(INDEX(F_ProductBM!I:I,MATCH($P522,F_ProductBM!$P:$P,0))="","",INDEX(F_ProductBM!I:I,MATCH($P522,F_ProductBM!$P:$P,0))))</f>
        <v/>
      </c>
      <c r="J522" s="439" t="str">
        <f>IF($I469="","",IF(INDEX(F_ProductBM!J:J,MATCH($P522,F_ProductBM!$P:$P,0))="","",INDEX(F_ProductBM!J:J,MATCH($P522,F_ProductBM!$P:$P,0))))</f>
        <v/>
      </c>
      <c r="K522" s="439" t="str">
        <f>IF($I469="","",IF(INDEX(F_ProductBM!K:K,MATCH($P522,F_ProductBM!$P:$P,0))="","",INDEX(F_ProductBM!K:K,MATCH($P522,F_ProductBM!$P:$P,0))))</f>
        <v/>
      </c>
      <c r="L522" s="439" t="str">
        <f>IF($I469="","",IF(INDEX(F_ProductBM!L:L,MATCH($P522,F_ProductBM!$P:$P,0))="","",INDEX(F_ProductBM!L:L,MATCH($P522,F_ProductBM!$P:$P,0))))</f>
        <v/>
      </c>
      <c r="M522" s="439" t="str">
        <f>IF($I469="","",IF(INDEX(F_ProductBM!M:M,MATCH($P522,F_ProductBM!$P:$P,0))="","",INDEX(F_ProductBM!M:M,MATCH($P522,F_ProductBM!$P:$P,0))))</f>
        <v/>
      </c>
      <c r="N522" s="342"/>
      <c r="O522" s="17"/>
      <c r="P522" s="116" t="str">
        <f>EUconst_CNTR_IntermediateImport &amp; R522 &amp; "_" &amp; I469</f>
        <v>IntImp_2_</v>
      </c>
      <c r="R522" s="372">
        <v>2</v>
      </c>
      <c r="T522" s="9"/>
    </row>
    <row r="523" spans="2:20" x14ac:dyDescent="0.25">
      <c r="B523" s="17"/>
      <c r="C523" s="17"/>
      <c r="D523" s="17"/>
      <c r="E523" s="605" t="str">
        <f>Translations!$B$1240</f>
        <v>Intermediate export:</v>
      </c>
      <c r="F523" s="193"/>
      <c r="G523" s="193"/>
      <c r="H523" s="193"/>
      <c r="I523" s="438"/>
      <c r="J523" s="438"/>
      <c r="K523" s="438"/>
      <c r="L523" s="438"/>
      <c r="M523" s="438"/>
      <c r="N523" s="342"/>
      <c r="O523" s="17"/>
      <c r="P523" s="9"/>
      <c r="T523" s="9"/>
    </row>
    <row r="524" spans="2:20" x14ac:dyDescent="0.25">
      <c r="B524" s="17"/>
      <c r="C524" s="17"/>
      <c r="D524" s="17"/>
      <c r="E524" s="1510" t="str">
        <f>IF($I469="","",IF(INDEX(F_ProductBM!E:E,MATCH($P524,F_ProductBM!$P:$P,0))="","",INDEX(F_ProductBM!E:E,MATCH($P524,F_ProductBM!$P:$P,0))))</f>
        <v/>
      </c>
      <c r="F524" s="1510"/>
      <c r="G524" s="1510"/>
      <c r="H524" s="154" t="str">
        <f>EUconst_Tons</f>
        <v>tonnes</v>
      </c>
      <c r="I524" s="439" t="str">
        <f>IF($I469="","",IF(INDEX(F_ProductBM!I:I,MATCH($P524,F_ProductBM!$P:$P,0))="","",INDEX(F_ProductBM!I:I,MATCH($P524,F_ProductBM!$P:$P,0))))</f>
        <v/>
      </c>
      <c r="J524" s="439" t="str">
        <f>IF($I469="","",IF(INDEX(F_ProductBM!J:J,MATCH($P524,F_ProductBM!$P:$P,0))="","",INDEX(F_ProductBM!J:J,MATCH($P524,F_ProductBM!$P:$P,0))))</f>
        <v/>
      </c>
      <c r="K524" s="439" t="str">
        <f>IF($I469="","",IF(INDEX(F_ProductBM!K:K,MATCH($P524,F_ProductBM!$P:$P,0))="","",INDEX(F_ProductBM!K:K,MATCH($P524,F_ProductBM!$P:$P,0))))</f>
        <v/>
      </c>
      <c r="L524" s="439" t="str">
        <f>IF($I469="","",IF(INDEX(F_ProductBM!L:L,MATCH($P524,F_ProductBM!$P:$P,0))="","",INDEX(F_ProductBM!L:L,MATCH($P524,F_ProductBM!$P:$P,0))))</f>
        <v/>
      </c>
      <c r="M524" s="439" t="str">
        <f>IF($I469="","",IF(INDEX(F_ProductBM!M:M,MATCH($P524,F_ProductBM!$P:$P,0))="","",INDEX(F_ProductBM!M:M,MATCH($P524,F_ProductBM!$P:$P,0))))</f>
        <v/>
      </c>
      <c r="N524" s="342"/>
      <c r="O524" s="17"/>
      <c r="P524" s="116" t="str">
        <f>EUconst_CNTR_IntermediateExport &amp; R521 &amp; "_" &amp; I469</f>
        <v>IntExp_1_</v>
      </c>
      <c r="R524" s="372">
        <v>1</v>
      </c>
      <c r="T524" s="9"/>
    </row>
    <row r="525" spans="2:20" x14ac:dyDescent="0.25">
      <c r="B525" s="17"/>
      <c r="C525" s="17"/>
      <c r="D525" s="17"/>
      <c r="E525" s="1510" t="str">
        <f>IF($I469="","",IF(INDEX(F_ProductBM!E:E,MATCH($P525,F_ProductBM!$P:$P,0))="","",INDEX(F_ProductBM!E:E,MATCH($P525,F_ProductBM!$P:$P,0))))</f>
        <v/>
      </c>
      <c r="F525" s="1510"/>
      <c r="G525" s="1510"/>
      <c r="H525" s="154" t="str">
        <f>EUconst_Tons</f>
        <v>tonnes</v>
      </c>
      <c r="I525" s="439" t="str">
        <f>IF($I469="","",IF(INDEX(F_ProductBM!I:I,MATCH($P525,F_ProductBM!$P:$P,0))="","",INDEX(F_ProductBM!I:I,MATCH($P525,F_ProductBM!$P:$P,0))))</f>
        <v/>
      </c>
      <c r="J525" s="439" t="str">
        <f>IF($I469="","",IF(INDEX(F_ProductBM!J:J,MATCH($P525,F_ProductBM!$P:$P,0))="","",INDEX(F_ProductBM!J:J,MATCH($P525,F_ProductBM!$P:$P,0))))</f>
        <v/>
      </c>
      <c r="K525" s="439" t="str">
        <f>IF($I469="","",IF(INDEX(F_ProductBM!K:K,MATCH($P525,F_ProductBM!$P:$P,0))="","",INDEX(F_ProductBM!K:K,MATCH($P525,F_ProductBM!$P:$P,0))))</f>
        <v/>
      </c>
      <c r="L525" s="439" t="str">
        <f>IF($I469="","",IF(INDEX(F_ProductBM!L:L,MATCH($P525,F_ProductBM!$P:$P,0))="","",INDEX(F_ProductBM!L:L,MATCH($P525,F_ProductBM!$P:$P,0))))</f>
        <v/>
      </c>
      <c r="M525" s="439" t="str">
        <f>IF($I469="","",IF(INDEX(F_ProductBM!M:M,MATCH($P525,F_ProductBM!$P:$P,0))="","",INDEX(F_ProductBM!M:M,MATCH($P525,F_ProductBM!$P:$P,0))))</f>
        <v/>
      </c>
      <c r="N525" s="342"/>
      <c r="O525" s="17"/>
      <c r="P525" s="116" t="str">
        <f>EUconst_CNTR_IntermediateExport &amp; R525 &amp; "_" &amp; I469</f>
        <v>IntExp_2_</v>
      </c>
      <c r="R525" s="372">
        <v>2</v>
      </c>
      <c r="T525" s="9"/>
    </row>
    <row r="526" spans="2:20" ht="12.75" customHeight="1" x14ac:dyDescent="0.25">
      <c r="B526" s="17"/>
      <c r="C526" s="17"/>
      <c r="D526" s="17"/>
      <c r="E526" s="193"/>
      <c r="F526" s="193"/>
      <c r="G526" s="193"/>
      <c r="H526" s="193"/>
      <c r="I526" s="342"/>
      <c r="J526" s="342"/>
      <c r="K526" s="342"/>
      <c r="L526" s="342"/>
      <c r="M526" s="342"/>
      <c r="N526" s="342"/>
      <c r="O526" s="17"/>
      <c r="P526" s="9"/>
      <c r="T526" s="9"/>
    </row>
    <row r="527" spans="2:20" ht="5.0999999999999996" customHeight="1" thickBot="1" x14ac:dyDescent="0.3">
      <c r="B527" s="17"/>
      <c r="C527" s="17"/>
      <c r="D527" s="17"/>
      <c r="E527" s="445"/>
      <c r="F527" s="276"/>
      <c r="G527" s="276"/>
      <c r="H527" s="276"/>
      <c r="I527" s="276"/>
      <c r="J527" s="276"/>
      <c r="K527" s="276"/>
      <c r="L527" s="276"/>
      <c r="M527" s="276"/>
      <c r="N527" s="276"/>
      <c r="O527" s="17"/>
      <c r="T527" s="9"/>
    </row>
    <row r="528" spans="2:20" ht="5.0999999999999996" customHeight="1" thickBot="1" x14ac:dyDescent="0.3">
      <c r="B528" s="8"/>
      <c r="C528" s="906"/>
      <c r="D528" s="906"/>
      <c r="E528" s="906"/>
      <c r="F528" s="906"/>
      <c r="G528" s="906"/>
      <c r="H528" s="906"/>
      <c r="I528" s="906"/>
      <c r="J528" s="906"/>
      <c r="K528" s="906"/>
      <c r="L528" s="906"/>
      <c r="M528" s="906"/>
      <c r="N528" s="906"/>
      <c r="O528" s="17"/>
      <c r="T528" s="9" t="s">
        <v>644</v>
      </c>
    </row>
    <row r="529" spans="2:20" ht="15" customHeight="1" thickBot="1" x14ac:dyDescent="0.3">
      <c r="B529" s="17"/>
      <c r="C529" s="19">
        <f>C469+1</f>
        <v>2</v>
      </c>
      <c r="D529" s="1234" t="str">
        <f>CONCATENATE(EUconst_BMSubinst," ",C529, ":")</f>
        <v>Sub-installation with product benchmark 2:</v>
      </c>
      <c r="E529" s="1234"/>
      <c r="F529" s="1234"/>
      <c r="G529" s="1234"/>
      <c r="H529" s="1704"/>
      <c r="I529" s="1550" t="str">
        <f>IF(INDEX(CNTR_SubInstListIsProdBM,$C529),INDEX(CNTR_SubInstListNames,$C529),"")</f>
        <v/>
      </c>
      <c r="J529" s="1705"/>
      <c r="K529" s="1705"/>
      <c r="L529" s="1705"/>
      <c r="M529" s="1705"/>
      <c r="N529" s="1706"/>
      <c r="O529" s="17"/>
      <c r="Q529" s="427">
        <f>C529</f>
        <v>2</v>
      </c>
      <c r="R529" s="424" t="str">
        <f>I529</f>
        <v/>
      </c>
      <c r="S529" s="426" t="str">
        <f>H532</f>
        <v>N.A.</v>
      </c>
      <c r="T529" s="425" t="str">
        <f>IF(M541="","",IF(S532=0,0,SUM(M541)/S532))</f>
        <v/>
      </c>
    </row>
    <row r="530" spans="2:20" ht="5.0999999999999996" customHeight="1" thickBot="1" x14ac:dyDescent="0.3">
      <c r="B530" s="17"/>
      <c r="C530" s="17"/>
      <c r="D530" s="17"/>
      <c r="E530" s="17"/>
      <c r="F530" s="17"/>
      <c r="G530" s="17"/>
      <c r="H530" s="17"/>
      <c r="I530" s="17"/>
      <c r="J530" s="17"/>
      <c r="K530" s="17"/>
      <c r="L530" s="17"/>
      <c r="M530" s="17"/>
      <c r="N530" s="17"/>
      <c r="O530" s="17"/>
      <c r="T530" s="9"/>
    </row>
    <row r="531" spans="2:20" x14ac:dyDescent="0.25">
      <c r="B531" s="17"/>
      <c r="C531" s="17"/>
      <c r="D531" s="17"/>
      <c r="E531" s="17"/>
      <c r="F531" s="17"/>
      <c r="G531" s="17"/>
      <c r="H531" s="253" t="str">
        <f>Translations!$B$1204</f>
        <v>CL-exposed</v>
      </c>
      <c r="I531" s="254" t="s">
        <v>629</v>
      </c>
      <c r="J531" s="254" t="str">
        <f>Translations!$B$1208</f>
        <v>Started</v>
      </c>
      <c r="K531" s="254" t="str">
        <f>Translations!$B$1206</f>
        <v>No. of BM</v>
      </c>
      <c r="L531" s="329" t="str">
        <f>Translations!$B$1212</f>
        <v>15(7).3?</v>
      </c>
      <c r="M531" s="468" t="str">
        <f>Translations!$B$1234</f>
        <v>BM value (min/max/actual)</v>
      </c>
      <c r="N531" s="469"/>
      <c r="O531" s="17"/>
      <c r="T531" s="9"/>
    </row>
    <row r="532" spans="2:20" x14ac:dyDescent="0.25">
      <c r="B532" s="17"/>
      <c r="C532" s="17"/>
      <c r="D532" s="17"/>
      <c r="E532" s="255" t="str">
        <f>I529</f>
        <v/>
      </c>
      <c r="F532" s="256"/>
      <c r="G532" s="230"/>
      <c r="H532" s="257" t="str">
        <f>IF(K532=EUconst_NA,EUconst_NA,INDEX(EUconst_BMlistCLstatus,K532))</f>
        <v>N.A.</v>
      </c>
      <c r="I532" s="258" t="str">
        <f>IF(E532="","",INDEX(EUconst_BMlistElExchangability,K532))</f>
        <v/>
      </c>
      <c r="J532" s="355" t="str">
        <f>IF($I529="",EUconst_NA,INDEX(CNTR_SubInstStartDate,MATCH(E532,CNTR_SubInstListNames,0)))</f>
        <v>N.A.</v>
      </c>
      <c r="K532" s="203" t="str">
        <f>IF($I529="",EUconst_NA,MATCH(E532,EUconst_BMlistNames,0))</f>
        <v>N.A.</v>
      </c>
      <c r="L532" s="467" t="str">
        <f>IF(E532="","",INDEX(CNTR_SubInstLess1Year,MATCH(E532,CNTR_SubInstListNames,0)))</f>
        <v/>
      </c>
      <c r="M532" s="470" t="str">
        <f>IF(I529="",EUconst_NA,INDEX(EUconst_BMlistBMvaluesMatrix,K532,2))</f>
        <v>N.A.</v>
      </c>
      <c r="N532" s="471" t="str">
        <f>EUconst_EUA &amp; "/" &amp; H537</f>
        <v>UKA/tonnes</v>
      </c>
      <c r="O532" s="17"/>
      <c r="R532" s="288" t="s">
        <v>639</v>
      </c>
      <c r="S532" s="335" t="str">
        <f>IF(H532=EUconst_NA,"",IF(H532,1,INDEX(EUconst_CLEFYears,1)))</f>
        <v/>
      </c>
      <c r="T532" s="9"/>
    </row>
    <row r="533" spans="2:20" x14ac:dyDescent="0.25">
      <c r="B533" s="17"/>
      <c r="C533" s="17"/>
      <c r="D533" s="17"/>
      <c r="E533" s="276"/>
      <c r="F533" s="276"/>
      <c r="G533" s="254" t="str">
        <f>Translations!$B$1218</f>
        <v>non-ETS heat</v>
      </c>
      <c r="H533" s="329" t="str">
        <f>Translations!$B$1220</f>
        <v>WGflare</v>
      </c>
      <c r="I533" s="254" t="s">
        <v>630</v>
      </c>
      <c r="J533" s="254" t="s">
        <v>631</v>
      </c>
      <c r="K533" s="254" t="s">
        <v>632</v>
      </c>
      <c r="L533" s="329" t="str">
        <f>Translations!$B$1214</f>
        <v>15(7).3 HAL</v>
      </c>
      <c r="M533" s="470" t="str">
        <f>IF(I529="",EUconst_NA,INDEX(EUconst_BMlistBMvaluesMatrix,K532,1))</f>
        <v>N.A.</v>
      </c>
      <c r="N533" s="471" t="str">
        <f>EUconst_EUA &amp; "/" &amp; H537</f>
        <v>UKA/tonnes</v>
      </c>
      <c r="O533" s="17"/>
      <c r="R533" s="288"/>
      <c r="S533" s="368"/>
      <c r="T533" s="9"/>
    </row>
    <row r="534" spans="2:20" ht="13.8" thickBot="1" x14ac:dyDescent="0.3">
      <c r="B534" s="17"/>
      <c r="C534" s="17"/>
      <c r="D534" s="17"/>
      <c r="E534" s="370" t="str">
        <f>Translations!$B$1235</f>
        <v>Special factors:</v>
      </c>
      <c r="F534" s="371"/>
      <c r="G534" s="203" t="str">
        <f>IF($I529="","",SUMIF(F_ProductBM!$P:$P,EUconst_CNTR_HEAT&amp;$I529,F_ProductBM!$Q:$Q))</f>
        <v/>
      </c>
      <c r="H534" s="353" t="str">
        <f>IF(OR($I529="",CNTR_BaselinePeriod&lt;&gt;2),"",SUMIF(F_ProductBM!$P:$P,EUconst_CNTR_WGFlaredEF &amp; I529,F_ProductBM!$R:$R))</f>
        <v/>
      </c>
      <c r="I534" s="334">
        <f>IF(AND($I529&lt;&gt;"",$I532=TRUE),IF(ISNUMBER(INDEX(F_ProductBM!$Q:$Q,MATCH(EUconst_CNTR_ELEXCH&amp;$I529,F_ProductBM!$P:$P,0))),INDEX(F_ProductBM!$Q:$Q,MATCH(EUconst_CNTR_ELEXCH&amp;$I529,F_ProductBM!$P:$P,0)),1),1)</f>
        <v>1</v>
      </c>
      <c r="J534" s="203" t="str">
        <f>IF($I529="","",IF($K532=42,SUMIF(H_SpecialBM!$P$9:$P$384,EUconst_CNTR_HVC,H_SpecialBM!$I$9:$I$384),0))</f>
        <v/>
      </c>
      <c r="K534" s="369" t="str">
        <f>IF($I529="","",IF($K532=47,IF(ISNUMBER(INDEX(H_SpecialBM!$Q$9:$Q$384,MATCH(EUconst_CNTR_VCM,H_SpecialBM!$P$9:$P$384,0))),INDEX(H_SpecialBM!$Q$9:$Q$384,MATCH(EUconst_CNTR_VCM,H_SpecialBM!$P$9:$P$384,0)),1),1))</f>
        <v/>
      </c>
      <c r="L534" s="353" t="str">
        <f>IF($L532=TRUE,SUMIF(F_ProductBM!$P$11:$P$2192,EUconst_CNTR_HAL&amp;$I529,F_ProductBM!$N$11:$N$2192),"")</f>
        <v/>
      </c>
      <c r="M534" s="472" t="str">
        <f>IF(I529="",EUconst_NA,IF(EUconst_StatusOfDataCollection,INDEX(EUconst_BMlistBMvaluesMatrix,K532,3),""))</f>
        <v>N.A.</v>
      </c>
      <c r="N534" s="473" t="str">
        <f>EUconst_EUA &amp; "/" &amp; H537</f>
        <v>UKA/tonnes</v>
      </c>
      <c r="O534" s="17"/>
      <c r="R534" s="288"/>
      <c r="S534" s="368"/>
      <c r="T534" s="9"/>
    </row>
    <row r="535" spans="2:20" ht="5.0999999999999996" customHeight="1" x14ac:dyDescent="0.25">
      <c r="B535" s="17"/>
      <c r="C535" s="17"/>
      <c r="D535" s="17"/>
      <c r="E535" s="17"/>
      <c r="F535" s="17"/>
      <c r="G535" s="17"/>
      <c r="H535" s="17"/>
      <c r="I535" s="17"/>
      <c r="J535" s="17"/>
      <c r="K535" s="17"/>
      <c r="L535" s="17"/>
      <c r="M535" s="17"/>
      <c r="N535" s="17"/>
      <c r="O535" s="17"/>
      <c r="T535" s="9"/>
    </row>
    <row r="536" spans="2:20" x14ac:dyDescent="0.25">
      <c r="B536" s="17"/>
      <c r="C536" s="17"/>
      <c r="D536" s="17"/>
      <c r="E536" s="78"/>
      <c r="F536" s="78"/>
      <c r="G536" s="259"/>
      <c r="H536" s="366" t="str">
        <f>EUconst_Unit</f>
        <v>Unit</v>
      </c>
      <c r="I536" s="149">
        <f>I$1397</f>
        <v>2019</v>
      </c>
      <c r="J536" s="149">
        <f>J$1397</f>
        <v>2020</v>
      </c>
      <c r="K536" s="149">
        <f>K$1397</f>
        <v>2021</v>
      </c>
      <c r="L536" s="149">
        <f>L$1397</f>
        <v>2022</v>
      </c>
      <c r="M536" s="149">
        <f>M$1397</f>
        <v>2023</v>
      </c>
      <c r="N536" s="17"/>
      <c r="O536" s="17"/>
      <c r="P536" s="63" t="s">
        <v>397</v>
      </c>
      <c r="T536" s="9"/>
    </row>
    <row r="537" spans="2:20" x14ac:dyDescent="0.25">
      <c r="B537" s="17"/>
      <c r="C537" s="17"/>
      <c r="D537" s="17"/>
      <c r="E537" s="260" t="str">
        <f>Translations!$B$1236</f>
        <v>HAL (Historic activity level) reported</v>
      </c>
      <c r="F537" s="261"/>
      <c r="G537" s="262"/>
      <c r="H537" s="257" t="str">
        <f>IF(ISNUMBER(K532),INDEX(EUconst_BMlistUnits,K532),EUconst_Tons)</f>
        <v>tonnes</v>
      </c>
      <c r="I537" s="203" t="str">
        <f>IF($I529="","",SUMIF(F_ProductBM!$P$11:$P$1876,$P537,F_ProductBM!I$11:I$1876))</f>
        <v/>
      </c>
      <c r="J537" s="203" t="str">
        <f>IF($I529="","",SUMIF(F_ProductBM!$P$11:$P$1876,$P537,F_ProductBM!J$11:J$1876))</f>
        <v/>
      </c>
      <c r="K537" s="203" t="str">
        <f>IF($I529="","",SUMIF(F_ProductBM!$P$11:$P$1876,$P537,F_ProductBM!K$11:K$1876))</f>
        <v/>
      </c>
      <c r="L537" s="203" t="str">
        <f>IF($I529="","",SUMIF(F_ProductBM!$P$11:$P$1876,$P537,F_ProductBM!L$11:L$1876))</f>
        <v/>
      </c>
      <c r="M537" s="203" t="str">
        <f>IF($I529="","",SUMIF(F_ProductBM!$P$11:$P$1876,$P537,F_ProductBM!M$11:M$1876))</f>
        <v/>
      </c>
      <c r="N537" s="254" t="str">
        <f>Translations!$B$1224</f>
        <v>Average</v>
      </c>
      <c r="O537" s="17"/>
      <c r="P537" s="63" t="str">
        <f>EUconst_CNTR_HAL&amp;I529</f>
        <v>HAL_</v>
      </c>
      <c r="T537" s="9"/>
    </row>
    <row r="538" spans="2:20" x14ac:dyDescent="0.25">
      <c r="B538" s="17"/>
      <c r="C538" s="17"/>
      <c r="D538" s="17"/>
      <c r="E538" s="260" t="str">
        <f>Translations!$B$1237</f>
        <v>Values used for HAL calculation:</v>
      </c>
      <c r="F538" s="261"/>
      <c r="G538" s="262"/>
      <c r="H538" s="257" t="str">
        <f>H537</f>
        <v>tonnes</v>
      </c>
      <c r="I538" s="203" t="str">
        <f>IF($I529="","",INDEX(F_ProductBM!S$11:S$1876,MATCH($P538,F_ProductBM!$P$11:$P$1876,0)))</f>
        <v/>
      </c>
      <c r="J538" s="203" t="str">
        <f>IF($I529="","",INDEX(F_ProductBM!T$11:T$1876,MATCH($P538,F_ProductBM!$P$11:$P$1876,0)))</f>
        <v/>
      </c>
      <c r="K538" s="203" t="str">
        <f>IF($I529="","",INDEX(F_ProductBM!U$11:U$1876,MATCH($P538,F_ProductBM!$P$11:$P$1876,0)))</f>
        <v/>
      </c>
      <c r="L538" s="203" t="str">
        <f>IF($I529="","",INDEX(F_ProductBM!V$11:V$1876,MATCH($P538,F_ProductBM!$P$11:$P$1876,0)))</f>
        <v/>
      </c>
      <c r="M538" s="203" t="str">
        <f>IF($I529="","",INDEX(F_ProductBM!W$11:W$1876,MATCH($P538,F_ProductBM!$P$11:$P$1876,0)))</f>
        <v/>
      </c>
      <c r="N538" s="203" t="str">
        <f>IF(OR($I529="",$L532=TRUE),"",IF(COUNT($I538:$M538)&gt;0,AVERAGE($I538:$M538),""))</f>
        <v/>
      </c>
      <c r="O538" s="17"/>
      <c r="P538" s="63" t="str">
        <f>EUconst_CNTR_HAL&amp;I529</f>
        <v>HAL_</v>
      </c>
      <c r="R538" s="442" t="s">
        <v>640</v>
      </c>
      <c r="S538" s="442" t="s">
        <v>641</v>
      </c>
      <c r="T538" s="442" t="s">
        <v>642</v>
      </c>
    </row>
    <row r="539" spans="2:20" ht="5.0999999999999996" customHeight="1" thickBot="1" x14ac:dyDescent="0.3">
      <c r="B539" s="17"/>
      <c r="C539" s="17"/>
      <c r="D539" s="17"/>
      <c r="E539" s="367"/>
      <c r="F539" s="367"/>
      <c r="G539" s="367"/>
      <c r="H539" s="367"/>
      <c r="I539" s="367"/>
      <c r="J539" s="367"/>
      <c r="K539" s="367"/>
      <c r="L539" s="367"/>
      <c r="M539" s="276"/>
      <c r="N539" s="276"/>
      <c r="O539" s="17"/>
      <c r="T539" s="9"/>
    </row>
    <row r="540" spans="2:20" ht="13.8" thickBot="1" x14ac:dyDescent="0.3">
      <c r="B540" s="17"/>
      <c r="C540" s="276"/>
      <c r="D540" s="17"/>
      <c r="E540" s="367"/>
      <c r="F540" s="336" t="s">
        <v>643</v>
      </c>
      <c r="G540" s="337"/>
      <c r="H540" s="276"/>
      <c r="I540" s="336" t="str">
        <f>Translations!$B$1226</f>
        <v>Prelim Alloc Year 1 (min)</v>
      </c>
      <c r="J540" s="337"/>
      <c r="K540" s="336" t="str">
        <f>Translations!$B$1229</f>
        <v>Prelim Alloc Year 1 (max)</v>
      </c>
      <c r="L540" s="337"/>
      <c r="M540" s="336" t="str">
        <f>Translations!$B$1231</f>
        <v>Prelim Alloc Year 1 (actual)</v>
      </c>
      <c r="N540" s="337"/>
      <c r="O540" s="17"/>
      <c r="P540" s="63" t="str">
        <f>EUconst_AllocPrelim&amp;I529</f>
        <v>AllocPrelim_</v>
      </c>
      <c r="R540" s="423" t="str">
        <f>IF(I541="","",IF(S532=0,0,SUM(I541)/S532))</f>
        <v/>
      </c>
      <c r="S540" s="423" t="str">
        <f>IF(K541="","",IF(S532=0,0,SUM(K541)/S532))</f>
        <v/>
      </c>
      <c r="T540" s="423" t="str">
        <f>T529</f>
        <v/>
      </c>
    </row>
    <row r="541" spans="2:20" ht="13.8" thickBot="1" x14ac:dyDescent="0.3">
      <c r="B541" s="17"/>
      <c r="C541" s="276"/>
      <c r="D541" s="276"/>
      <c r="E541" s="367"/>
      <c r="F541" s="264" t="str">
        <f>IF(I529="","",MAX(0, IF(L532=TRUE, SUM(L534), SUM(N538))))</f>
        <v/>
      </c>
      <c r="G541" s="265" t="str">
        <f>H537&amp;" / "&amp;EUconst_Year</f>
        <v>tonnes / year</v>
      </c>
      <c r="H541" s="276"/>
      <c r="I541" s="333" t="str">
        <f>IF(I529="","",ROUND((SUM(M532)*SUM(F541)*SUM(I534)*SUM(K534)-SUM(G534)-SUM(H534)+SUM(J534))*SUM(S532),0))</f>
        <v/>
      </c>
      <c r="J541" s="409" t="str">
        <f>EUconst_EUApa</f>
        <v>UKA / year</v>
      </c>
      <c r="K541" s="333" t="str">
        <f>IF(I529="","",ROUND((SUM(M533)*SUM(F541)*SUM(I534)*SUM(K534)-SUM(G534)-SUM(H534)+SUM(J534))*SUM(S532),0))</f>
        <v/>
      </c>
      <c r="L541" s="409" t="str">
        <f>EUconst_EUApa</f>
        <v>UKA / year</v>
      </c>
      <c r="M541" s="333" t="str">
        <f>IF(OR(I529="",M534=""),"",ROUND((SUM(M534)*SUM(F541)*SUM(I534)*SUM(K534)-SUM(G534)-SUM(H534)+SUM(J534))*SUM(S532),0))</f>
        <v/>
      </c>
      <c r="N541" s="409" t="str">
        <f>EUconst_EUApa</f>
        <v>UKA / year</v>
      </c>
      <c r="O541" s="17"/>
      <c r="P541" s="63" t="str">
        <f>EUconst_HALsum &amp; I529</f>
        <v>HALsum_</v>
      </c>
      <c r="T541" s="9"/>
    </row>
    <row r="542" spans="2:20" ht="5.0999999999999996" customHeight="1" x14ac:dyDescent="0.25">
      <c r="B542" s="17"/>
      <c r="C542" s="17"/>
      <c r="D542" s="276"/>
      <c r="E542" s="113"/>
      <c r="F542" s="17"/>
      <c r="G542" s="17"/>
      <c r="H542" s="17"/>
      <c r="I542" s="17"/>
      <c r="J542" s="17"/>
      <c r="K542" s="17"/>
      <c r="L542" s="17"/>
      <c r="M542" s="17"/>
      <c r="N542" s="17"/>
      <c r="O542" s="17"/>
      <c r="T542" s="9"/>
    </row>
    <row r="543" spans="2:20" ht="12.75" customHeight="1" x14ac:dyDescent="0.25">
      <c r="B543" s="17"/>
      <c r="C543" s="17"/>
      <c r="D543" s="17"/>
      <c r="E543" s="193"/>
      <c r="F543" s="342"/>
      <c r="G543" s="342"/>
      <c r="H543" s="342"/>
      <c r="I543" s="342"/>
      <c r="J543" s="342"/>
      <c r="K543" s="342"/>
      <c r="L543" s="342"/>
      <c r="M543" s="342"/>
      <c r="N543" s="342"/>
      <c r="O543" s="17"/>
      <c r="T543" s="9"/>
    </row>
    <row r="544" spans="2:20" ht="13.8" thickBot="1" x14ac:dyDescent="0.3">
      <c r="B544" s="17"/>
      <c r="C544" s="17"/>
      <c r="D544" s="17"/>
      <c r="E544" s="193"/>
      <c r="F544" s="342"/>
      <c r="G544" s="342"/>
      <c r="H544" s="192" t="str">
        <f>EUconst_Unit</f>
        <v>Unit</v>
      </c>
      <c r="I544" s="441">
        <f>I$1397</f>
        <v>2019</v>
      </c>
      <c r="J544" s="153">
        <f>J$1397</f>
        <v>2020</v>
      </c>
      <c r="K544" s="153">
        <f>K$1397</f>
        <v>2021</v>
      </c>
      <c r="L544" s="153">
        <f>L$1397</f>
        <v>2022</v>
      </c>
      <c r="M544" s="153">
        <f>M$1397</f>
        <v>2023</v>
      </c>
      <c r="N544" s="342"/>
      <c r="O544" s="17"/>
      <c r="T544" s="9"/>
    </row>
    <row r="545" spans="2:20" ht="13.8" thickBot="1" x14ac:dyDescent="0.3">
      <c r="B545" s="17"/>
      <c r="C545" s="17"/>
      <c r="D545" s="17"/>
      <c r="E545" s="1610" t="str">
        <f>Translations!$B$1238</f>
        <v>Total attributed emissions</v>
      </c>
      <c r="F545" s="1610"/>
      <c r="G545" s="1610"/>
      <c r="H545" s="411" t="str">
        <f>EUconst_tCO2epa</f>
        <v>t CO2e/year</v>
      </c>
      <c r="I545" s="432" t="str">
        <f>INDEX(I$93:I$109,MATCH($I529,$E$93:$E$109,0))</f>
        <v/>
      </c>
      <c r="J545" s="433" t="str">
        <f>INDEX(J$93:J$109,MATCH($I529,$E$93:$E$109,0))</f>
        <v/>
      </c>
      <c r="K545" s="433" t="str">
        <f>INDEX(K$93:K$109,MATCH($I529,$E$93:$E$109,0))</f>
        <v/>
      </c>
      <c r="L545" s="433" t="str">
        <f>INDEX(L$93:L$109,MATCH($I529,$E$93:$E$109,0))</f>
        <v/>
      </c>
      <c r="M545" s="434" t="str">
        <f>INDEX(M$93:M$109,MATCH($I529,$E$93:$E$109,0))</f>
        <v/>
      </c>
      <c r="N545" s="342"/>
      <c r="O545" s="17"/>
      <c r="T545" s="9"/>
    </row>
    <row r="546" spans="2:20" ht="5.0999999999999996" customHeight="1" x14ac:dyDescent="0.25">
      <c r="B546" s="17"/>
      <c r="C546" s="17"/>
      <c r="D546" s="17"/>
      <c r="E546" s="193"/>
      <c r="F546" s="193"/>
      <c r="G546" s="193"/>
      <c r="H546" s="193"/>
      <c r="I546" s="435"/>
      <c r="J546" s="435"/>
      <c r="K546" s="435"/>
      <c r="L546" s="435"/>
      <c r="M546" s="435"/>
      <c r="N546" s="193"/>
      <c r="O546" s="17"/>
      <c r="T546" s="9"/>
    </row>
    <row r="547" spans="2:20" x14ac:dyDescent="0.25">
      <c r="B547" s="17"/>
      <c r="C547" s="17"/>
      <c r="D547" s="17"/>
      <c r="E547" s="1526" t="str">
        <f>Translations!$B$731</f>
        <v>Fuel input</v>
      </c>
      <c r="F547" s="1526"/>
      <c r="G547" s="1526"/>
      <c r="H547" s="939" t="str">
        <f>EUconst_TJpa</f>
        <v>TJ / year</v>
      </c>
      <c r="I547" s="436" t="str">
        <f>IF($I529="","",IF(INDEX(F_ProductBM!I:I,MATCH($P547,F_ProductBM!$P:$P,0))="","",INDEX(F_ProductBM!I:I,MATCH($P547,F_ProductBM!$P:$P,0))))</f>
        <v/>
      </c>
      <c r="J547" s="436" t="str">
        <f>IF($I529="","",IF(INDEX(F_ProductBM!J:J,MATCH($P547,F_ProductBM!$P:$P,0))="","",INDEX(F_ProductBM!J:J,MATCH($P547,F_ProductBM!$P:$P,0))))</f>
        <v/>
      </c>
      <c r="K547" s="436" t="str">
        <f>IF($I529="","",IF(INDEX(F_ProductBM!K:K,MATCH($P547,F_ProductBM!$P:$P,0))="","",INDEX(F_ProductBM!K:K,MATCH($P547,F_ProductBM!$P:$P,0))))</f>
        <v/>
      </c>
      <c r="L547" s="436" t="str">
        <f>IF($I529="","",IF(INDEX(F_ProductBM!L:L,MATCH($P547,F_ProductBM!$P:$P,0))="","",INDEX(F_ProductBM!L:L,MATCH($P547,F_ProductBM!$P:$P,0))))</f>
        <v/>
      </c>
      <c r="M547" s="436" t="str">
        <f>IF($I529="","",IF(INDEX(F_ProductBM!M:M,MATCH($P547,F_ProductBM!$P:$P,0))="","",INDEX(F_ProductBM!M:M,MATCH($P547,F_ProductBM!$P:$P,0))))</f>
        <v/>
      </c>
      <c r="N547" s="342"/>
      <c r="O547" s="17"/>
      <c r="P547" s="341" t="str">
        <f>EUconst_CNTR_FuelInput &amp; I529</f>
        <v>FuelInput_</v>
      </c>
      <c r="T547" s="9"/>
    </row>
    <row r="548" spans="2:20" x14ac:dyDescent="0.25">
      <c r="B548" s="17"/>
      <c r="C548" s="17"/>
      <c r="D548" s="17"/>
      <c r="E548" s="1527" t="str">
        <f>Translations!$B$732</f>
        <v>Weighted emission factor</v>
      </c>
      <c r="F548" s="1527"/>
      <c r="G548" s="1527"/>
      <c r="H548" s="343" t="str">
        <f>EUconst_tCO2pTJ</f>
        <v>t CO2 / TJ</v>
      </c>
      <c r="I548" s="437" t="str">
        <f>IF($I529="","",IF(INDEX(F_ProductBM!I:I,MATCH($P548,F_ProductBM!$P:$P,0))="","",INDEX(F_ProductBM!I:I,MATCH($P548,F_ProductBM!$P:$P,0))))</f>
        <v/>
      </c>
      <c r="J548" s="437" t="str">
        <f>IF($I529="","",IF(INDEX(F_ProductBM!J:J,MATCH($P548,F_ProductBM!$P:$P,0))="","",INDEX(F_ProductBM!J:J,MATCH($P548,F_ProductBM!$P:$P,0))))</f>
        <v/>
      </c>
      <c r="K548" s="437" t="str">
        <f>IF($I529="","",IF(INDEX(F_ProductBM!K:K,MATCH($P548,F_ProductBM!$P:$P,0))="","",INDEX(F_ProductBM!K:K,MATCH($P548,F_ProductBM!$P:$P,0))))</f>
        <v/>
      </c>
      <c r="L548" s="437" t="str">
        <f>IF($I529="","",IF(INDEX(F_ProductBM!L:L,MATCH($P548,F_ProductBM!$P:$P,0))="","",INDEX(F_ProductBM!L:L,MATCH($P548,F_ProductBM!$P:$P,0))))</f>
        <v/>
      </c>
      <c r="M548" s="437" t="str">
        <f>IF($I529="","",IF(INDEX(F_ProductBM!M:M,MATCH($P548,F_ProductBM!$P:$P,0))="","",INDEX(F_ProductBM!M:M,MATCH($P548,F_ProductBM!$P:$P,0))))</f>
        <v/>
      </c>
      <c r="N548" s="342"/>
      <c r="O548" s="17"/>
      <c r="P548" s="116" t="str">
        <f>EUconst_CNTR_FuelEF &amp; I529</f>
        <v>FuelEF_</v>
      </c>
      <c r="T548" s="9"/>
    </row>
    <row r="549" spans="2:20" ht="5.0999999999999996" customHeight="1" x14ac:dyDescent="0.25">
      <c r="B549" s="17"/>
      <c r="C549" s="17"/>
      <c r="D549" s="276"/>
      <c r="E549" s="193"/>
      <c r="F549" s="342"/>
      <c r="G549" s="342"/>
      <c r="H549" s="342"/>
      <c r="I549" s="438"/>
      <c r="J549" s="438"/>
      <c r="K549" s="438"/>
      <c r="L549" s="438"/>
      <c r="M549" s="438"/>
      <c r="N549" s="342"/>
      <c r="O549" s="17"/>
      <c r="T549" s="9"/>
    </row>
    <row r="550" spans="2:20" ht="12.75" customHeight="1" x14ac:dyDescent="0.25">
      <c r="B550" s="17"/>
      <c r="C550" s="17"/>
      <c r="D550" s="276"/>
      <c r="E550" s="1528" t="str">
        <f>Translations!$B$687</f>
        <v>Direct emissions</v>
      </c>
      <c r="F550" s="1528"/>
      <c r="G550" s="1528"/>
      <c r="H550" s="154" t="str">
        <f>EUconst_tCO2pa</f>
        <v>t CO2 / year</v>
      </c>
      <c r="I550" s="439" t="str">
        <f>IF($I529="","",IF(INDEX(F_ProductBM!I:I,MATCH($P550,F_ProductBM!$P:$P,0))="","",INDEX(F_ProductBM!I:I,MATCH($P550,F_ProductBM!$P:$P,0))))</f>
        <v/>
      </c>
      <c r="J550" s="439" t="str">
        <f>IF($I529="","",IF(INDEX(F_ProductBM!J:J,MATCH($P550,F_ProductBM!$P:$P,0))="","",INDEX(F_ProductBM!J:J,MATCH($P550,F_ProductBM!$P:$P,0))))</f>
        <v/>
      </c>
      <c r="K550" s="439" t="str">
        <f>IF($I529="","",IF(INDEX(F_ProductBM!K:K,MATCH($P550,F_ProductBM!$P:$P,0))="","",INDEX(F_ProductBM!K:K,MATCH($P550,F_ProductBM!$P:$P,0))))</f>
        <v/>
      </c>
      <c r="L550" s="439" t="str">
        <f>IF($I529="","",IF(INDEX(F_ProductBM!L:L,MATCH($P550,F_ProductBM!$P:$P,0))="","",INDEX(F_ProductBM!L:L,MATCH($P550,F_ProductBM!$P:$P,0))))</f>
        <v/>
      </c>
      <c r="M550" s="439" t="str">
        <f>IF($I529="","",IF(INDEX(F_ProductBM!M:M,MATCH($P550,F_ProductBM!$P:$P,0))="","",INDEX(F_ProductBM!M:M,MATCH($P550,F_ProductBM!$P:$P,0))))</f>
        <v/>
      </c>
      <c r="N550" s="342"/>
      <c r="O550" s="17"/>
      <c r="P550" s="116" t="str">
        <f>EUconst_CNTR_Emissions &amp; I529</f>
        <v>DirEmissions_</v>
      </c>
      <c r="T550" s="9"/>
    </row>
    <row r="551" spans="2:20" x14ac:dyDescent="0.25">
      <c r="B551" s="17"/>
      <c r="C551" s="17"/>
      <c r="D551" s="276"/>
      <c r="E551" s="1528" t="str">
        <f>Translations!$B$742</f>
        <v>Further source streams - 1</v>
      </c>
      <c r="F551" s="1528"/>
      <c r="G551" s="1528"/>
      <c r="H551" s="154" t="str">
        <f>EUconst_tCO2pa</f>
        <v>t CO2 / year</v>
      </c>
      <c r="I551" s="439" t="str">
        <f>IF($I529="","",IF(INDEX(F_ProductBM!I:I,MATCH($P551,F_ProductBM!$P:$P,0))="","",INDEX(F_ProductBM!I:I,MATCH($P551,F_ProductBM!$P:$P,0))))</f>
        <v/>
      </c>
      <c r="J551" s="439" t="str">
        <f>IF($I529="","",IF(INDEX(F_ProductBM!J:J,MATCH($P551,F_ProductBM!$P:$P,0))="","",INDEX(F_ProductBM!J:J,MATCH($P551,F_ProductBM!$P:$P,0))))</f>
        <v/>
      </c>
      <c r="K551" s="439" t="str">
        <f>IF($I529="","",IF(INDEX(F_ProductBM!K:K,MATCH($P551,F_ProductBM!$P:$P,0))="","",INDEX(F_ProductBM!K:K,MATCH($P551,F_ProductBM!$P:$P,0))))</f>
        <v/>
      </c>
      <c r="L551" s="439" t="str">
        <f>IF($I529="","",IF(INDEX(F_ProductBM!L:L,MATCH($P551,F_ProductBM!$P:$P,0))="","",INDEX(F_ProductBM!L:L,MATCH($P551,F_ProductBM!$P:$P,0))))</f>
        <v/>
      </c>
      <c r="M551" s="439" t="str">
        <f>IF($I529="","",IF(INDEX(F_ProductBM!M:M,MATCH($P551,F_ProductBM!$P:$P,0))="","",INDEX(F_ProductBM!M:M,MATCH($P551,F_ProductBM!$P:$P,0))))</f>
        <v/>
      </c>
      <c r="N551" s="342"/>
      <c r="O551" s="17"/>
      <c r="P551" s="116" t="str">
        <f>EUconst_CNTR_EmissionsIntSource1 &amp; I529</f>
        <v>EmInternalSource1_</v>
      </c>
      <c r="T551" s="9"/>
    </row>
    <row r="552" spans="2:20" x14ac:dyDescent="0.25">
      <c r="B552" s="17"/>
      <c r="C552" s="17"/>
      <c r="D552" s="276"/>
      <c r="E552" s="1528" t="str">
        <f>Translations!$B$752</f>
        <v>Further source streams - 2</v>
      </c>
      <c r="F552" s="1528"/>
      <c r="G552" s="1528"/>
      <c r="H552" s="154" t="str">
        <f>EUconst_tCO2pa</f>
        <v>t CO2 / year</v>
      </c>
      <c r="I552" s="439" t="str">
        <f>IF($I529="","",IF(INDEX(F_ProductBM!I:I,MATCH($P552,F_ProductBM!$P:$P,0))="","",INDEX(F_ProductBM!I:I,MATCH($P552,F_ProductBM!$P:$P,0))))</f>
        <v/>
      </c>
      <c r="J552" s="439" t="str">
        <f>IF($I529="","",IF(INDEX(F_ProductBM!J:J,MATCH($P552,F_ProductBM!$P:$P,0))="","",INDEX(F_ProductBM!J:J,MATCH($P552,F_ProductBM!$P:$P,0))))</f>
        <v/>
      </c>
      <c r="K552" s="439" t="str">
        <f>IF($I529="","",IF(INDEX(F_ProductBM!K:K,MATCH($P552,F_ProductBM!$P:$P,0))="","",INDEX(F_ProductBM!K:K,MATCH($P552,F_ProductBM!$P:$P,0))))</f>
        <v/>
      </c>
      <c r="L552" s="439" t="str">
        <f>IF($I529="","",IF(INDEX(F_ProductBM!L:L,MATCH($P552,F_ProductBM!$P:$P,0))="","",INDEX(F_ProductBM!L:L,MATCH($P552,F_ProductBM!$P:$P,0))))</f>
        <v/>
      </c>
      <c r="M552" s="439" t="str">
        <f>IF($I529="","",IF(INDEX(F_ProductBM!M:M,MATCH($P552,F_ProductBM!$P:$P,0))="","",INDEX(F_ProductBM!M:M,MATCH($P552,F_ProductBM!$P:$P,0))))</f>
        <v/>
      </c>
      <c r="N552" s="342"/>
      <c r="O552" s="17"/>
      <c r="P552" s="116" t="str">
        <f>EUconst_CNTR_EmissionsIntSource2 &amp; I529</f>
        <v>EmInternalSource2_</v>
      </c>
      <c r="T552" s="9"/>
    </row>
    <row r="553" spans="2:20" x14ac:dyDescent="0.25">
      <c r="B553" s="17"/>
      <c r="C553" s="17"/>
      <c r="D553" s="17"/>
      <c r="E553" s="1528" t="str">
        <f>Translations!$B$756</f>
        <v>GHG imported or exported</v>
      </c>
      <c r="F553" s="1528"/>
      <c r="G553" s="1528"/>
      <c r="H553" s="154" t="str">
        <f>EUconst_tCO2epa</f>
        <v>t CO2e/year</v>
      </c>
      <c r="I553" s="439" t="str">
        <f>IF($I529="","",IF(INDEX(F_ProductBM!I:I,MATCH($P553,F_ProductBM!$P:$P,0))="","",INDEX(F_ProductBM!I:I,MATCH($P553,F_ProductBM!$P:$P,0))))</f>
        <v/>
      </c>
      <c r="J553" s="439" t="str">
        <f>IF($I529="","",IF(INDEX(F_ProductBM!J:J,MATCH($P553,F_ProductBM!$P:$P,0))="","",INDEX(F_ProductBM!J:J,MATCH($P553,F_ProductBM!$P:$P,0))))</f>
        <v/>
      </c>
      <c r="K553" s="439" t="str">
        <f>IF($I529="","",IF(INDEX(F_ProductBM!K:K,MATCH($P553,F_ProductBM!$P:$P,0))="","",INDEX(F_ProductBM!K:K,MATCH($P553,F_ProductBM!$P:$P,0))))</f>
        <v/>
      </c>
      <c r="L553" s="439" t="str">
        <f>IF($I529="","",IF(INDEX(F_ProductBM!L:L,MATCH($P553,F_ProductBM!$P:$P,0))="","",INDEX(F_ProductBM!L:L,MATCH($P553,F_ProductBM!$P:$P,0))))</f>
        <v/>
      </c>
      <c r="M553" s="439" t="str">
        <f>IF($I529="","",IF(INDEX(F_ProductBM!M:M,MATCH($P553,F_ProductBM!$P:$P,0))="","",INDEX(F_ProductBM!M:M,MATCH($P553,F_ProductBM!$P:$P,0))))</f>
        <v/>
      </c>
      <c r="N553" s="342"/>
      <c r="O553" s="17"/>
      <c r="P553" s="116" t="str">
        <f>EUconst_CNTR_CO2Feedstock &amp; I529</f>
        <v>EmCO2Feedstock_</v>
      </c>
      <c r="T553" s="9"/>
    </row>
    <row r="554" spans="2:20" ht="5.0999999999999996" customHeight="1" x14ac:dyDescent="0.25">
      <c r="B554" s="17"/>
      <c r="C554" s="17"/>
      <c r="D554" s="17"/>
      <c r="E554" s="342"/>
      <c r="F554" s="342"/>
      <c r="G554" s="342"/>
      <c r="H554" s="342"/>
      <c r="I554" s="438"/>
      <c r="J554" s="438"/>
      <c r="K554" s="438"/>
      <c r="L554" s="438"/>
      <c r="M554" s="438"/>
      <c r="N554" s="342"/>
      <c r="O554" s="17"/>
      <c r="T554" s="9"/>
    </row>
    <row r="555" spans="2:20" x14ac:dyDescent="0.25">
      <c r="B555" s="17"/>
      <c r="C555" s="17"/>
      <c r="D555" s="17"/>
      <c r="E555" s="1526" t="str">
        <f>Translations!$B$764</f>
        <v>Net heat imported</v>
      </c>
      <c r="F555" s="1526"/>
      <c r="G555" s="1526"/>
      <c r="H555" s="939" t="str">
        <f>EUconst_TJpa</f>
        <v>TJ / year</v>
      </c>
      <c r="I555" s="436" t="str">
        <f>IF($I529="","",IF(INDEX(F_ProductBM!I:I,MATCH($P555,F_ProductBM!$P:$P,0))="","",INDEX(F_ProductBM!I:I,MATCH($P555,F_ProductBM!$P:$P,0))))</f>
        <v/>
      </c>
      <c r="J555" s="436" t="str">
        <f>IF($I529="","",IF(INDEX(F_ProductBM!J:J,MATCH($P555,F_ProductBM!$P:$P,0))="","",INDEX(F_ProductBM!J:J,MATCH($P555,F_ProductBM!$P:$P,0))))</f>
        <v/>
      </c>
      <c r="K555" s="436" t="str">
        <f>IF($I529="","",IF(INDEX(F_ProductBM!K:K,MATCH($P555,F_ProductBM!$P:$P,0))="","",INDEX(F_ProductBM!K:K,MATCH($P555,F_ProductBM!$P:$P,0))))</f>
        <v/>
      </c>
      <c r="L555" s="436" t="str">
        <f>IF($I529="","",IF(INDEX(F_ProductBM!L:L,MATCH($P555,F_ProductBM!$P:$P,0))="","",INDEX(F_ProductBM!L:L,MATCH($P555,F_ProductBM!$P:$P,0))))</f>
        <v/>
      </c>
      <c r="M555" s="436" t="str">
        <f>IF($I529="","",IF(INDEX(F_ProductBM!M:M,MATCH($P555,F_ProductBM!$P:$P,0))="","",INDEX(F_ProductBM!M:M,MATCH($P555,F_ProductBM!$P:$P,0))))</f>
        <v/>
      </c>
      <c r="N555" s="342"/>
      <c r="O555" s="17"/>
      <c r="P555" s="116" t="str">
        <f>EUconst_CNTR_HeatImport &amp; I529</f>
        <v>HeatIm_</v>
      </c>
      <c r="T555" s="9"/>
    </row>
    <row r="556" spans="2:20" x14ac:dyDescent="0.25">
      <c r="B556" s="17"/>
      <c r="C556" s="17"/>
      <c r="D556" s="17"/>
      <c r="E556" s="1527" t="str">
        <f>Translations!$B$765</f>
        <v>Specific EF (imported heat)</v>
      </c>
      <c r="F556" s="1527"/>
      <c r="G556" s="1527"/>
      <c r="H556" s="343" t="str">
        <f>EUconst_tCO2pTJ</f>
        <v>t CO2 / TJ</v>
      </c>
      <c r="I556" s="437" t="str">
        <f>IF($I529="","",IF(INDEX(F_ProductBM!I:I,MATCH($P556,F_ProductBM!$P:$P,0))="","",INDEX(F_ProductBM!I:I,MATCH($P556,F_ProductBM!$P:$P,0))))</f>
        <v/>
      </c>
      <c r="J556" s="437" t="str">
        <f>IF($I529="","",IF(INDEX(F_ProductBM!J:J,MATCH($P556,F_ProductBM!$P:$P,0))="","",INDEX(F_ProductBM!J:J,MATCH($P556,F_ProductBM!$P:$P,0))))</f>
        <v/>
      </c>
      <c r="K556" s="437" t="str">
        <f>IF($I529="","",IF(INDEX(F_ProductBM!K:K,MATCH($P556,F_ProductBM!$P:$P,0))="","",INDEX(F_ProductBM!K:K,MATCH($P556,F_ProductBM!$P:$P,0))))</f>
        <v/>
      </c>
      <c r="L556" s="437" t="str">
        <f>IF($I529="","",IF(INDEX(F_ProductBM!L:L,MATCH($P556,F_ProductBM!$P:$P,0))="","",INDEX(F_ProductBM!L:L,MATCH($P556,F_ProductBM!$P:$P,0))))</f>
        <v/>
      </c>
      <c r="M556" s="437" t="str">
        <f>IF($I529="","",IF(INDEX(F_ProductBM!M:M,MATCH($P556,F_ProductBM!$P:$P,0))="","",INDEX(F_ProductBM!M:M,MATCH($P556,F_ProductBM!$P:$P,0))))</f>
        <v/>
      </c>
      <c r="N556" s="342"/>
      <c r="O556" s="17"/>
      <c r="P556" s="116" t="str">
        <f>EUconst_CNTR_HeatImportEF &amp; I529</f>
        <v>HeatImEF_</v>
      </c>
      <c r="T556" s="9"/>
    </row>
    <row r="557" spans="2:20" ht="5.0999999999999996" customHeight="1" x14ac:dyDescent="0.25">
      <c r="B557" s="17"/>
      <c r="C557" s="17"/>
      <c r="D557" s="17"/>
      <c r="E557" s="193"/>
      <c r="F557" s="342"/>
      <c r="G557" s="342"/>
      <c r="H557" s="342"/>
      <c r="I557" s="438"/>
      <c r="J557" s="438"/>
      <c r="K557" s="438"/>
      <c r="L557" s="438"/>
      <c r="M557" s="438"/>
      <c r="N557" s="342"/>
      <c r="O557" s="17"/>
      <c r="P557" s="9"/>
      <c r="T557" s="9"/>
    </row>
    <row r="558" spans="2:20" x14ac:dyDescent="0.25">
      <c r="B558" s="17"/>
      <c r="C558" s="17"/>
      <c r="D558" s="17"/>
      <c r="E558" s="1528" t="str">
        <f>Translations!$B$820</f>
        <v>Net heat imported from pulp</v>
      </c>
      <c r="F558" s="1528"/>
      <c r="G558" s="1528"/>
      <c r="H558" s="154" t="str">
        <f>EUconst_TJpa</f>
        <v>TJ / year</v>
      </c>
      <c r="I558" s="439" t="str">
        <f>IF($I529="","",IF(INDEX(F_ProductBM!I:I,MATCH($P558,F_ProductBM!$P:$P,0))="","",INDEX(F_ProductBM!I:I,MATCH($P558,F_ProductBM!$P:$P,0))))</f>
        <v/>
      </c>
      <c r="J558" s="439" t="str">
        <f>IF($I529="","",IF(INDEX(F_ProductBM!J:J,MATCH($P558,F_ProductBM!$P:$P,0))="","",INDEX(F_ProductBM!J:J,MATCH($P558,F_ProductBM!$P:$P,0))))</f>
        <v/>
      </c>
      <c r="K558" s="439" t="str">
        <f>IF($I529="","",IF(INDEX(F_ProductBM!K:K,MATCH($P558,F_ProductBM!$P:$P,0))="","",INDEX(F_ProductBM!K:K,MATCH($P558,F_ProductBM!$P:$P,0))))</f>
        <v/>
      </c>
      <c r="L558" s="439" t="str">
        <f>IF($I529="","",IF(INDEX(F_ProductBM!L:L,MATCH($P558,F_ProductBM!$P:$P,0))="","",INDEX(F_ProductBM!L:L,MATCH($P558,F_ProductBM!$P:$P,0))))</f>
        <v/>
      </c>
      <c r="M558" s="439" t="str">
        <f>IF($I529="","",IF(INDEX(F_ProductBM!M:M,MATCH($P558,F_ProductBM!$P:$P,0))="","",INDEX(F_ProductBM!M:M,MATCH($P558,F_ProductBM!$P:$P,0))))</f>
        <v/>
      </c>
      <c r="N558" s="342"/>
      <c r="O558" s="17"/>
      <c r="P558" s="116" t="str">
        <f>EUconst_CNTR_HeatImportPulp &amp; I529</f>
        <v>HeatImPulp_</v>
      </c>
      <c r="T558" s="9"/>
    </row>
    <row r="559" spans="2:20" x14ac:dyDescent="0.25">
      <c r="B559" s="17"/>
      <c r="C559" s="17"/>
      <c r="D559" s="17"/>
      <c r="E559" s="1528" t="str">
        <f>Translations!$B$768</f>
        <v>Net heat imported from nitric acid sub-installation</v>
      </c>
      <c r="F559" s="1528"/>
      <c r="G559" s="1528"/>
      <c r="H559" s="154" t="str">
        <f>EUconst_TJpa</f>
        <v>TJ / year</v>
      </c>
      <c r="I559" s="439" t="str">
        <f>IF($I529="","",IF(INDEX(F_ProductBM!I:I,MATCH($P559,F_ProductBM!$P:$P,0))="","",INDEX(F_ProductBM!I:I,MATCH($P559,F_ProductBM!$P:$P,0))))</f>
        <v/>
      </c>
      <c r="J559" s="439" t="str">
        <f>IF($I529="","",IF(INDEX(F_ProductBM!J:J,MATCH($P559,F_ProductBM!$P:$P,0))="","",INDEX(F_ProductBM!J:J,MATCH($P559,F_ProductBM!$P:$P,0))))</f>
        <v/>
      </c>
      <c r="K559" s="439" t="str">
        <f>IF($I529="","",IF(INDEX(F_ProductBM!K:K,MATCH($P559,F_ProductBM!$P:$P,0))="","",INDEX(F_ProductBM!K:K,MATCH($P559,F_ProductBM!$P:$P,0))))</f>
        <v/>
      </c>
      <c r="L559" s="439" t="str">
        <f>IF($I529="","",IF(INDEX(F_ProductBM!L:L,MATCH($P559,F_ProductBM!$P:$P,0))="","",INDEX(F_ProductBM!L:L,MATCH($P559,F_ProductBM!$P:$P,0))))</f>
        <v/>
      </c>
      <c r="M559" s="439" t="str">
        <f>IF($I529="","",IF(INDEX(F_ProductBM!M:M,MATCH($P559,F_ProductBM!$P:$P,0))="","",INDEX(F_ProductBM!M:M,MATCH($P559,F_ProductBM!$P:$P,0))))</f>
        <v/>
      </c>
      <c r="N559" s="342"/>
      <c r="O559" s="17"/>
      <c r="P559" s="116" t="str">
        <f>EUconst_CNTR_HeatImportNitric &amp; I529</f>
        <v>HeatImNitric_</v>
      </c>
      <c r="T559" s="9"/>
    </row>
    <row r="560" spans="2:20" ht="5.0999999999999996" customHeight="1" x14ac:dyDescent="0.25">
      <c r="B560" s="17"/>
      <c r="C560" s="17"/>
      <c r="D560" s="17"/>
      <c r="E560" s="193"/>
      <c r="F560" s="193"/>
      <c r="G560" s="193"/>
      <c r="H560" s="193"/>
      <c r="I560" s="438"/>
      <c r="J560" s="438"/>
      <c r="K560" s="438"/>
      <c r="L560" s="438"/>
      <c r="M560" s="438"/>
      <c r="N560" s="342"/>
      <c r="O560" s="17"/>
      <c r="P560" s="9"/>
      <c r="T560" s="9"/>
    </row>
    <row r="561" spans="2:20" x14ac:dyDescent="0.25">
      <c r="B561" s="17"/>
      <c r="C561" s="17"/>
      <c r="D561" s="17"/>
      <c r="E561" s="1526" t="str">
        <f>Translations!$B$770</f>
        <v>Net heat exported</v>
      </c>
      <c r="F561" s="1526"/>
      <c r="G561" s="1526"/>
      <c r="H561" s="939" t="str">
        <f>EUconst_TJpa</f>
        <v>TJ / year</v>
      </c>
      <c r="I561" s="436" t="str">
        <f>IF($I529="","",IF(INDEX(F_ProductBM!I:I,MATCH($P561,F_ProductBM!$P:$P,0))="","",INDEX(F_ProductBM!I:I,MATCH($P561,F_ProductBM!$P:$P,0))))</f>
        <v/>
      </c>
      <c r="J561" s="436" t="str">
        <f>IF($I529="","",IF(INDEX(F_ProductBM!J:J,MATCH($P561,F_ProductBM!$P:$P,0))="","",INDEX(F_ProductBM!J:J,MATCH($P561,F_ProductBM!$P:$P,0))))</f>
        <v/>
      </c>
      <c r="K561" s="436" t="str">
        <f>IF($I529="","",IF(INDEX(F_ProductBM!K:K,MATCH($P561,F_ProductBM!$P:$P,0))="","",INDEX(F_ProductBM!K:K,MATCH($P561,F_ProductBM!$P:$P,0))))</f>
        <v/>
      </c>
      <c r="L561" s="436" t="str">
        <f>IF($I529="","",IF(INDEX(F_ProductBM!L:L,MATCH($P561,F_ProductBM!$P:$P,0))="","",INDEX(F_ProductBM!L:L,MATCH($P561,F_ProductBM!$P:$P,0))))</f>
        <v/>
      </c>
      <c r="M561" s="436" t="str">
        <f>IF($I529="","",IF(INDEX(F_ProductBM!M:M,MATCH($P561,F_ProductBM!$P:$P,0))="","",INDEX(F_ProductBM!M:M,MATCH($P561,F_ProductBM!$P:$P,0))))</f>
        <v/>
      </c>
      <c r="N561" s="342"/>
      <c r="O561" s="17"/>
      <c r="P561" s="116" t="str">
        <f>EUconst_CNTR_HeatExport &amp; I529</f>
        <v>HeatEx_</v>
      </c>
      <c r="T561" s="9"/>
    </row>
    <row r="562" spans="2:20" x14ac:dyDescent="0.25">
      <c r="B562" s="17"/>
      <c r="C562" s="17"/>
      <c r="D562" s="17"/>
      <c r="E562" s="1527" t="str">
        <f>Translations!$B$771</f>
        <v>Specific EF (exported heat)</v>
      </c>
      <c r="F562" s="1527"/>
      <c r="G562" s="1527"/>
      <c r="H562" s="343" t="str">
        <f>EUconst_tCO2pTJ</f>
        <v>t CO2 / TJ</v>
      </c>
      <c r="I562" s="437" t="str">
        <f>IF($I529="","",IF(INDEX(F_ProductBM!I:I,MATCH($P562,F_ProductBM!$P:$P,0))="","",INDEX(F_ProductBM!I:I,MATCH($P562,F_ProductBM!$P:$P,0))))</f>
        <v/>
      </c>
      <c r="J562" s="437" t="str">
        <f>IF($I529="","",IF(INDEX(F_ProductBM!J:J,MATCH($P562,F_ProductBM!$P:$P,0))="","",INDEX(F_ProductBM!J:J,MATCH($P562,F_ProductBM!$P:$P,0))))</f>
        <v/>
      </c>
      <c r="K562" s="437" t="str">
        <f>IF($I529="","",IF(INDEX(F_ProductBM!K:K,MATCH($P562,F_ProductBM!$P:$P,0))="","",INDEX(F_ProductBM!K:K,MATCH($P562,F_ProductBM!$P:$P,0))))</f>
        <v/>
      </c>
      <c r="L562" s="437" t="str">
        <f>IF($I529="","",IF(INDEX(F_ProductBM!L:L,MATCH($P562,F_ProductBM!$P:$P,0))="","",INDEX(F_ProductBM!L:L,MATCH($P562,F_ProductBM!$P:$P,0))))</f>
        <v/>
      </c>
      <c r="M562" s="437" t="str">
        <f>IF($I529="","",IF(INDEX(F_ProductBM!M:M,MATCH($P562,F_ProductBM!$P:$P,0))="","",INDEX(F_ProductBM!M:M,MATCH($P562,F_ProductBM!$P:$P,0))))</f>
        <v/>
      </c>
      <c r="N562" s="342"/>
      <c r="O562" s="17"/>
      <c r="P562" s="116" t="str">
        <f>EUconst_CNTR_HeatExportEF &amp; I529</f>
        <v>HeatExEF_</v>
      </c>
      <c r="T562" s="9"/>
    </row>
    <row r="563" spans="2:20" ht="5.0999999999999996" customHeight="1" x14ac:dyDescent="0.25">
      <c r="B563" s="17"/>
      <c r="C563" s="17"/>
      <c r="D563" s="17"/>
      <c r="E563" s="193"/>
      <c r="F563" s="193"/>
      <c r="G563" s="193"/>
      <c r="H563" s="193"/>
      <c r="I563" s="438"/>
      <c r="J563" s="438"/>
      <c r="K563" s="438"/>
      <c r="L563" s="438"/>
      <c r="M563" s="438"/>
      <c r="N563" s="342"/>
      <c r="O563" s="17"/>
      <c r="P563" s="9"/>
      <c r="T563" s="9"/>
    </row>
    <row r="564" spans="2:20" x14ac:dyDescent="0.25">
      <c r="B564" s="17"/>
      <c r="C564" s="17"/>
      <c r="D564" s="17"/>
      <c r="E564" s="1526" t="str">
        <f>Translations!$B$778</f>
        <v>Waste gas produced</v>
      </c>
      <c r="F564" s="1526"/>
      <c r="G564" s="1526"/>
      <c r="H564" s="939" t="str">
        <f>EUconst_TJpa</f>
        <v>TJ / year</v>
      </c>
      <c r="I564" s="436" t="str">
        <f>IF($I529="","",IF(INDEX(F_ProductBM!I:I,MATCH($P564,F_ProductBM!$P:$P,0))="","",INDEX(F_ProductBM!I:I,MATCH($P564,F_ProductBM!$P:$P,0))))</f>
        <v/>
      </c>
      <c r="J564" s="436" t="str">
        <f>IF($I529="","",IF(INDEX(F_ProductBM!J:J,MATCH($P564,F_ProductBM!$P:$P,0))="","",INDEX(F_ProductBM!J:J,MATCH($P564,F_ProductBM!$P:$P,0))))</f>
        <v/>
      </c>
      <c r="K564" s="436" t="str">
        <f>IF($I529="","",IF(INDEX(F_ProductBM!K:K,MATCH($P564,F_ProductBM!$P:$P,0))="","",INDEX(F_ProductBM!K:K,MATCH($P564,F_ProductBM!$P:$P,0))))</f>
        <v/>
      </c>
      <c r="L564" s="436" t="str">
        <f>IF($I529="","",IF(INDEX(F_ProductBM!L:L,MATCH($P564,F_ProductBM!$P:$P,0))="","",INDEX(F_ProductBM!L:L,MATCH($P564,F_ProductBM!$P:$P,0))))</f>
        <v/>
      </c>
      <c r="M564" s="436" t="str">
        <f>IF($I529="","",IF(INDEX(F_ProductBM!M:M,MATCH($P564,F_ProductBM!$P:$P,0))="","",INDEX(F_ProductBM!M:M,MATCH($P564,F_ProductBM!$P:$P,0))))</f>
        <v/>
      </c>
      <c r="N564" s="342"/>
      <c r="O564" s="17"/>
      <c r="P564" s="341" t="str">
        <f>EUconst_CNTR_WGProduced &amp; I529</f>
        <v>WasteGasProd_</v>
      </c>
      <c r="T564" s="9"/>
    </row>
    <row r="565" spans="2:20" x14ac:dyDescent="0.25">
      <c r="B565" s="17"/>
      <c r="C565" s="17"/>
      <c r="D565" s="17"/>
      <c r="E565" s="1527" t="str">
        <f>Translations!$B$779</f>
        <v>Specific EF (produced waste gas)</v>
      </c>
      <c r="F565" s="1527"/>
      <c r="G565" s="1527"/>
      <c r="H565" s="343" t="str">
        <f>EUconst_tCO2pTJ</f>
        <v>t CO2 / TJ</v>
      </c>
      <c r="I565" s="437" t="str">
        <f>IF($I529="","",IF(INDEX(F_ProductBM!I:I,MATCH($P565,F_ProductBM!$P:$P,0))="","",INDEX(F_ProductBM!I:I,MATCH($P565,F_ProductBM!$P:$P,0))))</f>
        <v/>
      </c>
      <c r="J565" s="437" t="str">
        <f>IF($I529="","",IF(INDEX(F_ProductBM!J:J,MATCH($P565,F_ProductBM!$P:$P,0))="","",INDEX(F_ProductBM!J:J,MATCH($P565,F_ProductBM!$P:$P,0))))</f>
        <v/>
      </c>
      <c r="K565" s="437" t="str">
        <f>IF($I529="","",IF(INDEX(F_ProductBM!K:K,MATCH($P565,F_ProductBM!$P:$P,0))="","",INDEX(F_ProductBM!K:K,MATCH($P565,F_ProductBM!$P:$P,0))))</f>
        <v/>
      </c>
      <c r="L565" s="437" t="str">
        <f>IF($I529="","",IF(INDEX(F_ProductBM!L:L,MATCH($P565,F_ProductBM!$P:$P,0))="","",INDEX(F_ProductBM!L:L,MATCH($P565,F_ProductBM!$P:$P,0))))</f>
        <v/>
      </c>
      <c r="M565" s="437" t="str">
        <f>IF($I529="","",IF(INDEX(F_ProductBM!M:M,MATCH($P565,F_ProductBM!$P:$P,0))="","",INDEX(F_ProductBM!M:M,MATCH($P565,F_ProductBM!$P:$P,0))))</f>
        <v/>
      </c>
      <c r="N565" s="342"/>
      <c r="O565" s="17"/>
      <c r="P565" s="116" t="str">
        <f>EUconst_CNTR_WGProducedEF &amp; I529</f>
        <v>WasteGasProdEF_</v>
      </c>
      <c r="T565" s="9"/>
    </row>
    <row r="566" spans="2:20" x14ac:dyDescent="0.25">
      <c r="B566" s="17"/>
      <c r="C566" s="17"/>
      <c r="D566" s="17"/>
      <c r="E566" s="1526" t="str">
        <f>Translations!$B$783</f>
        <v>Waste gas consumed</v>
      </c>
      <c r="F566" s="1526"/>
      <c r="G566" s="1526"/>
      <c r="H566" s="939" t="str">
        <f>EUconst_TJpa</f>
        <v>TJ / year</v>
      </c>
      <c r="I566" s="436" t="str">
        <f>IF($I529="","",IF(INDEX(F_ProductBM!I:I,MATCH($P566,F_ProductBM!$P:$P,0))="","",INDEX(F_ProductBM!I:I,MATCH($P566,F_ProductBM!$P:$P,0))))</f>
        <v/>
      </c>
      <c r="J566" s="436" t="str">
        <f>IF($I529="","",IF(INDEX(F_ProductBM!J:J,MATCH($P566,F_ProductBM!$P:$P,0))="","",INDEX(F_ProductBM!J:J,MATCH($P566,F_ProductBM!$P:$P,0))))</f>
        <v/>
      </c>
      <c r="K566" s="436" t="str">
        <f>IF($I529="","",IF(INDEX(F_ProductBM!K:K,MATCH($P566,F_ProductBM!$P:$P,0))="","",INDEX(F_ProductBM!K:K,MATCH($P566,F_ProductBM!$P:$P,0))))</f>
        <v/>
      </c>
      <c r="L566" s="436" t="str">
        <f>IF($I529="","",IF(INDEX(F_ProductBM!L:L,MATCH($P566,F_ProductBM!$P:$P,0))="","",INDEX(F_ProductBM!L:L,MATCH($P566,F_ProductBM!$P:$P,0))))</f>
        <v/>
      </c>
      <c r="M566" s="436" t="str">
        <f>IF($I529="","",IF(INDEX(F_ProductBM!M:M,MATCH($P566,F_ProductBM!$P:$P,0))="","",INDEX(F_ProductBM!M:M,MATCH($P566,F_ProductBM!$P:$P,0))))</f>
        <v/>
      </c>
      <c r="N566" s="342"/>
      <c r="O566" s="17"/>
      <c r="P566" s="116" t="str">
        <f>EUconst_CNTR_WGConsumed &amp; I529</f>
        <v>WasteGasCons_</v>
      </c>
      <c r="T566" s="9"/>
    </row>
    <row r="567" spans="2:20" x14ac:dyDescent="0.25">
      <c r="B567" s="17"/>
      <c r="C567" s="17"/>
      <c r="D567" s="17"/>
      <c r="E567" s="1527" t="str">
        <f>Translations!$B$784</f>
        <v>Specific EF (consumed waste gas)</v>
      </c>
      <c r="F567" s="1527"/>
      <c r="G567" s="1527"/>
      <c r="H567" s="343" t="str">
        <f>EUconst_tCO2pTJ</f>
        <v>t CO2 / TJ</v>
      </c>
      <c r="I567" s="437" t="str">
        <f>IF($I529="","",IF(INDEX(F_ProductBM!I:I,MATCH($P567,F_ProductBM!$P:$P,0))="","",INDEX(F_ProductBM!I:I,MATCH($P567,F_ProductBM!$P:$P,0))))</f>
        <v/>
      </c>
      <c r="J567" s="437" t="str">
        <f>IF($I529="","",IF(INDEX(F_ProductBM!J:J,MATCH($P567,F_ProductBM!$P:$P,0))="","",INDEX(F_ProductBM!J:J,MATCH($P567,F_ProductBM!$P:$P,0))))</f>
        <v/>
      </c>
      <c r="K567" s="437" t="str">
        <f>IF($I529="","",IF(INDEX(F_ProductBM!K:K,MATCH($P567,F_ProductBM!$P:$P,0))="","",INDEX(F_ProductBM!K:K,MATCH($P567,F_ProductBM!$P:$P,0))))</f>
        <v/>
      </c>
      <c r="L567" s="437" t="str">
        <f>IF($I529="","",IF(INDEX(F_ProductBM!L:L,MATCH($P567,F_ProductBM!$P:$P,0))="","",INDEX(F_ProductBM!L:L,MATCH($P567,F_ProductBM!$P:$P,0))))</f>
        <v/>
      </c>
      <c r="M567" s="437" t="str">
        <f>IF($I529="","",IF(INDEX(F_ProductBM!M:M,MATCH($P567,F_ProductBM!$P:$P,0))="","",INDEX(F_ProductBM!M:M,MATCH($P567,F_ProductBM!$P:$P,0))))</f>
        <v/>
      </c>
      <c r="N567" s="342"/>
      <c r="O567" s="17"/>
      <c r="P567" s="116" t="str">
        <f>EUconst_CNTR_WGConsumedEF &amp; I529</f>
        <v>WasteGasConsEF_</v>
      </c>
      <c r="T567" s="9"/>
    </row>
    <row r="568" spans="2:20" x14ac:dyDescent="0.25">
      <c r="B568" s="17"/>
      <c r="C568" s="17"/>
      <c r="D568" s="17"/>
      <c r="E568" s="1526" t="str">
        <f>Translations!$B$790</f>
        <v>Waste gas flared</v>
      </c>
      <c r="F568" s="1526"/>
      <c r="G568" s="1526"/>
      <c r="H568" s="939" t="str">
        <f>EUconst_TJpa</f>
        <v>TJ / year</v>
      </c>
      <c r="I568" s="436" t="str">
        <f>IF($I529="","",IF(INDEX(F_ProductBM!I:I,MATCH($P568,F_ProductBM!$P:$P,0))="","",INDEX(F_ProductBM!I:I,MATCH($P568,F_ProductBM!$P:$P,0))))</f>
        <v/>
      </c>
      <c r="J568" s="436" t="str">
        <f>IF($I529="","",IF(INDEX(F_ProductBM!J:J,MATCH($P568,F_ProductBM!$P:$P,0))="","",INDEX(F_ProductBM!J:J,MATCH($P568,F_ProductBM!$P:$P,0))))</f>
        <v/>
      </c>
      <c r="K568" s="436" t="str">
        <f>IF($I529="","",IF(INDEX(F_ProductBM!K:K,MATCH($P568,F_ProductBM!$P:$P,0))="","",INDEX(F_ProductBM!K:K,MATCH($P568,F_ProductBM!$P:$P,0))))</f>
        <v/>
      </c>
      <c r="L568" s="436" t="str">
        <f>IF($I529="","",IF(INDEX(F_ProductBM!L:L,MATCH($P568,F_ProductBM!$P:$P,0))="","",INDEX(F_ProductBM!L:L,MATCH($P568,F_ProductBM!$P:$P,0))))</f>
        <v/>
      </c>
      <c r="M568" s="436" t="str">
        <f>IF($I529="","",IF(INDEX(F_ProductBM!M:M,MATCH($P568,F_ProductBM!$P:$P,0))="","",INDEX(F_ProductBM!M:M,MATCH($P568,F_ProductBM!$P:$P,0))))</f>
        <v/>
      </c>
      <c r="N568" s="342"/>
      <c r="O568" s="17"/>
      <c r="P568" s="116" t="str">
        <f>EUconst_CNTR_WGFlared &amp; I529</f>
        <v>WasteGasFlare_</v>
      </c>
      <c r="T568" s="9"/>
    </row>
    <row r="569" spans="2:20" x14ac:dyDescent="0.25">
      <c r="B569" s="17"/>
      <c r="C569" s="17"/>
      <c r="D569" s="17"/>
      <c r="E569" s="1527" t="str">
        <f>Translations!$B$791</f>
        <v>Specific EF (flared waste gas)</v>
      </c>
      <c r="F569" s="1527"/>
      <c r="G569" s="1527"/>
      <c r="H569" s="343" t="str">
        <f>EUconst_tCO2pTJ</f>
        <v>t CO2 / TJ</v>
      </c>
      <c r="I569" s="437" t="str">
        <f>IF($I529="","",IF(INDEX(F_ProductBM!I:I,MATCH($P569,F_ProductBM!$P:$P,0))="","",INDEX(F_ProductBM!I:I,MATCH($P569,F_ProductBM!$P:$P,0))))</f>
        <v/>
      </c>
      <c r="J569" s="437" t="str">
        <f>IF($I529="","",IF(INDEX(F_ProductBM!J:J,MATCH($P569,F_ProductBM!$P:$P,0))="","",INDEX(F_ProductBM!J:J,MATCH($P569,F_ProductBM!$P:$P,0))))</f>
        <v/>
      </c>
      <c r="K569" s="437" t="str">
        <f>IF($I529="","",IF(INDEX(F_ProductBM!K:K,MATCH($P569,F_ProductBM!$P:$P,0))="","",INDEX(F_ProductBM!K:K,MATCH($P569,F_ProductBM!$P:$P,0))))</f>
        <v/>
      </c>
      <c r="L569" s="437" t="str">
        <f>IF($I529="","",IF(INDEX(F_ProductBM!L:L,MATCH($P569,F_ProductBM!$P:$P,0))="","",INDEX(F_ProductBM!L:L,MATCH($P569,F_ProductBM!$P:$P,0))))</f>
        <v/>
      </c>
      <c r="M569" s="437" t="str">
        <f>IF($I529="","",IF(INDEX(F_ProductBM!M:M,MATCH($P569,F_ProductBM!$P:$P,0))="","",INDEX(F_ProductBM!M:M,MATCH($P569,F_ProductBM!$P:$P,0))))</f>
        <v/>
      </c>
      <c r="N569" s="342"/>
      <c r="O569" s="17"/>
      <c r="P569" s="116" t="str">
        <f>EUconst_CNTR_WGFlaredEF &amp; I529</f>
        <v>WasteGasFlareEF_</v>
      </c>
      <c r="T569" s="9"/>
    </row>
    <row r="570" spans="2:20" x14ac:dyDescent="0.25">
      <c r="B570" s="17"/>
      <c r="C570" s="17"/>
      <c r="D570" s="17"/>
      <c r="E570" s="1526" t="str">
        <f>Translations!$B$796</f>
        <v>Waste gas imported</v>
      </c>
      <c r="F570" s="1526"/>
      <c r="G570" s="1526"/>
      <c r="H570" s="939" t="str">
        <f>EUconst_TJpa</f>
        <v>TJ / year</v>
      </c>
      <c r="I570" s="436" t="str">
        <f>IF($I529="","",IF(INDEX(F_ProductBM!I:I,MATCH($P570,F_ProductBM!$P:$P,0))="","",INDEX(F_ProductBM!I:I,MATCH($P570,F_ProductBM!$P:$P,0))))</f>
        <v/>
      </c>
      <c r="J570" s="436" t="str">
        <f>IF($I529="","",IF(INDEX(F_ProductBM!J:J,MATCH($P570,F_ProductBM!$P:$P,0))="","",INDEX(F_ProductBM!J:J,MATCH($P570,F_ProductBM!$P:$P,0))))</f>
        <v/>
      </c>
      <c r="K570" s="436" t="str">
        <f>IF($I529="","",IF(INDEX(F_ProductBM!K:K,MATCH($P570,F_ProductBM!$P:$P,0))="","",INDEX(F_ProductBM!K:K,MATCH($P570,F_ProductBM!$P:$P,0))))</f>
        <v/>
      </c>
      <c r="L570" s="436" t="str">
        <f>IF($I529="","",IF(INDEX(F_ProductBM!L:L,MATCH($P570,F_ProductBM!$P:$P,0))="","",INDEX(F_ProductBM!L:L,MATCH($P570,F_ProductBM!$P:$P,0))))</f>
        <v/>
      </c>
      <c r="M570" s="436" t="str">
        <f>IF($I529="","",IF(INDEX(F_ProductBM!M:M,MATCH($P570,F_ProductBM!$P:$P,0))="","",INDEX(F_ProductBM!M:M,MATCH($P570,F_ProductBM!$P:$P,0))))</f>
        <v/>
      </c>
      <c r="N570" s="342"/>
      <c r="O570" s="17"/>
      <c r="P570" s="116" t="str">
        <f>EUconst_CNTR_WGImport &amp; I529</f>
        <v>WasteGasIm_</v>
      </c>
      <c r="T570" s="9"/>
    </row>
    <row r="571" spans="2:20" x14ac:dyDescent="0.25">
      <c r="B571" s="17"/>
      <c r="C571" s="17"/>
      <c r="D571" s="17"/>
      <c r="E571" s="1527" t="str">
        <f>Translations!$B$797</f>
        <v>Specific EF (imported waste gas)</v>
      </c>
      <c r="F571" s="1527"/>
      <c r="G571" s="1527"/>
      <c r="H571" s="343" t="str">
        <f>EUconst_tCO2pTJ</f>
        <v>t CO2 / TJ</v>
      </c>
      <c r="I571" s="437" t="str">
        <f>IF($I529="","",IF(INDEX(F_ProductBM!I:I,MATCH($P571,F_ProductBM!$P:$P,0))="","",INDEX(F_ProductBM!I:I,MATCH($P571,F_ProductBM!$P:$P,0))))</f>
        <v/>
      </c>
      <c r="J571" s="437" t="str">
        <f>IF($I529="","",IF(INDEX(F_ProductBM!J:J,MATCH($P571,F_ProductBM!$P:$P,0))="","",INDEX(F_ProductBM!J:J,MATCH($P571,F_ProductBM!$P:$P,0))))</f>
        <v/>
      </c>
      <c r="K571" s="437" t="str">
        <f>IF($I529="","",IF(INDEX(F_ProductBM!K:K,MATCH($P571,F_ProductBM!$P:$P,0))="","",INDEX(F_ProductBM!K:K,MATCH($P571,F_ProductBM!$P:$P,0))))</f>
        <v/>
      </c>
      <c r="L571" s="437" t="str">
        <f>IF($I529="","",IF(INDEX(F_ProductBM!L:L,MATCH($P571,F_ProductBM!$P:$P,0))="","",INDEX(F_ProductBM!L:L,MATCH($P571,F_ProductBM!$P:$P,0))))</f>
        <v/>
      </c>
      <c r="M571" s="437" t="str">
        <f>IF($I529="","",IF(INDEX(F_ProductBM!M:M,MATCH($P571,F_ProductBM!$P:$P,0))="","",INDEX(F_ProductBM!M:M,MATCH($P571,F_ProductBM!$P:$P,0))))</f>
        <v/>
      </c>
      <c r="N571" s="342"/>
      <c r="O571" s="17"/>
      <c r="P571" s="116" t="str">
        <f>EUconst_CNTR_WGImportEF &amp; I529</f>
        <v>WasteGasImEF_</v>
      </c>
      <c r="T571" s="9"/>
    </row>
    <row r="572" spans="2:20" x14ac:dyDescent="0.25">
      <c r="B572" s="17"/>
      <c r="C572" s="17"/>
      <c r="D572" s="17"/>
      <c r="E572" s="1526" t="str">
        <f>Translations!$B$801</f>
        <v>Waste gas exported</v>
      </c>
      <c r="F572" s="1526"/>
      <c r="G572" s="1526"/>
      <c r="H572" s="939" t="str">
        <f>EUconst_TJpa</f>
        <v>TJ / year</v>
      </c>
      <c r="I572" s="436" t="str">
        <f>IF($I529="","",IF(INDEX(F_ProductBM!I:I,MATCH($P572,F_ProductBM!$P:$P,0))="","",INDEX(F_ProductBM!I:I,MATCH($P572,F_ProductBM!$P:$P,0))))</f>
        <v/>
      </c>
      <c r="J572" s="436" t="str">
        <f>IF($I529="","",IF(INDEX(F_ProductBM!J:J,MATCH($P572,F_ProductBM!$P:$P,0))="","",INDEX(F_ProductBM!J:J,MATCH($P572,F_ProductBM!$P:$P,0))))</f>
        <v/>
      </c>
      <c r="K572" s="436" t="str">
        <f>IF($I529="","",IF(INDEX(F_ProductBM!K:K,MATCH($P572,F_ProductBM!$P:$P,0))="","",INDEX(F_ProductBM!K:K,MATCH($P572,F_ProductBM!$P:$P,0))))</f>
        <v/>
      </c>
      <c r="L572" s="436" t="str">
        <f>IF($I529="","",IF(INDEX(F_ProductBM!L:L,MATCH($P572,F_ProductBM!$P:$P,0))="","",INDEX(F_ProductBM!L:L,MATCH($P572,F_ProductBM!$P:$P,0))))</f>
        <v/>
      </c>
      <c r="M572" s="436" t="str">
        <f>IF($I529="","",IF(INDEX(F_ProductBM!M:M,MATCH($P572,F_ProductBM!$P:$P,0))="","",INDEX(F_ProductBM!M:M,MATCH($P572,F_ProductBM!$P:$P,0))))</f>
        <v/>
      </c>
      <c r="N572" s="342"/>
      <c r="O572" s="17"/>
      <c r="P572" s="116" t="str">
        <f>EUconst_CNTR_WGExport &amp; I529</f>
        <v>WasteGasEx_</v>
      </c>
      <c r="T572" s="9"/>
    </row>
    <row r="573" spans="2:20" x14ac:dyDescent="0.25">
      <c r="B573" s="17"/>
      <c r="C573" s="17"/>
      <c r="D573" s="17"/>
      <c r="E573" s="1527" t="str">
        <f>Translations!$B$802</f>
        <v>Specific EF (exported waste gas)</v>
      </c>
      <c r="F573" s="1527"/>
      <c r="G573" s="1527"/>
      <c r="H573" s="343" t="str">
        <f>EUconst_tCO2pTJ</f>
        <v>t CO2 / TJ</v>
      </c>
      <c r="I573" s="437" t="str">
        <f>IF($I529="","",IF(INDEX(F_ProductBM!I:I,MATCH($P573,F_ProductBM!$P:$P,0))="","",INDEX(F_ProductBM!I:I,MATCH($P573,F_ProductBM!$P:$P,0))))</f>
        <v/>
      </c>
      <c r="J573" s="437" t="str">
        <f>IF($I529="","",IF(INDEX(F_ProductBM!J:J,MATCH($P573,F_ProductBM!$P:$P,0))="","",INDEX(F_ProductBM!J:J,MATCH($P573,F_ProductBM!$P:$P,0))))</f>
        <v/>
      </c>
      <c r="K573" s="437" t="str">
        <f>IF($I529="","",IF(INDEX(F_ProductBM!K:K,MATCH($P573,F_ProductBM!$P:$P,0))="","",INDEX(F_ProductBM!K:K,MATCH($P573,F_ProductBM!$P:$P,0))))</f>
        <v/>
      </c>
      <c r="L573" s="437" t="str">
        <f>IF($I529="","",IF(INDEX(F_ProductBM!L:L,MATCH($P573,F_ProductBM!$P:$P,0))="","",INDEX(F_ProductBM!L:L,MATCH($P573,F_ProductBM!$P:$P,0))))</f>
        <v/>
      </c>
      <c r="M573" s="437" t="str">
        <f>IF($I529="","",IF(INDEX(F_ProductBM!M:M,MATCH($P573,F_ProductBM!$P:$P,0))="","",INDEX(F_ProductBM!M:M,MATCH($P573,F_ProductBM!$P:$P,0))))</f>
        <v/>
      </c>
      <c r="N573" s="342"/>
      <c r="O573" s="17"/>
      <c r="P573" s="116" t="str">
        <f>EUconst_CNTR_WGExportEF &amp; I529</f>
        <v>WasteGasExEF_</v>
      </c>
      <c r="T573" s="9"/>
    </row>
    <row r="574" spans="2:20" ht="5.0999999999999996" customHeight="1" x14ac:dyDescent="0.25">
      <c r="B574" s="17"/>
      <c r="C574" s="17"/>
      <c r="D574" s="17"/>
      <c r="E574" s="193"/>
      <c r="F574" s="193"/>
      <c r="G574" s="193"/>
      <c r="H574" s="193"/>
      <c r="I574" s="438"/>
      <c r="J574" s="438"/>
      <c r="K574" s="438"/>
      <c r="L574" s="438"/>
      <c r="M574" s="438"/>
      <c r="N574" s="342"/>
      <c r="O574" s="17"/>
      <c r="P574" s="9"/>
      <c r="T574" s="9"/>
    </row>
    <row r="575" spans="2:20" x14ac:dyDescent="0.25">
      <c r="B575" s="17"/>
      <c r="C575" s="17"/>
      <c r="D575" s="17"/>
      <c r="E575" s="1528" t="str">
        <f>Translations!$B$689</f>
        <v>Relevant electricity consumption</v>
      </c>
      <c r="F575" s="1528"/>
      <c r="G575" s="1528"/>
      <c r="H575" s="154" t="str">
        <f>EUconst_MWhpa</f>
        <v>MWh / year</v>
      </c>
      <c r="I575" s="439" t="str">
        <f>IF($I529="","",IF(INDEX(F_ProductBM!I:I,MATCH($P575,F_ProductBM!$Q:$Q,0))="","",INDEX(F_ProductBM!I:I,MATCH($P575,F_ProductBM!$Q:$Q,0))))</f>
        <v/>
      </c>
      <c r="J575" s="439" t="str">
        <f>IF($I529="","",IF(INDEX(F_ProductBM!J:J,MATCH($P575,F_ProductBM!$Q:$Q,0))="","",INDEX(F_ProductBM!J:J,MATCH($P575,F_ProductBM!$Q:$Q,0))))</f>
        <v/>
      </c>
      <c r="K575" s="439" t="str">
        <f>IF($I529="","",IF(INDEX(F_ProductBM!K:K,MATCH($P575,F_ProductBM!$Q:$Q,0))="","",INDEX(F_ProductBM!K:K,MATCH($P575,F_ProductBM!$Q:$Q,0))))</f>
        <v/>
      </c>
      <c r="L575" s="439" t="str">
        <f>IF($I529="","",IF(INDEX(F_ProductBM!L:L,MATCH($P575,F_ProductBM!$Q:$Q,0))="","",INDEX(F_ProductBM!L:L,MATCH($P575,F_ProductBM!$Q:$Q,0))))</f>
        <v/>
      </c>
      <c r="M575" s="439" t="str">
        <f>IF($I529="","",IF(INDEX(F_ProductBM!M:M,MATCH($P575,F_ProductBM!$Q:$Q,0))="","",INDEX(F_ProductBM!M:M,MATCH($P575,F_ProductBM!$Q:$Q,0))))</f>
        <v/>
      </c>
      <c r="N575" s="342"/>
      <c r="O575" s="17"/>
      <c r="P575" s="63" t="str">
        <f>EUconst_CNTR_HAL&amp;EUconst_CNTR_ELEXCH &amp; I529</f>
        <v>HAL_ELEXCH_</v>
      </c>
      <c r="T575" s="9"/>
    </row>
    <row r="576" spans="2:20" x14ac:dyDescent="0.25">
      <c r="B576" s="17"/>
      <c r="C576" s="17"/>
      <c r="D576" s="17"/>
      <c r="E576" s="1528" t="str">
        <f>Translations!$B$805</f>
        <v>Electricity produced</v>
      </c>
      <c r="F576" s="1528"/>
      <c r="G576" s="1528"/>
      <c r="H576" s="154" t="str">
        <f>EUconst_MWhpa</f>
        <v>MWh / year</v>
      </c>
      <c r="I576" s="439" t="str">
        <f>IF($I529="","",IF(INDEX(F_ProductBM!I:I,MATCH($P576,F_ProductBM!$P:$P,0))="","",INDEX(F_ProductBM!I:I,MATCH($P576,F_ProductBM!$P:$P,0))))</f>
        <v/>
      </c>
      <c r="J576" s="439" t="str">
        <f>IF($I529="","",IF(INDEX(F_ProductBM!J:J,MATCH($P576,F_ProductBM!$P:$P,0))="","",INDEX(F_ProductBM!J:J,MATCH($P576,F_ProductBM!$P:$P,0))))</f>
        <v/>
      </c>
      <c r="K576" s="439" t="str">
        <f>IF($I529="","",IF(INDEX(F_ProductBM!K:K,MATCH($P576,F_ProductBM!$P:$P,0))="","",INDEX(F_ProductBM!K:K,MATCH($P576,F_ProductBM!$P:$P,0))))</f>
        <v/>
      </c>
      <c r="L576" s="439" t="str">
        <f>IF($I529="","",IF(INDEX(F_ProductBM!L:L,MATCH($P576,F_ProductBM!$P:$P,0))="","",INDEX(F_ProductBM!L:L,MATCH($P576,F_ProductBM!$P:$P,0))))</f>
        <v/>
      </c>
      <c r="M576" s="439" t="str">
        <f>IF($I529="","",IF(INDEX(F_ProductBM!M:M,MATCH($P576,F_ProductBM!$P:$P,0))="","",INDEX(F_ProductBM!M:M,MATCH($P576,F_ProductBM!$P:$P,0))))</f>
        <v/>
      </c>
      <c r="N576" s="342"/>
      <c r="O576" s="17"/>
      <c r="P576" s="116" t="str">
        <f>EUconst_CNTR_ElectricityExported &amp; I529</f>
        <v>ElecEx_</v>
      </c>
      <c r="T576" s="9"/>
    </row>
    <row r="577" spans="2:20" ht="5.0999999999999996" customHeight="1" x14ac:dyDescent="0.25">
      <c r="B577" s="17"/>
      <c r="C577" s="17"/>
      <c r="D577" s="17"/>
      <c r="E577" s="193"/>
      <c r="F577" s="193"/>
      <c r="G577" s="193"/>
      <c r="H577" s="193"/>
      <c r="I577" s="438"/>
      <c r="J577" s="438"/>
      <c r="K577" s="438"/>
      <c r="L577" s="438"/>
      <c r="M577" s="438"/>
      <c r="N577" s="342"/>
      <c r="O577" s="17"/>
      <c r="P577" s="9"/>
      <c r="T577" s="9"/>
    </row>
    <row r="578" spans="2:20" x14ac:dyDescent="0.25">
      <c r="B578" s="17"/>
      <c r="C578" s="17"/>
      <c r="D578" s="17"/>
      <c r="E578" s="1528" t="str">
        <f>Translations!$B$806</f>
        <v>Total amount of pulp produced</v>
      </c>
      <c r="F578" s="1528"/>
      <c r="G578" s="1528"/>
      <c r="H578" s="154" t="str">
        <f>EUconst_Tons</f>
        <v>tonnes</v>
      </c>
      <c r="I578" s="439" t="str">
        <f>IF($I529="","",IF(INDEX(F_ProductBM!I:I,MATCH($P578,F_ProductBM!$P:$P,0))="","",INDEX(F_ProductBM!I:I,MATCH($P578,F_ProductBM!$P:$P,0))))</f>
        <v/>
      </c>
      <c r="J578" s="439" t="str">
        <f>IF($I529="","",IF(INDEX(F_ProductBM!J:J,MATCH($P578,F_ProductBM!$P:$P,0))="","",INDEX(F_ProductBM!J:J,MATCH($P578,F_ProductBM!$P:$P,0))))</f>
        <v/>
      </c>
      <c r="K578" s="439" t="str">
        <f>IF($I529="","",IF(INDEX(F_ProductBM!K:K,MATCH($P578,F_ProductBM!$P:$P,0))="","",INDEX(F_ProductBM!K:K,MATCH($P578,F_ProductBM!$P:$P,0))))</f>
        <v/>
      </c>
      <c r="L578" s="439" t="str">
        <f>IF($I529="","",IF(INDEX(F_ProductBM!L:L,MATCH($P578,F_ProductBM!$P:$P,0))="","",INDEX(F_ProductBM!L:L,MATCH($P578,F_ProductBM!$P:$P,0))))</f>
        <v/>
      </c>
      <c r="M578" s="439" t="str">
        <f>IF($I529="","",IF(INDEX(F_ProductBM!M:M,MATCH($P578,F_ProductBM!$P:$P,0))="","",INDEX(F_ProductBM!M:M,MATCH($P578,F_ProductBM!$P:$P,0))))</f>
        <v/>
      </c>
      <c r="N578" s="342"/>
      <c r="O578" s="17"/>
      <c r="P578" s="116" t="str">
        <f>EUconst_CNTR_HALPulpTotal &amp; I529</f>
        <v>HALPulpTotal_</v>
      </c>
      <c r="T578" s="9"/>
    </row>
    <row r="579" spans="2:20" ht="5.0999999999999996" customHeight="1" x14ac:dyDescent="0.25">
      <c r="B579" s="17"/>
      <c r="C579" s="17"/>
      <c r="D579" s="17"/>
      <c r="E579" s="193"/>
      <c r="F579" s="193"/>
      <c r="G579" s="193"/>
      <c r="H579" s="193"/>
      <c r="I579" s="438"/>
      <c r="J579" s="438"/>
      <c r="K579" s="438"/>
      <c r="L579" s="438"/>
      <c r="M579" s="438"/>
      <c r="N579" s="342"/>
      <c r="O579" s="17"/>
      <c r="P579" s="9"/>
      <c r="T579" s="9"/>
    </row>
    <row r="580" spans="2:20" x14ac:dyDescent="0.25">
      <c r="B580" s="17"/>
      <c r="C580" s="17"/>
      <c r="D580" s="17"/>
      <c r="E580" s="605" t="str">
        <f>Translations!$B$1239</f>
        <v>Intermediate import:</v>
      </c>
      <c r="F580" s="193"/>
      <c r="G580" s="193"/>
      <c r="H580" s="193"/>
      <c r="I580" s="438"/>
      <c r="J580" s="438"/>
      <c r="K580" s="438"/>
      <c r="L580" s="438"/>
      <c r="M580" s="438"/>
      <c r="N580" s="342"/>
      <c r="O580" s="17"/>
      <c r="P580" s="9"/>
      <c r="T580" s="9"/>
    </row>
    <row r="581" spans="2:20" x14ac:dyDescent="0.25">
      <c r="B581" s="17"/>
      <c r="C581" s="17"/>
      <c r="D581" s="17"/>
      <c r="E581" s="1510" t="str">
        <f>IF($I529="","",IF(INDEX(F_ProductBM!E:E,MATCH($P581,F_ProductBM!$P:$P,0))="","",INDEX(F_ProductBM!E:E,MATCH($P581,F_ProductBM!$P:$P,0))))</f>
        <v/>
      </c>
      <c r="F581" s="1510"/>
      <c r="G581" s="1510"/>
      <c r="H581" s="154" t="str">
        <f>EUconst_Tons</f>
        <v>tonnes</v>
      </c>
      <c r="I581" s="439" t="str">
        <f>IF($I529="","",IF(INDEX(F_ProductBM!I:I,MATCH($P581,F_ProductBM!$P:$P,0))="","",INDEX(F_ProductBM!I:I,MATCH($P581,F_ProductBM!$P:$P,0))))</f>
        <v/>
      </c>
      <c r="J581" s="439" t="str">
        <f>IF($I529="","",IF(INDEX(F_ProductBM!J:J,MATCH($P581,F_ProductBM!$P:$P,0))="","",INDEX(F_ProductBM!J:J,MATCH($P581,F_ProductBM!$P:$P,0))))</f>
        <v/>
      </c>
      <c r="K581" s="439" t="str">
        <f>IF($I529="","",IF(INDEX(F_ProductBM!K:K,MATCH($P581,F_ProductBM!$P:$P,0))="","",INDEX(F_ProductBM!K:K,MATCH($P581,F_ProductBM!$P:$P,0))))</f>
        <v/>
      </c>
      <c r="L581" s="439" t="str">
        <f>IF($I529="","",IF(INDEX(F_ProductBM!L:L,MATCH($P581,F_ProductBM!$P:$P,0))="","",INDEX(F_ProductBM!L:L,MATCH($P581,F_ProductBM!$P:$P,0))))</f>
        <v/>
      </c>
      <c r="M581" s="439" t="str">
        <f>IF($I529="","",IF(INDEX(F_ProductBM!M:M,MATCH($P581,F_ProductBM!$P:$P,0))="","",INDEX(F_ProductBM!M:M,MATCH($P581,F_ProductBM!$P:$P,0))))</f>
        <v/>
      </c>
      <c r="N581" s="342"/>
      <c r="O581" s="17"/>
      <c r="P581" s="116" t="str">
        <f>EUconst_CNTR_IntermediateImport &amp; R581 &amp; "_" &amp; I529</f>
        <v>IntImp_1_</v>
      </c>
      <c r="R581" s="372">
        <v>1</v>
      </c>
      <c r="T581" s="9"/>
    </row>
    <row r="582" spans="2:20" x14ac:dyDescent="0.25">
      <c r="B582" s="17"/>
      <c r="C582" s="17"/>
      <c r="D582" s="17"/>
      <c r="E582" s="1510" t="str">
        <f>IF($I529="","",IF(INDEX(F_ProductBM!E:E,MATCH($P582,F_ProductBM!$P:$P,0))="","",INDEX(F_ProductBM!E:E,MATCH($P582,F_ProductBM!$P:$P,0))))</f>
        <v/>
      </c>
      <c r="F582" s="1510"/>
      <c r="G582" s="1510"/>
      <c r="H582" s="154" t="str">
        <f>EUconst_Tons</f>
        <v>tonnes</v>
      </c>
      <c r="I582" s="439" t="str">
        <f>IF($I529="","",IF(INDEX(F_ProductBM!I:I,MATCH($P582,F_ProductBM!$P:$P,0))="","",INDEX(F_ProductBM!I:I,MATCH($P582,F_ProductBM!$P:$P,0))))</f>
        <v/>
      </c>
      <c r="J582" s="439" t="str">
        <f>IF($I529="","",IF(INDEX(F_ProductBM!J:J,MATCH($P582,F_ProductBM!$P:$P,0))="","",INDEX(F_ProductBM!J:J,MATCH($P582,F_ProductBM!$P:$P,0))))</f>
        <v/>
      </c>
      <c r="K582" s="439" t="str">
        <f>IF($I529="","",IF(INDEX(F_ProductBM!K:K,MATCH($P582,F_ProductBM!$P:$P,0))="","",INDEX(F_ProductBM!K:K,MATCH($P582,F_ProductBM!$P:$P,0))))</f>
        <v/>
      </c>
      <c r="L582" s="439" t="str">
        <f>IF($I529="","",IF(INDEX(F_ProductBM!L:L,MATCH($P582,F_ProductBM!$P:$P,0))="","",INDEX(F_ProductBM!L:L,MATCH($P582,F_ProductBM!$P:$P,0))))</f>
        <v/>
      </c>
      <c r="M582" s="439" t="str">
        <f>IF($I529="","",IF(INDEX(F_ProductBM!M:M,MATCH($P582,F_ProductBM!$P:$P,0))="","",INDEX(F_ProductBM!M:M,MATCH($P582,F_ProductBM!$P:$P,0))))</f>
        <v/>
      </c>
      <c r="N582" s="342"/>
      <c r="O582" s="17"/>
      <c r="P582" s="116" t="str">
        <f>EUconst_CNTR_IntermediateImport &amp; R582 &amp; "_" &amp; I529</f>
        <v>IntImp_2_</v>
      </c>
      <c r="R582" s="372">
        <v>2</v>
      </c>
      <c r="T582" s="9"/>
    </row>
    <row r="583" spans="2:20" x14ac:dyDescent="0.25">
      <c r="B583" s="17"/>
      <c r="C583" s="17"/>
      <c r="D583" s="17"/>
      <c r="E583" s="605" t="str">
        <f>Translations!$B$1240</f>
        <v>Intermediate export:</v>
      </c>
      <c r="F583" s="193"/>
      <c r="G583" s="193"/>
      <c r="H583" s="193"/>
      <c r="I583" s="438"/>
      <c r="J583" s="438"/>
      <c r="K583" s="438"/>
      <c r="L583" s="438"/>
      <c r="M583" s="438"/>
      <c r="N583" s="342"/>
      <c r="O583" s="17"/>
      <c r="P583" s="9"/>
      <c r="T583" s="9"/>
    </row>
    <row r="584" spans="2:20" x14ac:dyDescent="0.25">
      <c r="B584" s="17"/>
      <c r="C584" s="17"/>
      <c r="D584" s="17"/>
      <c r="E584" s="1510" t="str">
        <f>IF($I529="","",IF(INDEX(F_ProductBM!E:E,MATCH($P584,F_ProductBM!$P:$P,0))="","",INDEX(F_ProductBM!E:E,MATCH($P584,F_ProductBM!$P:$P,0))))</f>
        <v/>
      </c>
      <c r="F584" s="1510"/>
      <c r="G584" s="1510"/>
      <c r="H584" s="154" t="str">
        <f>EUconst_Tons</f>
        <v>tonnes</v>
      </c>
      <c r="I584" s="439" t="str">
        <f>IF($I529="","",IF(INDEX(F_ProductBM!I:I,MATCH($P584,F_ProductBM!$P:$P,0))="","",INDEX(F_ProductBM!I:I,MATCH($P584,F_ProductBM!$P:$P,0))))</f>
        <v/>
      </c>
      <c r="J584" s="439" t="str">
        <f>IF($I529="","",IF(INDEX(F_ProductBM!J:J,MATCH($P584,F_ProductBM!$P:$P,0))="","",INDEX(F_ProductBM!J:J,MATCH($P584,F_ProductBM!$P:$P,0))))</f>
        <v/>
      </c>
      <c r="K584" s="439" t="str">
        <f>IF($I529="","",IF(INDEX(F_ProductBM!K:K,MATCH($P584,F_ProductBM!$P:$P,0))="","",INDEX(F_ProductBM!K:K,MATCH($P584,F_ProductBM!$P:$P,0))))</f>
        <v/>
      </c>
      <c r="L584" s="439" t="str">
        <f>IF($I529="","",IF(INDEX(F_ProductBM!L:L,MATCH($P584,F_ProductBM!$P:$P,0))="","",INDEX(F_ProductBM!L:L,MATCH($P584,F_ProductBM!$P:$P,0))))</f>
        <v/>
      </c>
      <c r="M584" s="439" t="str">
        <f>IF($I529="","",IF(INDEX(F_ProductBM!M:M,MATCH($P584,F_ProductBM!$P:$P,0))="","",INDEX(F_ProductBM!M:M,MATCH($P584,F_ProductBM!$P:$P,0))))</f>
        <v/>
      </c>
      <c r="N584" s="342"/>
      <c r="O584" s="17"/>
      <c r="P584" s="116" t="str">
        <f>EUconst_CNTR_IntermediateExport &amp; R581 &amp; "_" &amp; I529</f>
        <v>IntExp_1_</v>
      </c>
      <c r="R584" s="372">
        <v>1</v>
      </c>
      <c r="T584" s="9"/>
    </row>
    <row r="585" spans="2:20" x14ac:dyDescent="0.25">
      <c r="B585" s="17"/>
      <c r="C585" s="17"/>
      <c r="D585" s="17"/>
      <c r="E585" s="1510" t="str">
        <f>IF($I529="","",IF(INDEX(F_ProductBM!E:E,MATCH($P585,F_ProductBM!$P:$P,0))="","",INDEX(F_ProductBM!E:E,MATCH($P585,F_ProductBM!$P:$P,0))))</f>
        <v/>
      </c>
      <c r="F585" s="1510"/>
      <c r="G585" s="1510"/>
      <c r="H585" s="154" t="str">
        <f>EUconst_Tons</f>
        <v>tonnes</v>
      </c>
      <c r="I585" s="439" t="str">
        <f>IF($I529="","",IF(INDEX(F_ProductBM!I:I,MATCH($P585,F_ProductBM!$P:$P,0))="","",INDEX(F_ProductBM!I:I,MATCH($P585,F_ProductBM!$P:$P,0))))</f>
        <v/>
      </c>
      <c r="J585" s="439" t="str">
        <f>IF($I529="","",IF(INDEX(F_ProductBM!J:J,MATCH($P585,F_ProductBM!$P:$P,0))="","",INDEX(F_ProductBM!J:J,MATCH($P585,F_ProductBM!$P:$P,0))))</f>
        <v/>
      </c>
      <c r="K585" s="439" t="str">
        <f>IF($I529="","",IF(INDEX(F_ProductBM!K:K,MATCH($P585,F_ProductBM!$P:$P,0))="","",INDEX(F_ProductBM!K:K,MATCH($P585,F_ProductBM!$P:$P,0))))</f>
        <v/>
      </c>
      <c r="L585" s="439" t="str">
        <f>IF($I529="","",IF(INDEX(F_ProductBM!L:L,MATCH($P585,F_ProductBM!$P:$P,0))="","",INDEX(F_ProductBM!L:L,MATCH($P585,F_ProductBM!$P:$P,0))))</f>
        <v/>
      </c>
      <c r="M585" s="439" t="str">
        <f>IF($I529="","",IF(INDEX(F_ProductBM!M:M,MATCH($P585,F_ProductBM!$P:$P,0))="","",INDEX(F_ProductBM!M:M,MATCH($P585,F_ProductBM!$P:$P,0))))</f>
        <v/>
      </c>
      <c r="N585" s="342"/>
      <c r="O585" s="17"/>
      <c r="P585" s="116" t="str">
        <f>EUconst_CNTR_IntermediateExport &amp; R585 &amp; "_" &amp; I529</f>
        <v>IntExp_2_</v>
      </c>
      <c r="R585" s="372">
        <v>2</v>
      </c>
      <c r="T585" s="9"/>
    </row>
    <row r="586" spans="2:20" ht="12.75" customHeight="1" x14ac:dyDescent="0.25">
      <c r="B586" s="17"/>
      <c r="C586" s="17"/>
      <c r="D586" s="17"/>
      <c r="E586" s="193"/>
      <c r="F586" s="193"/>
      <c r="G586" s="193"/>
      <c r="H586" s="193"/>
      <c r="I586" s="342"/>
      <c r="J586" s="342"/>
      <c r="K586" s="342"/>
      <c r="L586" s="342"/>
      <c r="M586" s="342"/>
      <c r="N586" s="342"/>
      <c r="O586" s="17"/>
      <c r="P586" s="9"/>
      <c r="T586" s="9"/>
    </row>
    <row r="587" spans="2:20" ht="5.0999999999999996" customHeight="1" thickBot="1" x14ac:dyDescent="0.3">
      <c r="B587" s="17"/>
      <c r="C587" s="17"/>
      <c r="D587" s="17"/>
      <c r="E587" s="445"/>
      <c r="F587" s="276"/>
      <c r="G587" s="276"/>
      <c r="H587" s="276"/>
      <c r="I587" s="276"/>
      <c r="J587" s="276"/>
      <c r="K587" s="276"/>
      <c r="L587" s="276"/>
      <c r="M587" s="276"/>
      <c r="N587" s="276"/>
      <c r="O587" s="17"/>
      <c r="T587" s="9"/>
    </row>
    <row r="588" spans="2:20" ht="5.0999999999999996" customHeight="1" thickBot="1" x14ac:dyDescent="0.3">
      <c r="B588" s="8"/>
      <c r="C588" s="906"/>
      <c r="D588" s="906"/>
      <c r="E588" s="906"/>
      <c r="F588" s="906"/>
      <c r="G588" s="906"/>
      <c r="H588" s="906"/>
      <c r="I588" s="906"/>
      <c r="J588" s="906"/>
      <c r="K588" s="906"/>
      <c r="L588" s="906"/>
      <c r="M588" s="906"/>
      <c r="N588" s="906"/>
      <c r="O588" s="17"/>
      <c r="T588" s="9" t="s">
        <v>644</v>
      </c>
    </row>
    <row r="589" spans="2:20" ht="15" customHeight="1" thickBot="1" x14ac:dyDescent="0.3">
      <c r="B589" s="17"/>
      <c r="C589" s="19">
        <f>C529+1</f>
        <v>3</v>
      </c>
      <c r="D589" s="1234" t="str">
        <f>CONCATENATE(EUconst_BMSubinst," ",C589, ":")</f>
        <v>Sub-installation with product benchmark 3:</v>
      </c>
      <c r="E589" s="1234"/>
      <c r="F589" s="1234"/>
      <c r="G589" s="1234"/>
      <c r="H589" s="1704"/>
      <c r="I589" s="1550" t="str">
        <f>IF(INDEX(CNTR_SubInstListIsProdBM,$C589),INDEX(CNTR_SubInstListNames,$C589),"")</f>
        <v/>
      </c>
      <c r="J589" s="1705"/>
      <c r="K589" s="1705"/>
      <c r="L589" s="1705"/>
      <c r="M589" s="1705"/>
      <c r="N589" s="1706"/>
      <c r="O589" s="17"/>
      <c r="Q589" s="427">
        <f>C589</f>
        <v>3</v>
      </c>
      <c r="R589" s="424" t="str">
        <f>I589</f>
        <v/>
      </c>
      <c r="S589" s="426" t="str">
        <f>H592</f>
        <v>N.A.</v>
      </c>
      <c r="T589" s="425" t="str">
        <f>IF(M601="","",IF(S592=0,0,SUM(M601)/S592))</f>
        <v/>
      </c>
    </row>
    <row r="590" spans="2:20" ht="5.0999999999999996" customHeight="1" thickBot="1" x14ac:dyDescent="0.3">
      <c r="B590" s="17"/>
      <c r="C590" s="17"/>
      <c r="D590" s="17"/>
      <c r="E590" s="17"/>
      <c r="F590" s="17"/>
      <c r="G590" s="17"/>
      <c r="H590" s="17"/>
      <c r="I590" s="17"/>
      <c r="J590" s="17"/>
      <c r="K590" s="17"/>
      <c r="L590" s="17"/>
      <c r="M590" s="17"/>
      <c r="N590" s="17"/>
      <c r="O590" s="17"/>
      <c r="T590" s="9"/>
    </row>
    <row r="591" spans="2:20" x14ac:dyDescent="0.25">
      <c r="B591" s="17"/>
      <c r="C591" s="17"/>
      <c r="D591" s="17"/>
      <c r="E591" s="17"/>
      <c r="F591" s="17"/>
      <c r="G591" s="17"/>
      <c r="H591" s="253" t="str">
        <f>Translations!$B$1204</f>
        <v>CL-exposed</v>
      </c>
      <c r="I591" s="254" t="s">
        <v>629</v>
      </c>
      <c r="J591" s="254" t="str">
        <f>Translations!$B$1208</f>
        <v>Started</v>
      </c>
      <c r="K591" s="254" t="str">
        <f>Translations!$B$1206</f>
        <v>No. of BM</v>
      </c>
      <c r="L591" s="329" t="str">
        <f>Translations!$B$1212</f>
        <v>15(7).3?</v>
      </c>
      <c r="M591" s="468" t="str">
        <f>Translations!$B$1234</f>
        <v>BM value (min/max/actual)</v>
      </c>
      <c r="N591" s="469"/>
      <c r="O591" s="17"/>
      <c r="T591" s="9"/>
    </row>
    <row r="592" spans="2:20" x14ac:dyDescent="0.25">
      <c r="B592" s="17"/>
      <c r="C592" s="17"/>
      <c r="D592" s="17"/>
      <c r="E592" s="255" t="str">
        <f>I589</f>
        <v/>
      </c>
      <c r="F592" s="256"/>
      <c r="G592" s="230"/>
      <c r="H592" s="257" t="str">
        <f>IF(K592=EUconst_NA,EUconst_NA,INDEX(EUconst_BMlistCLstatus,K592))</f>
        <v>N.A.</v>
      </c>
      <c r="I592" s="258" t="str">
        <f>IF(E592="","",INDEX(EUconst_BMlistElExchangability,K592))</f>
        <v/>
      </c>
      <c r="J592" s="355" t="str">
        <f>IF($I589="",EUconst_NA,INDEX(CNTR_SubInstStartDate,MATCH(E592,CNTR_SubInstListNames,0)))</f>
        <v>N.A.</v>
      </c>
      <c r="K592" s="203" t="str">
        <f>IF($I589="",EUconst_NA,MATCH(E592,EUconst_BMlistNames,0))</f>
        <v>N.A.</v>
      </c>
      <c r="L592" s="467" t="str">
        <f>IF(E592="","",INDEX(CNTR_SubInstLess1Year,MATCH(E592,CNTR_SubInstListNames,0)))</f>
        <v/>
      </c>
      <c r="M592" s="470" t="str">
        <f>IF(I589="",EUconst_NA,INDEX(EUconst_BMlistBMvaluesMatrix,K592,2))</f>
        <v>N.A.</v>
      </c>
      <c r="N592" s="471" t="str">
        <f>EUconst_EUA &amp; "/" &amp; H597</f>
        <v>UKA/tonnes</v>
      </c>
      <c r="O592" s="17"/>
      <c r="R592" s="288" t="s">
        <v>639</v>
      </c>
      <c r="S592" s="335" t="str">
        <f>IF(H592=EUconst_NA,"",IF(H592,1,INDEX(EUconst_CLEFYears,1)))</f>
        <v/>
      </c>
      <c r="T592" s="9"/>
    </row>
    <row r="593" spans="2:20" x14ac:dyDescent="0.25">
      <c r="B593" s="17"/>
      <c r="C593" s="17"/>
      <c r="D593" s="17"/>
      <c r="E593" s="276"/>
      <c r="F593" s="276"/>
      <c r="G593" s="254" t="str">
        <f>Translations!$B$1218</f>
        <v>non-ETS heat</v>
      </c>
      <c r="H593" s="329" t="str">
        <f>Translations!$B$1220</f>
        <v>WGflare</v>
      </c>
      <c r="I593" s="254" t="s">
        <v>630</v>
      </c>
      <c r="J593" s="254" t="s">
        <v>631</v>
      </c>
      <c r="K593" s="254" t="s">
        <v>632</v>
      </c>
      <c r="L593" s="329" t="str">
        <f>Translations!$B$1214</f>
        <v>15(7).3 HAL</v>
      </c>
      <c r="M593" s="470" t="str">
        <f>IF(I589="",EUconst_NA,INDEX(EUconst_BMlistBMvaluesMatrix,K592,1))</f>
        <v>N.A.</v>
      </c>
      <c r="N593" s="471" t="str">
        <f>EUconst_EUA &amp; "/" &amp; H597</f>
        <v>UKA/tonnes</v>
      </c>
      <c r="O593" s="17"/>
      <c r="R593" s="288"/>
      <c r="S593" s="368"/>
      <c r="T593" s="9"/>
    </row>
    <row r="594" spans="2:20" ht="13.8" thickBot="1" x14ac:dyDescent="0.3">
      <c r="B594" s="17"/>
      <c r="C594" s="17"/>
      <c r="D594" s="17"/>
      <c r="E594" s="370" t="str">
        <f>Translations!$B$1235</f>
        <v>Special factors:</v>
      </c>
      <c r="F594" s="371"/>
      <c r="G594" s="203" t="str">
        <f>IF($I589="","",SUMIF(F_ProductBM!$P:$P,EUconst_CNTR_HEAT&amp;$I589,F_ProductBM!$Q:$Q))</f>
        <v/>
      </c>
      <c r="H594" s="353" t="str">
        <f>IF(OR($I589="",CNTR_BaselinePeriod&lt;&gt;2),"",SUMIF(F_ProductBM!$P:$P,EUconst_CNTR_WGFlaredEF &amp; I589,F_ProductBM!$R:$R))</f>
        <v/>
      </c>
      <c r="I594" s="334">
        <f>IF(AND($I589&lt;&gt;"",$I592=TRUE),IF(ISNUMBER(INDEX(F_ProductBM!$Q:$Q,MATCH(EUconst_CNTR_ELEXCH&amp;$I589,F_ProductBM!$P:$P,0))),INDEX(F_ProductBM!$Q:$Q,MATCH(EUconst_CNTR_ELEXCH&amp;$I589,F_ProductBM!$P:$P,0)),1),1)</f>
        <v>1</v>
      </c>
      <c r="J594" s="203" t="str">
        <f>IF($I589="","",IF($K592=42,SUMIF(H_SpecialBM!$P$9:$P$384,EUconst_CNTR_HVC,H_SpecialBM!$I$9:$I$384),0))</f>
        <v/>
      </c>
      <c r="K594" s="369" t="str">
        <f>IF($I589="","",IF($K592=47,IF(ISNUMBER(INDEX(H_SpecialBM!$Q$9:$Q$384,MATCH(EUconst_CNTR_VCM,H_SpecialBM!$P$9:$P$384,0))),INDEX(H_SpecialBM!$Q$9:$Q$384,MATCH(EUconst_CNTR_VCM,H_SpecialBM!$P$9:$P$384,0)),1),1))</f>
        <v/>
      </c>
      <c r="L594" s="353" t="str">
        <f>IF($L592=TRUE,SUMIF(F_ProductBM!$P$11:$P$2192,EUconst_CNTR_HAL&amp;$I589,F_ProductBM!$N$11:$N$2192),"")</f>
        <v/>
      </c>
      <c r="M594" s="472" t="str">
        <f>IF(I589="",EUconst_NA,IF(EUconst_StatusOfDataCollection,INDEX(EUconst_BMlistBMvaluesMatrix,K592,3),""))</f>
        <v>N.A.</v>
      </c>
      <c r="N594" s="473" t="str">
        <f>EUconst_EUA &amp; "/" &amp; H597</f>
        <v>UKA/tonnes</v>
      </c>
      <c r="O594" s="17"/>
      <c r="R594" s="288"/>
      <c r="S594" s="368"/>
      <c r="T594" s="9"/>
    </row>
    <row r="595" spans="2:20" ht="5.0999999999999996" customHeight="1" x14ac:dyDescent="0.25">
      <c r="B595" s="17"/>
      <c r="C595" s="17"/>
      <c r="D595" s="17"/>
      <c r="E595" s="17"/>
      <c r="F595" s="17"/>
      <c r="G595" s="17"/>
      <c r="H595" s="17"/>
      <c r="I595" s="17"/>
      <c r="J595" s="17"/>
      <c r="K595" s="17"/>
      <c r="L595" s="17"/>
      <c r="M595" s="17"/>
      <c r="N595" s="17"/>
      <c r="O595" s="17"/>
      <c r="T595" s="9"/>
    </row>
    <row r="596" spans="2:20" x14ac:dyDescent="0.25">
      <c r="B596" s="17"/>
      <c r="C596" s="17"/>
      <c r="D596" s="17"/>
      <c r="E596" s="78"/>
      <c r="F596" s="78"/>
      <c r="G596" s="259"/>
      <c r="H596" s="366" t="str">
        <f>EUconst_Unit</f>
        <v>Unit</v>
      </c>
      <c r="I596" s="149">
        <f>I$1397</f>
        <v>2019</v>
      </c>
      <c r="J596" s="149">
        <f>J$1397</f>
        <v>2020</v>
      </c>
      <c r="K596" s="149">
        <f>K$1397</f>
        <v>2021</v>
      </c>
      <c r="L596" s="149">
        <f>L$1397</f>
        <v>2022</v>
      </c>
      <c r="M596" s="149">
        <f>M$1397</f>
        <v>2023</v>
      </c>
      <c r="N596" s="17"/>
      <c r="O596" s="17"/>
      <c r="P596" s="63" t="s">
        <v>397</v>
      </c>
      <c r="T596" s="9"/>
    </row>
    <row r="597" spans="2:20" x14ac:dyDescent="0.25">
      <c r="B597" s="17"/>
      <c r="C597" s="17"/>
      <c r="D597" s="17"/>
      <c r="E597" s="260" t="str">
        <f>Translations!$B$1236</f>
        <v>HAL (Historic activity level) reported</v>
      </c>
      <c r="F597" s="261"/>
      <c r="G597" s="262"/>
      <c r="H597" s="257" t="str">
        <f>IF(ISNUMBER(K592),INDEX(EUconst_BMlistUnits,K592),EUconst_Tons)</f>
        <v>tonnes</v>
      </c>
      <c r="I597" s="203" t="str">
        <f>IF($I589="","",SUMIF(F_ProductBM!$P$11:$P$1876,$P597,F_ProductBM!I$11:I$1876))</f>
        <v/>
      </c>
      <c r="J597" s="203" t="str">
        <f>IF($I589="","",SUMIF(F_ProductBM!$P$11:$P$1876,$P597,F_ProductBM!J$11:J$1876))</f>
        <v/>
      </c>
      <c r="K597" s="203" t="str">
        <f>IF($I589="","",SUMIF(F_ProductBM!$P$11:$P$1876,$P597,F_ProductBM!K$11:K$1876))</f>
        <v/>
      </c>
      <c r="L597" s="203" t="str">
        <f>IF($I589="","",SUMIF(F_ProductBM!$P$11:$P$1876,$P597,F_ProductBM!L$11:L$1876))</f>
        <v/>
      </c>
      <c r="M597" s="203" t="str">
        <f>IF($I589="","",SUMIF(F_ProductBM!$P$11:$P$1876,$P597,F_ProductBM!M$11:M$1876))</f>
        <v/>
      </c>
      <c r="N597" s="254" t="str">
        <f>Translations!$B$1224</f>
        <v>Average</v>
      </c>
      <c r="O597" s="17"/>
      <c r="P597" s="63" t="str">
        <f>EUconst_CNTR_HAL&amp;I589</f>
        <v>HAL_</v>
      </c>
      <c r="T597" s="9"/>
    </row>
    <row r="598" spans="2:20" x14ac:dyDescent="0.25">
      <c r="B598" s="17"/>
      <c r="C598" s="17"/>
      <c r="D598" s="17"/>
      <c r="E598" s="260" t="str">
        <f>Translations!$B$1237</f>
        <v>Values used for HAL calculation:</v>
      </c>
      <c r="F598" s="261"/>
      <c r="G598" s="262"/>
      <c r="H598" s="257" t="str">
        <f>H597</f>
        <v>tonnes</v>
      </c>
      <c r="I598" s="203" t="str">
        <f>IF($I589="","",INDEX(F_ProductBM!S$11:S$1876,MATCH($P598,F_ProductBM!$P$11:$P$1876,0)))</f>
        <v/>
      </c>
      <c r="J598" s="203" t="str">
        <f>IF($I589="","",INDEX(F_ProductBM!T$11:T$1876,MATCH($P598,F_ProductBM!$P$11:$P$1876,0)))</f>
        <v/>
      </c>
      <c r="K598" s="203" t="str">
        <f>IF($I589="","",INDEX(F_ProductBM!U$11:U$1876,MATCH($P598,F_ProductBM!$P$11:$P$1876,0)))</f>
        <v/>
      </c>
      <c r="L598" s="203" t="str">
        <f>IF($I589="","",INDEX(F_ProductBM!V$11:V$1876,MATCH($P598,F_ProductBM!$P$11:$P$1876,0)))</f>
        <v/>
      </c>
      <c r="M598" s="203" t="str">
        <f>IF($I589="","",INDEX(F_ProductBM!W$11:W$1876,MATCH($P598,F_ProductBM!$P$11:$P$1876,0)))</f>
        <v/>
      </c>
      <c r="N598" s="203" t="str">
        <f>IF(OR($I589="",$L592=TRUE),"",IF(COUNT($I598:$M598)&gt;0,AVERAGE($I598:$M598),""))</f>
        <v/>
      </c>
      <c r="O598" s="17"/>
      <c r="P598" s="63" t="str">
        <f>EUconst_CNTR_HAL&amp;I589</f>
        <v>HAL_</v>
      </c>
      <c r="R598" s="442" t="s">
        <v>640</v>
      </c>
      <c r="S598" s="442" t="s">
        <v>641</v>
      </c>
      <c r="T598" s="442" t="s">
        <v>642</v>
      </c>
    </row>
    <row r="599" spans="2:20" ht="5.0999999999999996" customHeight="1" thickBot="1" x14ac:dyDescent="0.3">
      <c r="B599" s="17"/>
      <c r="C599" s="17"/>
      <c r="D599" s="17"/>
      <c r="E599" s="367"/>
      <c r="F599" s="367"/>
      <c r="G599" s="367"/>
      <c r="H599" s="367"/>
      <c r="I599" s="367"/>
      <c r="J599" s="367"/>
      <c r="K599" s="367"/>
      <c r="L599" s="367"/>
      <c r="M599" s="276"/>
      <c r="N599" s="276"/>
      <c r="O599" s="17"/>
      <c r="T599" s="9"/>
    </row>
    <row r="600" spans="2:20" ht="13.8" thickBot="1" x14ac:dyDescent="0.3">
      <c r="B600" s="17"/>
      <c r="C600" s="276"/>
      <c r="D600" s="17"/>
      <c r="E600" s="367"/>
      <c r="F600" s="336" t="s">
        <v>643</v>
      </c>
      <c r="G600" s="337"/>
      <c r="H600" s="276"/>
      <c r="I600" s="336" t="str">
        <f>Translations!$B$1226</f>
        <v>Prelim Alloc Year 1 (min)</v>
      </c>
      <c r="J600" s="337"/>
      <c r="K600" s="336" t="str">
        <f>Translations!$B$1229</f>
        <v>Prelim Alloc Year 1 (max)</v>
      </c>
      <c r="L600" s="337"/>
      <c r="M600" s="336" t="str">
        <f>Translations!$B$1231</f>
        <v>Prelim Alloc Year 1 (actual)</v>
      </c>
      <c r="N600" s="337"/>
      <c r="O600" s="17"/>
      <c r="P600" s="63" t="str">
        <f>EUconst_AllocPrelim&amp;I589</f>
        <v>AllocPrelim_</v>
      </c>
      <c r="R600" s="423" t="str">
        <f>IF(I601="","",IF(S592=0,0,SUM(I601)/S592))</f>
        <v/>
      </c>
      <c r="S600" s="423" t="str">
        <f>IF(K601="","",IF(S592=0,0,SUM(K601)/S592))</f>
        <v/>
      </c>
      <c r="T600" s="423" t="str">
        <f>T589</f>
        <v/>
      </c>
    </row>
    <row r="601" spans="2:20" ht="13.8" thickBot="1" x14ac:dyDescent="0.3">
      <c r="B601" s="17"/>
      <c r="C601" s="276"/>
      <c r="D601" s="276"/>
      <c r="E601" s="367"/>
      <c r="F601" s="264" t="str">
        <f>IF(I589="","",MAX(0, IF(L592=TRUE, SUM(L594), SUM(N598))))</f>
        <v/>
      </c>
      <c r="G601" s="265" t="str">
        <f>H597&amp;" / "&amp;EUconst_Year</f>
        <v>tonnes / year</v>
      </c>
      <c r="H601" s="276"/>
      <c r="I601" s="333" t="str">
        <f>IF(I589="","",ROUND((SUM(M592)*SUM(F601)*SUM(I594)*SUM(K594)-SUM(G594)-SUM(H594)+SUM(J594))*SUM(S592),0))</f>
        <v/>
      </c>
      <c r="J601" s="409" t="s">
        <v>645</v>
      </c>
      <c r="K601" s="333" t="str">
        <f>IF(I589="","",ROUND((SUM(M593)*SUM(F601)*SUM(I594)*SUM(K594)-SUM(G594)-SUM(H594)+SUM(J594))*SUM(S592),0))</f>
        <v/>
      </c>
      <c r="L601" s="409" t="s">
        <v>645</v>
      </c>
      <c r="M601" s="333" t="str">
        <f>IF(OR(I589="",M594=""),"",ROUND((SUM(M594)*SUM(F601)*SUM(I594)*SUM(K594)-SUM(G594)-SUM(H594)+SUM(J594))*SUM(S592),0))</f>
        <v/>
      </c>
      <c r="N601" s="409" t="s">
        <v>645</v>
      </c>
      <c r="O601" s="17"/>
      <c r="P601" s="63" t="str">
        <f>EUconst_HALsum &amp; I589</f>
        <v>HALsum_</v>
      </c>
      <c r="T601" s="9"/>
    </row>
    <row r="602" spans="2:20" ht="5.0999999999999996" customHeight="1" x14ac:dyDescent="0.25">
      <c r="B602" s="17"/>
      <c r="C602" s="17"/>
      <c r="D602" s="276"/>
      <c r="E602" s="113"/>
      <c r="F602" s="17"/>
      <c r="G602" s="17"/>
      <c r="H602" s="17"/>
      <c r="I602" s="17"/>
      <c r="J602" s="17"/>
      <c r="K602" s="17"/>
      <c r="L602" s="17"/>
      <c r="M602" s="17"/>
      <c r="N602" s="17"/>
      <c r="O602" s="17"/>
      <c r="T602" s="9"/>
    </row>
    <row r="603" spans="2:20" ht="12.75" customHeight="1" x14ac:dyDescent="0.25">
      <c r="B603" s="17"/>
      <c r="C603" s="17"/>
      <c r="D603" s="17"/>
      <c r="E603" s="193"/>
      <c r="F603" s="342"/>
      <c r="G603" s="342"/>
      <c r="H603" s="342"/>
      <c r="I603" s="342"/>
      <c r="J603" s="342"/>
      <c r="K603" s="342"/>
      <c r="L603" s="342"/>
      <c r="M603" s="342"/>
      <c r="N603" s="342"/>
      <c r="O603" s="17"/>
      <c r="T603" s="9"/>
    </row>
    <row r="604" spans="2:20" ht="13.8" thickBot="1" x14ac:dyDescent="0.3">
      <c r="B604" s="17"/>
      <c r="C604" s="17"/>
      <c r="D604" s="17"/>
      <c r="E604" s="193"/>
      <c r="F604" s="342"/>
      <c r="G604" s="342"/>
      <c r="H604" s="192" t="str">
        <f>EUconst_Unit</f>
        <v>Unit</v>
      </c>
      <c r="I604" s="441">
        <f>I$1397</f>
        <v>2019</v>
      </c>
      <c r="J604" s="153">
        <f>J$1397</f>
        <v>2020</v>
      </c>
      <c r="K604" s="153">
        <f>K$1397</f>
        <v>2021</v>
      </c>
      <c r="L604" s="153">
        <f>L$1397</f>
        <v>2022</v>
      </c>
      <c r="M604" s="153">
        <f>M$1397</f>
        <v>2023</v>
      </c>
      <c r="N604" s="342"/>
      <c r="O604" s="17"/>
      <c r="T604" s="9"/>
    </row>
    <row r="605" spans="2:20" ht="13.8" thickBot="1" x14ac:dyDescent="0.3">
      <c r="B605" s="17"/>
      <c r="C605" s="17"/>
      <c r="D605" s="17"/>
      <c r="E605" s="1610" t="str">
        <f>Translations!$B$1238</f>
        <v>Total attributed emissions</v>
      </c>
      <c r="F605" s="1610"/>
      <c r="G605" s="1610"/>
      <c r="H605" s="411" t="str">
        <f>EUconst_tCO2epa</f>
        <v>t CO2e/year</v>
      </c>
      <c r="I605" s="432" t="str">
        <f>INDEX(I$93:I$109,MATCH($I589,$E$93:$E$109,0))</f>
        <v/>
      </c>
      <c r="J605" s="433" t="str">
        <f>INDEX(J$93:J$109,MATCH($I589,$E$93:$E$109,0))</f>
        <v/>
      </c>
      <c r="K605" s="433" t="str">
        <f>INDEX(K$93:K$109,MATCH($I589,$E$93:$E$109,0))</f>
        <v/>
      </c>
      <c r="L605" s="433" t="str">
        <f>INDEX(L$93:L$109,MATCH($I589,$E$93:$E$109,0))</f>
        <v/>
      </c>
      <c r="M605" s="434" t="str">
        <f>INDEX(M$93:M$109,MATCH($I589,$E$93:$E$109,0))</f>
        <v/>
      </c>
      <c r="N605" s="342"/>
      <c r="O605" s="17"/>
      <c r="T605" s="9"/>
    </row>
    <row r="606" spans="2:20" ht="5.0999999999999996" customHeight="1" x14ac:dyDescent="0.25">
      <c r="B606" s="17"/>
      <c r="C606" s="17"/>
      <c r="D606" s="17"/>
      <c r="E606" s="193"/>
      <c r="F606" s="193"/>
      <c r="G606" s="193"/>
      <c r="H606" s="193"/>
      <c r="I606" s="435"/>
      <c r="J606" s="435"/>
      <c r="K606" s="435"/>
      <c r="L606" s="435"/>
      <c r="M606" s="435"/>
      <c r="N606" s="193"/>
      <c r="O606" s="17"/>
      <c r="T606" s="9"/>
    </row>
    <row r="607" spans="2:20" x14ac:dyDescent="0.25">
      <c r="B607" s="17"/>
      <c r="C607" s="17"/>
      <c r="D607" s="17"/>
      <c r="E607" s="1526" t="str">
        <f>Translations!$B$731</f>
        <v>Fuel input</v>
      </c>
      <c r="F607" s="1526"/>
      <c r="G607" s="1526"/>
      <c r="H607" s="939" t="str">
        <f>EUconst_TJpa</f>
        <v>TJ / year</v>
      </c>
      <c r="I607" s="436" t="str">
        <f>IF($I589="","",IF(INDEX(F_ProductBM!I:I,MATCH($P607,F_ProductBM!$P:$P,0))="","",INDEX(F_ProductBM!I:I,MATCH($P607,F_ProductBM!$P:$P,0))))</f>
        <v/>
      </c>
      <c r="J607" s="436" t="str">
        <f>IF($I589="","",IF(INDEX(F_ProductBM!J:J,MATCH($P607,F_ProductBM!$P:$P,0))="","",INDEX(F_ProductBM!J:J,MATCH($P607,F_ProductBM!$P:$P,0))))</f>
        <v/>
      </c>
      <c r="K607" s="436" t="str">
        <f>IF($I589="","",IF(INDEX(F_ProductBM!K:K,MATCH($P607,F_ProductBM!$P:$P,0))="","",INDEX(F_ProductBM!K:K,MATCH($P607,F_ProductBM!$P:$P,0))))</f>
        <v/>
      </c>
      <c r="L607" s="436" t="str">
        <f>IF($I589="","",IF(INDEX(F_ProductBM!L:L,MATCH($P607,F_ProductBM!$P:$P,0))="","",INDEX(F_ProductBM!L:L,MATCH($P607,F_ProductBM!$P:$P,0))))</f>
        <v/>
      </c>
      <c r="M607" s="436" t="str">
        <f>IF($I589="","",IF(INDEX(F_ProductBM!M:M,MATCH($P607,F_ProductBM!$P:$P,0))="","",INDEX(F_ProductBM!M:M,MATCH($P607,F_ProductBM!$P:$P,0))))</f>
        <v/>
      </c>
      <c r="N607" s="342"/>
      <c r="O607" s="17"/>
      <c r="P607" s="341" t="str">
        <f>EUconst_CNTR_FuelInput &amp; I589</f>
        <v>FuelInput_</v>
      </c>
      <c r="T607" s="9"/>
    </row>
    <row r="608" spans="2:20" x14ac:dyDescent="0.25">
      <c r="B608" s="17"/>
      <c r="C608" s="17"/>
      <c r="D608" s="17"/>
      <c r="E608" s="1527" t="str">
        <f>Translations!$B$732</f>
        <v>Weighted emission factor</v>
      </c>
      <c r="F608" s="1527"/>
      <c r="G608" s="1527"/>
      <c r="H608" s="343" t="str">
        <f>EUconst_tCO2pTJ</f>
        <v>t CO2 / TJ</v>
      </c>
      <c r="I608" s="437" t="str">
        <f>IF($I589="","",IF(INDEX(F_ProductBM!I:I,MATCH($P608,F_ProductBM!$P:$P,0))="","",INDEX(F_ProductBM!I:I,MATCH($P608,F_ProductBM!$P:$P,0))))</f>
        <v/>
      </c>
      <c r="J608" s="437" t="str">
        <f>IF($I589="","",IF(INDEX(F_ProductBM!J:J,MATCH($P608,F_ProductBM!$P:$P,0))="","",INDEX(F_ProductBM!J:J,MATCH($P608,F_ProductBM!$P:$P,0))))</f>
        <v/>
      </c>
      <c r="K608" s="437" t="str">
        <f>IF($I589="","",IF(INDEX(F_ProductBM!K:K,MATCH($P608,F_ProductBM!$P:$P,0))="","",INDEX(F_ProductBM!K:K,MATCH($P608,F_ProductBM!$P:$P,0))))</f>
        <v/>
      </c>
      <c r="L608" s="437" t="str">
        <f>IF($I589="","",IF(INDEX(F_ProductBM!L:L,MATCH($P608,F_ProductBM!$P:$P,0))="","",INDEX(F_ProductBM!L:L,MATCH($P608,F_ProductBM!$P:$P,0))))</f>
        <v/>
      </c>
      <c r="M608" s="437" t="str">
        <f>IF($I589="","",IF(INDEX(F_ProductBM!M:M,MATCH($P608,F_ProductBM!$P:$P,0))="","",INDEX(F_ProductBM!M:M,MATCH($P608,F_ProductBM!$P:$P,0))))</f>
        <v/>
      </c>
      <c r="N608" s="342"/>
      <c r="O608" s="17"/>
      <c r="P608" s="116" t="str">
        <f>EUconst_CNTR_FuelEF &amp; I589</f>
        <v>FuelEF_</v>
      </c>
      <c r="T608" s="9"/>
    </row>
    <row r="609" spans="2:20" ht="5.0999999999999996" customHeight="1" x14ac:dyDescent="0.25">
      <c r="B609" s="17"/>
      <c r="C609" s="17"/>
      <c r="D609" s="276"/>
      <c r="E609" s="193"/>
      <c r="F609" s="342"/>
      <c r="G609" s="342"/>
      <c r="H609" s="342"/>
      <c r="I609" s="438"/>
      <c r="J609" s="438"/>
      <c r="K609" s="438"/>
      <c r="L609" s="438"/>
      <c r="M609" s="438"/>
      <c r="N609" s="342"/>
      <c r="O609" s="17"/>
      <c r="T609" s="9"/>
    </row>
    <row r="610" spans="2:20" ht="12.75" customHeight="1" x14ac:dyDescent="0.25">
      <c r="B610" s="17"/>
      <c r="C610" s="17"/>
      <c r="D610" s="276"/>
      <c r="E610" s="1528" t="str">
        <f>Translations!$B$687</f>
        <v>Direct emissions</v>
      </c>
      <c r="F610" s="1528"/>
      <c r="G610" s="1528"/>
      <c r="H610" s="154" t="str">
        <f>EUconst_tCO2pa</f>
        <v>t CO2 / year</v>
      </c>
      <c r="I610" s="439" t="str">
        <f>IF($I589="","",IF(INDEX(F_ProductBM!I:I,MATCH($P610,F_ProductBM!$P:$P,0))="","",INDEX(F_ProductBM!I:I,MATCH($P610,F_ProductBM!$P:$P,0))))</f>
        <v/>
      </c>
      <c r="J610" s="439" t="str">
        <f>IF($I589="","",IF(INDEX(F_ProductBM!J:J,MATCH($P610,F_ProductBM!$P:$P,0))="","",INDEX(F_ProductBM!J:J,MATCH($P610,F_ProductBM!$P:$P,0))))</f>
        <v/>
      </c>
      <c r="K610" s="439" t="str">
        <f>IF($I589="","",IF(INDEX(F_ProductBM!K:K,MATCH($P610,F_ProductBM!$P:$P,0))="","",INDEX(F_ProductBM!K:K,MATCH($P610,F_ProductBM!$P:$P,0))))</f>
        <v/>
      </c>
      <c r="L610" s="439" t="str">
        <f>IF($I589="","",IF(INDEX(F_ProductBM!L:L,MATCH($P610,F_ProductBM!$P:$P,0))="","",INDEX(F_ProductBM!L:L,MATCH($P610,F_ProductBM!$P:$P,0))))</f>
        <v/>
      </c>
      <c r="M610" s="439" t="str">
        <f>IF($I589="","",IF(INDEX(F_ProductBM!M:M,MATCH($P610,F_ProductBM!$P:$P,0))="","",INDEX(F_ProductBM!M:M,MATCH($P610,F_ProductBM!$P:$P,0))))</f>
        <v/>
      </c>
      <c r="N610" s="342"/>
      <c r="O610" s="17"/>
      <c r="P610" s="116" t="str">
        <f>EUconst_CNTR_Emissions &amp; I589</f>
        <v>DirEmissions_</v>
      </c>
      <c r="T610" s="9"/>
    </row>
    <row r="611" spans="2:20" x14ac:dyDescent="0.25">
      <c r="B611" s="17"/>
      <c r="C611" s="17"/>
      <c r="D611" s="276"/>
      <c r="E611" s="1528" t="str">
        <f>Translations!$B$742</f>
        <v>Further source streams - 1</v>
      </c>
      <c r="F611" s="1528"/>
      <c r="G611" s="1528"/>
      <c r="H611" s="154" t="str">
        <f>EUconst_tCO2pa</f>
        <v>t CO2 / year</v>
      </c>
      <c r="I611" s="439" t="str">
        <f>IF($I589="","",IF(INDEX(F_ProductBM!I:I,MATCH($P611,F_ProductBM!$P:$P,0))="","",INDEX(F_ProductBM!I:I,MATCH($P611,F_ProductBM!$P:$P,0))))</f>
        <v/>
      </c>
      <c r="J611" s="439" t="str">
        <f>IF($I589="","",IF(INDEX(F_ProductBM!J:J,MATCH($P611,F_ProductBM!$P:$P,0))="","",INDEX(F_ProductBM!J:J,MATCH($P611,F_ProductBM!$P:$P,0))))</f>
        <v/>
      </c>
      <c r="K611" s="439" t="str">
        <f>IF($I589="","",IF(INDEX(F_ProductBM!K:K,MATCH($P611,F_ProductBM!$P:$P,0))="","",INDEX(F_ProductBM!K:K,MATCH($P611,F_ProductBM!$P:$P,0))))</f>
        <v/>
      </c>
      <c r="L611" s="439" t="str">
        <f>IF($I589="","",IF(INDEX(F_ProductBM!L:L,MATCH($P611,F_ProductBM!$P:$P,0))="","",INDEX(F_ProductBM!L:L,MATCH($P611,F_ProductBM!$P:$P,0))))</f>
        <v/>
      </c>
      <c r="M611" s="439" t="str">
        <f>IF($I589="","",IF(INDEX(F_ProductBM!M:M,MATCH($P611,F_ProductBM!$P:$P,0))="","",INDEX(F_ProductBM!M:M,MATCH($P611,F_ProductBM!$P:$P,0))))</f>
        <v/>
      </c>
      <c r="N611" s="342"/>
      <c r="O611" s="17"/>
      <c r="P611" s="116" t="str">
        <f>EUconst_CNTR_EmissionsIntSource1 &amp; I589</f>
        <v>EmInternalSource1_</v>
      </c>
      <c r="T611" s="9"/>
    </row>
    <row r="612" spans="2:20" x14ac:dyDescent="0.25">
      <c r="B612" s="17"/>
      <c r="C612" s="17"/>
      <c r="D612" s="276"/>
      <c r="E612" s="1528" t="str">
        <f>Translations!$B$752</f>
        <v>Further source streams - 2</v>
      </c>
      <c r="F612" s="1528"/>
      <c r="G612" s="1528"/>
      <c r="H612" s="154" t="str">
        <f>EUconst_tCO2pa</f>
        <v>t CO2 / year</v>
      </c>
      <c r="I612" s="439" t="str">
        <f>IF($I589="","",IF(INDEX(F_ProductBM!I:I,MATCH($P612,F_ProductBM!$P:$P,0))="","",INDEX(F_ProductBM!I:I,MATCH($P612,F_ProductBM!$P:$P,0))))</f>
        <v/>
      </c>
      <c r="J612" s="439" t="str">
        <f>IF($I589="","",IF(INDEX(F_ProductBM!J:J,MATCH($P612,F_ProductBM!$P:$P,0))="","",INDEX(F_ProductBM!J:J,MATCH($P612,F_ProductBM!$P:$P,0))))</f>
        <v/>
      </c>
      <c r="K612" s="439" t="str">
        <f>IF($I589="","",IF(INDEX(F_ProductBM!K:K,MATCH($P612,F_ProductBM!$P:$P,0))="","",INDEX(F_ProductBM!K:K,MATCH($P612,F_ProductBM!$P:$P,0))))</f>
        <v/>
      </c>
      <c r="L612" s="439" t="str">
        <f>IF($I589="","",IF(INDEX(F_ProductBM!L:L,MATCH($P612,F_ProductBM!$P:$P,0))="","",INDEX(F_ProductBM!L:L,MATCH($P612,F_ProductBM!$P:$P,0))))</f>
        <v/>
      </c>
      <c r="M612" s="439" t="str">
        <f>IF($I589="","",IF(INDEX(F_ProductBM!M:M,MATCH($P612,F_ProductBM!$P:$P,0))="","",INDEX(F_ProductBM!M:M,MATCH($P612,F_ProductBM!$P:$P,0))))</f>
        <v/>
      </c>
      <c r="N612" s="342"/>
      <c r="O612" s="17"/>
      <c r="P612" s="116" t="str">
        <f>EUconst_CNTR_EmissionsIntSource2 &amp; I589</f>
        <v>EmInternalSource2_</v>
      </c>
      <c r="T612" s="9"/>
    </row>
    <row r="613" spans="2:20" x14ac:dyDescent="0.25">
      <c r="B613" s="17"/>
      <c r="C613" s="17"/>
      <c r="D613" s="17"/>
      <c r="E613" s="1528" t="str">
        <f>Translations!$B$756</f>
        <v>GHG imported or exported</v>
      </c>
      <c r="F613" s="1528"/>
      <c r="G613" s="1528"/>
      <c r="H613" s="154" t="str">
        <f>EUconst_tCO2epa</f>
        <v>t CO2e/year</v>
      </c>
      <c r="I613" s="439" t="str">
        <f>IF($I589="","",IF(INDEX(F_ProductBM!I:I,MATCH($P613,F_ProductBM!$P:$P,0))="","",INDEX(F_ProductBM!I:I,MATCH($P613,F_ProductBM!$P:$P,0))))</f>
        <v/>
      </c>
      <c r="J613" s="439" t="str">
        <f>IF($I589="","",IF(INDEX(F_ProductBM!J:J,MATCH($P613,F_ProductBM!$P:$P,0))="","",INDEX(F_ProductBM!J:J,MATCH($P613,F_ProductBM!$P:$P,0))))</f>
        <v/>
      </c>
      <c r="K613" s="439" t="str">
        <f>IF($I589="","",IF(INDEX(F_ProductBM!K:K,MATCH($P613,F_ProductBM!$P:$P,0))="","",INDEX(F_ProductBM!K:K,MATCH($P613,F_ProductBM!$P:$P,0))))</f>
        <v/>
      </c>
      <c r="L613" s="439" t="str">
        <f>IF($I589="","",IF(INDEX(F_ProductBM!L:L,MATCH($P613,F_ProductBM!$P:$P,0))="","",INDEX(F_ProductBM!L:L,MATCH($P613,F_ProductBM!$P:$P,0))))</f>
        <v/>
      </c>
      <c r="M613" s="439" t="str">
        <f>IF($I589="","",IF(INDEX(F_ProductBM!M:M,MATCH($P613,F_ProductBM!$P:$P,0))="","",INDEX(F_ProductBM!M:M,MATCH($P613,F_ProductBM!$P:$P,0))))</f>
        <v/>
      </c>
      <c r="N613" s="342"/>
      <c r="O613" s="17"/>
      <c r="P613" s="116" t="str">
        <f>EUconst_CNTR_CO2Feedstock &amp; I589</f>
        <v>EmCO2Feedstock_</v>
      </c>
      <c r="T613" s="9"/>
    </row>
    <row r="614" spans="2:20" ht="5.0999999999999996" customHeight="1" x14ac:dyDescent="0.25">
      <c r="B614" s="17"/>
      <c r="C614" s="17"/>
      <c r="D614" s="17"/>
      <c r="E614" s="342"/>
      <c r="F614" s="342"/>
      <c r="G614" s="342"/>
      <c r="H614" s="342"/>
      <c r="I614" s="438"/>
      <c r="J614" s="438"/>
      <c r="K614" s="438"/>
      <c r="L614" s="438"/>
      <c r="M614" s="438"/>
      <c r="N614" s="342"/>
      <c r="O614" s="17"/>
      <c r="T614" s="9"/>
    </row>
    <row r="615" spans="2:20" x14ac:dyDescent="0.25">
      <c r="B615" s="17"/>
      <c r="C615" s="17"/>
      <c r="D615" s="17"/>
      <c r="E615" s="1526" t="str">
        <f>Translations!$B$764</f>
        <v>Net heat imported</v>
      </c>
      <c r="F615" s="1526"/>
      <c r="G615" s="1526"/>
      <c r="H615" s="939" t="str">
        <f>EUconst_TJpa</f>
        <v>TJ / year</v>
      </c>
      <c r="I615" s="436" t="str">
        <f>IF($I589="","",IF(INDEX(F_ProductBM!I:I,MATCH($P615,F_ProductBM!$P:$P,0))="","",INDEX(F_ProductBM!I:I,MATCH($P615,F_ProductBM!$P:$P,0))))</f>
        <v/>
      </c>
      <c r="J615" s="436" t="str">
        <f>IF($I589="","",IF(INDEX(F_ProductBM!J:J,MATCH($P615,F_ProductBM!$P:$P,0))="","",INDEX(F_ProductBM!J:J,MATCH($P615,F_ProductBM!$P:$P,0))))</f>
        <v/>
      </c>
      <c r="K615" s="436" t="str">
        <f>IF($I589="","",IF(INDEX(F_ProductBM!K:K,MATCH($P615,F_ProductBM!$P:$P,0))="","",INDEX(F_ProductBM!K:K,MATCH($P615,F_ProductBM!$P:$P,0))))</f>
        <v/>
      </c>
      <c r="L615" s="436" t="str">
        <f>IF($I589="","",IF(INDEX(F_ProductBM!L:L,MATCH($P615,F_ProductBM!$P:$P,0))="","",INDEX(F_ProductBM!L:L,MATCH($P615,F_ProductBM!$P:$P,0))))</f>
        <v/>
      </c>
      <c r="M615" s="436" t="str">
        <f>IF($I589="","",IF(INDEX(F_ProductBM!M:M,MATCH($P615,F_ProductBM!$P:$P,0))="","",INDEX(F_ProductBM!M:M,MATCH($P615,F_ProductBM!$P:$P,0))))</f>
        <v/>
      </c>
      <c r="N615" s="342"/>
      <c r="O615" s="17"/>
      <c r="P615" s="116" t="str">
        <f>EUconst_CNTR_HeatImport &amp; I589</f>
        <v>HeatIm_</v>
      </c>
      <c r="T615" s="9"/>
    </row>
    <row r="616" spans="2:20" x14ac:dyDescent="0.25">
      <c r="B616" s="17"/>
      <c r="C616" s="17"/>
      <c r="D616" s="17"/>
      <c r="E616" s="1527" t="str">
        <f>Translations!$B$765</f>
        <v>Specific EF (imported heat)</v>
      </c>
      <c r="F616" s="1527"/>
      <c r="G616" s="1527"/>
      <c r="H616" s="343" t="str">
        <f>EUconst_tCO2pTJ</f>
        <v>t CO2 / TJ</v>
      </c>
      <c r="I616" s="437" t="str">
        <f>IF($I589="","",IF(INDEX(F_ProductBM!I:I,MATCH($P616,F_ProductBM!$P:$P,0))="","",INDEX(F_ProductBM!I:I,MATCH($P616,F_ProductBM!$P:$P,0))))</f>
        <v/>
      </c>
      <c r="J616" s="437" t="str">
        <f>IF($I589="","",IF(INDEX(F_ProductBM!J:J,MATCH($P616,F_ProductBM!$P:$P,0))="","",INDEX(F_ProductBM!J:J,MATCH($P616,F_ProductBM!$P:$P,0))))</f>
        <v/>
      </c>
      <c r="K616" s="437" t="str">
        <f>IF($I589="","",IF(INDEX(F_ProductBM!K:K,MATCH($P616,F_ProductBM!$P:$P,0))="","",INDEX(F_ProductBM!K:K,MATCH($P616,F_ProductBM!$P:$P,0))))</f>
        <v/>
      </c>
      <c r="L616" s="437" t="str">
        <f>IF($I589="","",IF(INDEX(F_ProductBM!L:L,MATCH($P616,F_ProductBM!$P:$P,0))="","",INDEX(F_ProductBM!L:L,MATCH($P616,F_ProductBM!$P:$P,0))))</f>
        <v/>
      </c>
      <c r="M616" s="437" t="str">
        <f>IF($I589="","",IF(INDEX(F_ProductBM!M:M,MATCH($P616,F_ProductBM!$P:$P,0))="","",INDEX(F_ProductBM!M:M,MATCH($P616,F_ProductBM!$P:$P,0))))</f>
        <v/>
      </c>
      <c r="N616" s="342"/>
      <c r="O616" s="17"/>
      <c r="P616" s="116" t="str">
        <f>EUconst_CNTR_HeatImportEF &amp; I589</f>
        <v>HeatImEF_</v>
      </c>
      <c r="T616" s="9"/>
    </row>
    <row r="617" spans="2:20" ht="5.0999999999999996" customHeight="1" x14ac:dyDescent="0.25">
      <c r="B617" s="17"/>
      <c r="C617" s="17"/>
      <c r="D617" s="17"/>
      <c r="E617" s="193"/>
      <c r="F617" s="342"/>
      <c r="G617" s="342"/>
      <c r="H617" s="342"/>
      <c r="I617" s="438"/>
      <c r="J617" s="438"/>
      <c r="K617" s="438"/>
      <c r="L617" s="438"/>
      <c r="M617" s="438"/>
      <c r="N617" s="342"/>
      <c r="O617" s="17"/>
      <c r="P617" s="9"/>
      <c r="T617" s="9"/>
    </row>
    <row r="618" spans="2:20" x14ac:dyDescent="0.25">
      <c r="B618" s="17"/>
      <c r="C618" s="17"/>
      <c r="D618" s="17"/>
      <c r="E618" s="1528" t="str">
        <f>Translations!$B$820</f>
        <v>Net heat imported from pulp</v>
      </c>
      <c r="F618" s="1528"/>
      <c r="G618" s="1528"/>
      <c r="H618" s="154" t="str">
        <f>EUconst_TJpa</f>
        <v>TJ / year</v>
      </c>
      <c r="I618" s="439" t="str">
        <f>IF($I589="","",IF(INDEX(F_ProductBM!I:I,MATCH($P618,F_ProductBM!$P:$P,0))="","",INDEX(F_ProductBM!I:I,MATCH($P618,F_ProductBM!$P:$P,0))))</f>
        <v/>
      </c>
      <c r="J618" s="439" t="str">
        <f>IF($I589="","",IF(INDEX(F_ProductBM!J:J,MATCH($P618,F_ProductBM!$P:$P,0))="","",INDEX(F_ProductBM!J:J,MATCH($P618,F_ProductBM!$P:$P,0))))</f>
        <v/>
      </c>
      <c r="K618" s="439" t="str">
        <f>IF($I589="","",IF(INDEX(F_ProductBM!K:K,MATCH($P618,F_ProductBM!$P:$P,0))="","",INDEX(F_ProductBM!K:K,MATCH($P618,F_ProductBM!$P:$P,0))))</f>
        <v/>
      </c>
      <c r="L618" s="439" t="str">
        <f>IF($I589="","",IF(INDEX(F_ProductBM!L:L,MATCH($P618,F_ProductBM!$P:$P,0))="","",INDEX(F_ProductBM!L:L,MATCH($P618,F_ProductBM!$P:$P,0))))</f>
        <v/>
      </c>
      <c r="M618" s="439" t="str">
        <f>IF($I589="","",IF(INDEX(F_ProductBM!M:M,MATCH($P618,F_ProductBM!$P:$P,0))="","",INDEX(F_ProductBM!M:M,MATCH($P618,F_ProductBM!$P:$P,0))))</f>
        <v/>
      </c>
      <c r="N618" s="342"/>
      <c r="O618" s="17"/>
      <c r="P618" s="116" t="str">
        <f>EUconst_CNTR_HeatImportPulp &amp; I589</f>
        <v>HeatImPulp_</v>
      </c>
      <c r="T618" s="9"/>
    </row>
    <row r="619" spans="2:20" x14ac:dyDescent="0.25">
      <c r="B619" s="17"/>
      <c r="C619" s="17"/>
      <c r="D619" s="17"/>
      <c r="E619" s="1528" t="str">
        <f>Translations!$B$768</f>
        <v>Net heat imported from nitric acid sub-installation</v>
      </c>
      <c r="F619" s="1528"/>
      <c r="G619" s="1528"/>
      <c r="H619" s="154" t="str">
        <f>EUconst_TJpa</f>
        <v>TJ / year</v>
      </c>
      <c r="I619" s="439" t="str">
        <f>IF($I589="","",IF(INDEX(F_ProductBM!I:I,MATCH($P619,F_ProductBM!$P:$P,0))="","",INDEX(F_ProductBM!I:I,MATCH($P619,F_ProductBM!$P:$P,0))))</f>
        <v/>
      </c>
      <c r="J619" s="439" t="str">
        <f>IF($I589="","",IF(INDEX(F_ProductBM!J:J,MATCH($P619,F_ProductBM!$P:$P,0))="","",INDEX(F_ProductBM!J:J,MATCH($P619,F_ProductBM!$P:$P,0))))</f>
        <v/>
      </c>
      <c r="K619" s="439" t="str">
        <f>IF($I589="","",IF(INDEX(F_ProductBM!K:K,MATCH($P619,F_ProductBM!$P:$P,0))="","",INDEX(F_ProductBM!K:K,MATCH($P619,F_ProductBM!$P:$P,0))))</f>
        <v/>
      </c>
      <c r="L619" s="439" t="str">
        <f>IF($I589="","",IF(INDEX(F_ProductBM!L:L,MATCH($P619,F_ProductBM!$P:$P,0))="","",INDEX(F_ProductBM!L:L,MATCH($P619,F_ProductBM!$P:$P,0))))</f>
        <v/>
      </c>
      <c r="M619" s="439" t="str">
        <f>IF($I589="","",IF(INDEX(F_ProductBM!M:M,MATCH($P619,F_ProductBM!$P:$P,0))="","",INDEX(F_ProductBM!M:M,MATCH($P619,F_ProductBM!$P:$P,0))))</f>
        <v/>
      </c>
      <c r="N619" s="342"/>
      <c r="O619" s="17"/>
      <c r="P619" s="116" t="str">
        <f>EUconst_CNTR_HeatImportNitric &amp; I589</f>
        <v>HeatImNitric_</v>
      </c>
      <c r="T619" s="9"/>
    </row>
    <row r="620" spans="2:20" ht="5.0999999999999996" customHeight="1" x14ac:dyDescent="0.25">
      <c r="B620" s="17"/>
      <c r="C620" s="17"/>
      <c r="D620" s="17"/>
      <c r="E620" s="193"/>
      <c r="F620" s="193"/>
      <c r="G620" s="193"/>
      <c r="H620" s="193"/>
      <c r="I620" s="438"/>
      <c r="J620" s="438"/>
      <c r="K620" s="438"/>
      <c r="L620" s="438"/>
      <c r="M620" s="438"/>
      <c r="N620" s="342"/>
      <c r="O620" s="17"/>
      <c r="P620" s="9"/>
      <c r="T620" s="9"/>
    </row>
    <row r="621" spans="2:20" x14ac:dyDescent="0.25">
      <c r="B621" s="17"/>
      <c r="C621" s="17"/>
      <c r="D621" s="17"/>
      <c r="E621" s="1526" t="str">
        <f>Translations!$B$770</f>
        <v>Net heat exported</v>
      </c>
      <c r="F621" s="1526"/>
      <c r="G621" s="1526"/>
      <c r="H621" s="939" t="str">
        <f>EUconst_TJpa</f>
        <v>TJ / year</v>
      </c>
      <c r="I621" s="436" t="str">
        <f>IF($I589="","",IF(INDEX(F_ProductBM!I:I,MATCH($P621,F_ProductBM!$P:$P,0))="","",INDEX(F_ProductBM!I:I,MATCH($P621,F_ProductBM!$P:$P,0))))</f>
        <v/>
      </c>
      <c r="J621" s="436" t="str">
        <f>IF($I589="","",IF(INDEX(F_ProductBM!J:J,MATCH($P621,F_ProductBM!$P:$P,0))="","",INDEX(F_ProductBM!J:J,MATCH($P621,F_ProductBM!$P:$P,0))))</f>
        <v/>
      </c>
      <c r="K621" s="436" t="str">
        <f>IF($I589="","",IF(INDEX(F_ProductBM!K:K,MATCH($P621,F_ProductBM!$P:$P,0))="","",INDEX(F_ProductBM!K:K,MATCH($P621,F_ProductBM!$P:$P,0))))</f>
        <v/>
      </c>
      <c r="L621" s="436" t="str">
        <f>IF($I589="","",IF(INDEX(F_ProductBM!L:L,MATCH($P621,F_ProductBM!$P:$P,0))="","",INDEX(F_ProductBM!L:L,MATCH($P621,F_ProductBM!$P:$P,0))))</f>
        <v/>
      </c>
      <c r="M621" s="436" t="str">
        <f>IF($I589="","",IF(INDEX(F_ProductBM!M:M,MATCH($P621,F_ProductBM!$P:$P,0))="","",INDEX(F_ProductBM!M:M,MATCH($P621,F_ProductBM!$P:$P,0))))</f>
        <v/>
      </c>
      <c r="N621" s="342"/>
      <c r="O621" s="17"/>
      <c r="P621" s="116" t="str">
        <f>EUconst_CNTR_HeatExport &amp; I589</f>
        <v>HeatEx_</v>
      </c>
      <c r="T621" s="9"/>
    </row>
    <row r="622" spans="2:20" x14ac:dyDescent="0.25">
      <c r="B622" s="17"/>
      <c r="C622" s="17"/>
      <c r="D622" s="17"/>
      <c r="E622" s="1527" t="str">
        <f>Translations!$B$771</f>
        <v>Specific EF (exported heat)</v>
      </c>
      <c r="F622" s="1527"/>
      <c r="G622" s="1527"/>
      <c r="H622" s="343" t="str">
        <f>EUconst_tCO2pTJ</f>
        <v>t CO2 / TJ</v>
      </c>
      <c r="I622" s="437" t="str">
        <f>IF($I589="","",IF(INDEX(F_ProductBM!I:I,MATCH($P622,F_ProductBM!$P:$P,0))="","",INDEX(F_ProductBM!I:I,MATCH($P622,F_ProductBM!$P:$P,0))))</f>
        <v/>
      </c>
      <c r="J622" s="437" t="str">
        <f>IF($I589="","",IF(INDEX(F_ProductBM!J:J,MATCH($P622,F_ProductBM!$P:$P,0))="","",INDEX(F_ProductBM!J:J,MATCH($P622,F_ProductBM!$P:$P,0))))</f>
        <v/>
      </c>
      <c r="K622" s="437" t="str">
        <f>IF($I589="","",IF(INDEX(F_ProductBM!K:K,MATCH($P622,F_ProductBM!$P:$P,0))="","",INDEX(F_ProductBM!K:K,MATCH($P622,F_ProductBM!$P:$P,0))))</f>
        <v/>
      </c>
      <c r="L622" s="437" t="str">
        <f>IF($I589="","",IF(INDEX(F_ProductBM!L:L,MATCH($P622,F_ProductBM!$P:$P,0))="","",INDEX(F_ProductBM!L:L,MATCH($P622,F_ProductBM!$P:$P,0))))</f>
        <v/>
      </c>
      <c r="M622" s="437" t="str">
        <f>IF($I589="","",IF(INDEX(F_ProductBM!M:M,MATCH($P622,F_ProductBM!$P:$P,0))="","",INDEX(F_ProductBM!M:M,MATCH($P622,F_ProductBM!$P:$P,0))))</f>
        <v/>
      </c>
      <c r="N622" s="342"/>
      <c r="O622" s="17"/>
      <c r="P622" s="116" t="str">
        <f>EUconst_CNTR_HeatExportEF &amp; I589</f>
        <v>HeatExEF_</v>
      </c>
      <c r="T622" s="9"/>
    </row>
    <row r="623" spans="2:20" ht="5.0999999999999996" customHeight="1" x14ac:dyDescent="0.25">
      <c r="B623" s="17"/>
      <c r="C623" s="17"/>
      <c r="D623" s="17"/>
      <c r="E623" s="193"/>
      <c r="F623" s="193"/>
      <c r="G623" s="193"/>
      <c r="H623" s="193"/>
      <c r="I623" s="438"/>
      <c r="J623" s="438"/>
      <c r="K623" s="438"/>
      <c r="L623" s="438"/>
      <c r="M623" s="438"/>
      <c r="N623" s="342"/>
      <c r="O623" s="17"/>
      <c r="P623" s="9"/>
      <c r="T623" s="9"/>
    </row>
    <row r="624" spans="2:20" x14ac:dyDescent="0.25">
      <c r="B624" s="17"/>
      <c r="C624" s="17"/>
      <c r="D624" s="17"/>
      <c r="E624" s="1526" t="str">
        <f>Translations!$B$778</f>
        <v>Waste gas produced</v>
      </c>
      <c r="F624" s="1526"/>
      <c r="G624" s="1526"/>
      <c r="H624" s="939" t="str">
        <f>EUconst_TJpa</f>
        <v>TJ / year</v>
      </c>
      <c r="I624" s="436" t="str">
        <f>IF($I589="","",IF(INDEX(F_ProductBM!I:I,MATCH($P624,F_ProductBM!$P:$P,0))="","",INDEX(F_ProductBM!I:I,MATCH($P624,F_ProductBM!$P:$P,0))))</f>
        <v/>
      </c>
      <c r="J624" s="436" t="str">
        <f>IF($I589="","",IF(INDEX(F_ProductBM!J:J,MATCH($P624,F_ProductBM!$P:$P,0))="","",INDEX(F_ProductBM!J:J,MATCH($P624,F_ProductBM!$P:$P,0))))</f>
        <v/>
      </c>
      <c r="K624" s="436" t="str">
        <f>IF($I589="","",IF(INDEX(F_ProductBM!K:K,MATCH($P624,F_ProductBM!$P:$P,0))="","",INDEX(F_ProductBM!K:K,MATCH($P624,F_ProductBM!$P:$P,0))))</f>
        <v/>
      </c>
      <c r="L624" s="436" t="str">
        <f>IF($I589="","",IF(INDEX(F_ProductBM!L:L,MATCH($P624,F_ProductBM!$P:$P,0))="","",INDEX(F_ProductBM!L:L,MATCH($P624,F_ProductBM!$P:$P,0))))</f>
        <v/>
      </c>
      <c r="M624" s="436" t="str">
        <f>IF($I589="","",IF(INDEX(F_ProductBM!M:M,MATCH($P624,F_ProductBM!$P:$P,0))="","",INDEX(F_ProductBM!M:M,MATCH($P624,F_ProductBM!$P:$P,0))))</f>
        <v/>
      </c>
      <c r="N624" s="342"/>
      <c r="O624" s="17"/>
      <c r="P624" s="341" t="str">
        <f>EUconst_CNTR_WGProduced &amp; I589</f>
        <v>WasteGasProd_</v>
      </c>
      <c r="T624" s="9"/>
    </row>
    <row r="625" spans="2:20" x14ac:dyDescent="0.25">
      <c r="B625" s="17"/>
      <c r="C625" s="17"/>
      <c r="D625" s="17"/>
      <c r="E625" s="1527" t="str">
        <f>Translations!$B$779</f>
        <v>Specific EF (produced waste gas)</v>
      </c>
      <c r="F625" s="1527"/>
      <c r="G625" s="1527"/>
      <c r="H625" s="343" t="str">
        <f>EUconst_tCO2pTJ</f>
        <v>t CO2 / TJ</v>
      </c>
      <c r="I625" s="437" t="str">
        <f>IF($I589="","",IF(INDEX(F_ProductBM!I:I,MATCH($P625,F_ProductBM!$P:$P,0))="","",INDEX(F_ProductBM!I:I,MATCH($P625,F_ProductBM!$P:$P,0))))</f>
        <v/>
      </c>
      <c r="J625" s="437" t="str">
        <f>IF($I589="","",IF(INDEX(F_ProductBM!J:J,MATCH($P625,F_ProductBM!$P:$P,0))="","",INDEX(F_ProductBM!J:J,MATCH($P625,F_ProductBM!$P:$P,0))))</f>
        <v/>
      </c>
      <c r="K625" s="437" t="str">
        <f>IF($I589="","",IF(INDEX(F_ProductBM!K:K,MATCH($P625,F_ProductBM!$P:$P,0))="","",INDEX(F_ProductBM!K:K,MATCH($P625,F_ProductBM!$P:$P,0))))</f>
        <v/>
      </c>
      <c r="L625" s="437" t="str">
        <f>IF($I589="","",IF(INDEX(F_ProductBM!L:L,MATCH($P625,F_ProductBM!$P:$P,0))="","",INDEX(F_ProductBM!L:L,MATCH($P625,F_ProductBM!$P:$P,0))))</f>
        <v/>
      </c>
      <c r="M625" s="437" t="str">
        <f>IF($I589="","",IF(INDEX(F_ProductBM!M:M,MATCH($P625,F_ProductBM!$P:$P,0))="","",INDEX(F_ProductBM!M:M,MATCH($P625,F_ProductBM!$P:$P,0))))</f>
        <v/>
      </c>
      <c r="N625" s="342"/>
      <c r="O625" s="17"/>
      <c r="P625" s="116" t="str">
        <f>EUconst_CNTR_WGProducedEF &amp; I589</f>
        <v>WasteGasProdEF_</v>
      </c>
      <c r="T625" s="9"/>
    </row>
    <row r="626" spans="2:20" x14ac:dyDescent="0.25">
      <c r="B626" s="17"/>
      <c r="C626" s="17"/>
      <c r="D626" s="17"/>
      <c r="E626" s="1526" t="str">
        <f>Translations!$B$783</f>
        <v>Waste gas consumed</v>
      </c>
      <c r="F626" s="1526"/>
      <c r="G626" s="1526"/>
      <c r="H626" s="939" t="str">
        <f>EUconst_TJpa</f>
        <v>TJ / year</v>
      </c>
      <c r="I626" s="436" t="str">
        <f>IF($I589="","",IF(INDEX(F_ProductBM!I:I,MATCH($P626,F_ProductBM!$P:$P,0))="","",INDEX(F_ProductBM!I:I,MATCH($P626,F_ProductBM!$P:$P,0))))</f>
        <v/>
      </c>
      <c r="J626" s="436" t="str">
        <f>IF($I589="","",IF(INDEX(F_ProductBM!J:J,MATCH($P626,F_ProductBM!$P:$P,0))="","",INDEX(F_ProductBM!J:J,MATCH($P626,F_ProductBM!$P:$P,0))))</f>
        <v/>
      </c>
      <c r="K626" s="436" t="str">
        <f>IF($I589="","",IF(INDEX(F_ProductBM!K:K,MATCH($P626,F_ProductBM!$P:$P,0))="","",INDEX(F_ProductBM!K:K,MATCH($P626,F_ProductBM!$P:$P,0))))</f>
        <v/>
      </c>
      <c r="L626" s="436" t="str">
        <f>IF($I589="","",IF(INDEX(F_ProductBM!L:L,MATCH($P626,F_ProductBM!$P:$P,0))="","",INDEX(F_ProductBM!L:L,MATCH($P626,F_ProductBM!$P:$P,0))))</f>
        <v/>
      </c>
      <c r="M626" s="436" t="str">
        <f>IF($I589="","",IF(INDEX(F_ProductBM!M:M,MATCH($P626,F_ProductBM!$P:$P,0))="","",INDEX(F_ProductBM!M:M,MATCH($P626,F_ProductBM!$P:$P,0))))</f>
        <v/>
      </c>
      <c r="N626" s="342"/>
      <c r="O626" s="17"/>
      <c r="P626" s="116" t="str">
        <f>EUconst_CNTR_WGConsumed &amp; I589</f>
        <v>WasteGasCons_</v>
      </c>
      <c r="T626" s="9"/>
    </row>
    <row r="627" spans="2:20" x14ac:dyDescent="0.25">
      <c r="B627" s="17"/>
      <c r="C627" s="17"/>
      <c r="D627" s="17"/>
      <c r="E627" s="1527" t="str">
        <f>Translations!$B$784</f>
        <v>Specific EF (consumed waste gas)</v>
      </c>
      <c r="F627" s="1527"/>
      <c r="G627" s="1527"/>
      <c r="H627" s="343" t="str">
        <f>EUconst_tCO2pTJ</f>
        <v>t CO2 / TJ</v>
      </c>
      <c r="I627" s="437" t="str">
        <f>IF($I589="","",IF(INDEX(F_ProductBM!I:I,MATCH($P627,F_ProductBM!$P:$P,0))="","",INDEX(F_ProductBM!I:I,MATCH($P627,F_ProductBM!$P:$P,0))))</f>
        <v/>
      </c>
      <c r="J627" s="437" t="str">
        <f>IF($I589="","",IF(INDEX(F_ProductBM!J:J,MATCH($P627,F_ProductBM!$P:$P,0))="","",INDEX(F_ProductBM!J:J,MATCH($P627,F_ProductBM!$P:$P,0))))</f>
        <v/>
      </c>
      <c r="K627" s="437" t="str">
        <f>IF($I589="","",IF(INDEX(F_ProductBM!K:K,MATCH($P627,F_ProductBM!$P:$P,0))="","",INDEX(F_ProductBM!K:K,MATCH($P627,F_ProductBM!$P:$P,0))))</f>
        <v/>
      </c>
      <c r="L627" s="437" t="str">
        <f>IF($I589="","",IF(INDEX(F_ProductBM!L:L,MATCH($P627,F_ProductBM!$P:$P,0))="","",INDEX(F_ProductBM!L:L,MATCH($P627,F_ProductBM!$P:$P,0))))</f>
        <v/>
      </c>
      <c r="M627" s="437" t="str">
        <f>IF($I589="","",IF(INDEX(F_ProductBM!M:M,MATCH($P627,F_ProductBM!$P:$P,0))="","",INDEX(F_ProductBM!M:M,MATCH($P627,F_ProductBM!$P:$P,0))))</f>
        <v/>
      </c>
      <c r="N627" s="342"/>
      <c r="O627" s="17"/>
      <c r="P627" s="116" t="str">
        <f>EUconst_CNTR_WGConsumedEF &amp; I589</f>
        <v>WasteGasConsEF_</v>
      </c>
      <c r="T627" s="9"/>
    </row>
    <row r="628" spans="2:20" x14ac:dyDescent="0.25">
      <c r="B628" s="17"/>
      <c r="C628" s="17"/>
      <c r="D628" s="17"/>
      <c r="E628" s="1526" t="str">
        <f>Translations!$B$790</f>
        <v>Waste gas flared</v>
      </c>
      <c r="F628" s="1526"/>
      <c r="G628" s="1526"/>
      <c r="H628" s="939" t="str">
        <f>EUconst_TJpa</f>
        <v>TJ / year</v>
      </c>
      <c r="I628" s="436" t="str">
        <f>IF($I589="","",IF(INDEX(F_ProductBM!I:I,MATCH($P628,F_ProductBM!$P:$P,0))="","",INDEX(F_ProductBM!I:I,MATCH($P628,F_ProductBM!$P:$P,0))))</f>
        <v/>
      </c>
      <c r="J628" s="436" t="str">
        <f>IF($I589="","",IF(INDEX(F_ProductBM!J:J,MATCH($P628,F_ProductBM!$P:$P,0))="","",INDEX(F_ProductBM!J:J,MATCH($P628,F_ProductBM!$P:$P,0))))</f>
        <v/>
      </c>
      <c r="K628" s="436" t="str">
        <f>IF($I589="","",IF(INDEX(F_ProductBM!K:K,MATCH($P628,F_ProductBM!$P:$P,0))="","",INDEX(F_ProductBM!K:K,MATCH($P628,F_ProductBM!$P:$P,0))))</f>
        <v/>
      </c>
      <c r="L628" s="436" t="str">
        <f>IF($I589="","",IF(INDEX(F_ProductBM!L:L,MATCH($P628,F_ProductBM!$P:$P,0))="","",INDEX(F_ProductBM!L:L,MATCH($P628,F_ProductBM!$P:$P,0))))</f>
        <v/>
      </c>
      <c r="M628" s="436" t="str">
        <f>IF($I589="","",IF(INDEX(F_ProductBM!M:M,MATCH($P628,F_ProductBM!$P:$P,0))="","",INDEX(F_ProductBM!M:M,MATCH($P628,F_ProductBM!$P:$P,0))))</f>
        <v/>
      </c>
      <c r="N628" s="342"/>
      <c r="O628" s="17"/>
      <c r="P628" s="116" t="str">
        <f>EUconst_CNTR_WGFlared &amp; I589</f>
        <v>WasteGasFlare_</v>
      </c>
      <c r="T628" s="9"/>
    </row>
    <row r="629" spans="2:20" x14ac:dyDescent="0.25">
      <c r="B629" s="17"/>
      <c r="C629" s="17"/>
      <c r="D629" s="17"/>
      <c r="E629" s="1527" t="str">
        <f>Translations!$B$791</f>
        <v>Specific EF (flared waste gas)</v>
      </c>
      <c r="F629" s="1527"/>
      <c r="G629" s="1527"/>
      <c r="H629" s="343" t="str">
        <f>EUconst_tCO2pTJ</f>
        <v>t CO2 / TJ</v>
      </c>
      <c r="I629" s="437" t="str">
        <f>IF($I589="","",IF(INDEX(F_ProductBM!I:I,MATCH($P629,F_ProductBM!$P:$P,0))="","",INDEX(F_ProductBM!I:I,MATCH($P629,F_ProductBM!$P:$P,0))))</f>
        <v/>
      </c>
      <c r="J629" s="437" t="str">
        <f>IF($I589="","",IF(INDEX(F_ProductBM!J:J,MATCH($P629,F_ProductBM!$P:$P,0))="","",INDEX(F_ProductBM!J:J,MATCH($P629,F_ProductBM!$P:$P,0))))</f>
        <v/>
      </c>
      <c r="K629" s="437" t="str">
        <f>IF($I589="","",IF(INDEX(F_ProductBM!K:K,MATCH($P629,F_ProductBM!$P:$P,0))="","",INDEX(F_ProductBM!K:K,MATCH($P629,F_ProductBM!$P:$P,0))))</f>
        <v/>
      </c>
      <c r="L629" s="437" t="str">
        <f>IF($I589="","",IF(INDEX(F_ProductBM!L:L,MATCH($P629,F_ProductBM!$P:$P,0))="","",INDEX(F_ProductBM!L:L,MATCH($P629,F_ProductBM!$P:$P,0))))</f>
        <v/>
      </c>
      <c r="M629" s="437" t="str">
        <f>IF($I589="","",IF(INDEX(F_ProductBM!M:M,MATCH($P629,F_ProductBM!$P:$P,0))="","",INDEX(F_ProductBM!M:M,MATCH($P629,F_ProductBM!$P:$P,0))))</f>
        <v/>
      </c>
      <c r="N629" s="342"/>
      <c r="O629" s="17"/>
      <c r="P629" s="116" t="str">
        <f>EUconst_CNTR_WGFlaredEF &amp; I589</f>
        <v>WasteGasFlareEF_</v>
      </c>
      <c r="T629" s="9"/>
    </row>
    <row r="630" spans="2:20" x14ac:dyDescent="0.25">
      <c r="B630" s="17"/>
      <c r="C630" s="17"/>
      <c r="D630" s="17"/>
      <c r="E630" s="1526" t="str">
        <f>Translations!$B$796</f>
        <v>Waste gas imported</v>
      </c>
      <c r="F630" s="1526"/>
      <c r="G630" s="1526"/>
      <c r="H630" s="939" t="str">
        <f>EUconst_TJpa</f>
        <v>TJ / year</v>
      </c>
      <c r="I630" s="436" t="str">
        <f>IF($I589="","",IF(INDEX(F_ProductBM!I:I,MATCH($P630,F_ProductBM!$P:$P,0))="","",INDEX(F_ProductBM!I:I,MATCH($P630,F_ProductBM!$P:$P,0))))</f>
        <v/>
      </c>
      <c r="J630" s="436" t="str">
        <f>IF($I589="","",IF(INDEX(F_ProductBM!J:J,MATCH($P630,F_ProductBM!$P:$P,0))="","",INDEX(F_ProductBM!J:J,MATCH($P630,F_ProductBM!$P:$P,0))))</f>
        <v/>
      </c>
      <c r="K630" s="436" t="str">
        <f>IF($I589="","",IF(INDEX(F_ProductBM!K:K,MATCH($P630,F_ProductBM!$P:$P,0))="","",INDEX(F_ProductBM!K:K,MATCH($P630,F_ProductBM!$P:$P,0))))</f>
        <v/>
      </c>
      <c r="L630" s="436" t="str">
        <f>IF($I589="","",IF(INDEX(F_ProductBM!L:L,MATCH($P630,F_ProductBM!$P:$P,0))="","",INDEX(F_ProductBM!L:L,MATCH($P630,F_ProductBM!$P:$P,0))))</f>
        <v/>
      </c>
      <c r="M630" s="436" t="str">
        <f>IF($I589="","",IF(INDEX(F_ProductBM!M:M,MATCH($P630,F_ProductBM!$P:$P,0))="","",INDEX(F_ProductBM!M:M,MATCH($P630,F_ProductBM!$P:$P,0))))</f>
        <v/>
      </c>
      <c r="N630" s="342"/>
      <c r="O630" s="17"/>
      <c r="P630" s="116" t="str">
        <f>EUconst_CNTR_WGImport &amp; I589</f>
        <v>WasteGasIm_</v>
      </c>
      <c r="T630" s="9"/>
    </row>
    <row r="631" spans="2:20" x14ac:dyDescent="0.25">
      <c r="B631" s="17"/>
      <c r="C631" s="17"/>
      <c r="D631" s="17"/>
      <c r="E631" s="1527" t="str">
        <f>Translations!$B$797</f>
        <v>Specific EF (imported waste gas)</v>
      </c>
      <c r="F631" s="1527"/>
      <c r="G631" s="1527"/>
      <c r="H631" s="343" t="str">
        <f>EUconst_tCO2pTJ</f>
        <v>t CO2 / TJ</v>
      </c>
      <c r="I631" s="437" t="str">
        <f>IF($I589="","",IF(INDEX(F_ProductBM!I:I,MATCH($P631,F_ProductBM!$P:$P,0))="","",INDEX(F_ProductBM!I:I,MATCH($P631,F_ProductBM!$P:$P,0))))</f>
        <v/>
      </c>
      <c r="J631" s="437" t="str">
        <f>IF($I589="","",IF(INDEX(F_ProductBM!J:J,MATCH($P631,F_ProductBM!$P:$P,0))="","",INDEX(F_ProductBM!J:J,MATCH($P631,F_ProductBM!$P:$P,0))))</f>
        <v/>
      </c>
      <c r="K631" s="437" t="str">
        <f>IF($I589="","",IF(INDEX(F_ProductBM!K:K,MATCH($P631,F_ProductBM!$P:$P,0))="","",INDEX(F_ProductBM!K:K,MATCH($P631,F_ProductBM!$P:$P,0))))</f>
        <v/>
      </c>
      <c r="L631" s="437" t="str">
        <f>IF($I589="","",IF(INDEX(F_ProductBM!L:L,MATCH($P631,F_ProductBM!$P:$P,0))="","",INDEX(F_ProductBM!L:L,MATCH($P631,F_ProductBM!$P:$P,0))))</f>
        <v/>
      </c>
      <c r="M631" s="437" t="str">
        <f>IF($I589="","",IF(INDEX(F_ProductBM!M:M,MATCH($P631,F_ProductBM!$P:$P,0))="","",INDEX(F_ProductBM!M:M,MATCH($P631,F_ProductBM!$P:$P,0))))</f>
        <v/>
      </c>
      <c r="N631" s="342"/>
      <c r="O631" s="17"/>
      <c r="P631" s="116" t="str">
        <f>EUconst_CNTR_WGImportEF &amp; I589</f>
        <v>WasteGasImEF_</v>
      </c>
      <c r="T631" s="9"/>
    </row>
    <row r="632" spans="2:20" x14ac:dyDescent="0.25">
      <c r="B632" s="17"/>
      <c r="C632" s="17"/>
      <c r="D632" s="17"/>
      <c r="E632" s="1526" t="str">
        <f>Translations!$B$801</f>
        <v>Waste gas exported</v>
      </c>
      <c r="F632" s="1526"/>
      <c r="G632" s="1526"/>
      <c r="H632" s="939" t="str">
        <f>EUconst_TJpa</f>
        <v>TJ / year</v>
      </c>
      <c r="I632" s="436" t="str">
        <f>IF($I589="","",IF(INDEX(F_ProductBM!I:I,MATCH($P632,F_ProductBM!$P:$P,0))="","",INDEX(F_ProductBM!I:I,MATCH($P632,F_ProductBM!$P:$P,0))))</f>
        <v/>
      </c>
      <c r="J632" s="436" t="str">
        <f>IF($I589="","",IF(INDEX(F_ProductBM!J:J,MATCH($P632,F_ProductBM!$P:$P,0))="","",INDEX(F_ProductBM!J:J,MATCH($P632,F_ProductBM!$P:$P,0))))</f>
        <v/>
      </c>
      <c r="K632" s="436" t="str">
        <f>IF($I589="","",IF(INDEX(F_ProductBM!K:K,MATCH($P632,F_ProductBM!$P:$P,0))="","",INDEX(F_ProductBM!K:K,MATCH($P632,F_ProductBM!$P:$P,0))))</f>
        <v/>
      </c>
      <c r="L632" s="436" t="str">
        <f>IF($I589="","",IF(INDEX(F_ProductBM!L:L,MATCH($P632,F_ProductBM!$P:$P,0))="","",INDEX(F_ProductBM!L:L,MATCH($P632,F_ProductBM!$P:$P,0))))</f>
        <v/>
      </c>
      <c r="M632" s="436" t="str">
        <f>IF($I589="","",IF(INDEX(F_ProductBM!M:M,MATCH($P632,F_ProductBM!$P:$P,0))="","",INDEX(F_ProductBM!M:M,MATCH($P632,F_ProductBM!$P:$P,0))))</f>
        <v/>
      </c>
      <c r="N632" s="342"/>
      <c r="O632" s="17"/>
      <c r="P632" s="116" t="str">
        <f>EUconst_CNTR_WGExport &amp; I589</f>
        <v>WasteGasEx_</v>
      </c>
      <c r="T632" s="9"/>
    </row>
    <row r="633" spans="2:20" x14ac:dyDescent="0.25">
      <c r="B633" s="17"/>
      <c r="C633" s="17"/>
      <c r="D633" s="17"/>
      <c r="E633" s="1527" t="str">
        <f>Translations!$B$802</f>
        <v>Specific EF (exported waste gas)</v>
      </c>
      <c r="F633" s="1527"/>
      <c r="G633" s="1527"/>
      <c r="H633" s="343" t="str">
        <f>EUconst_tCO2pTJ</f>
        <v>t CO2 / TJ</v>
      </c>
      <c r="I633" s="437" t="str">
        <f>IF($I589="","",IF(INDEX(F_ProductBM!I:I,MATCH($P633,F_ProductBM!$P:$P,0))="","",INDEX(F_ProductBM!I:I,MATCH($P633,F_ProductBM!$P:$P,0))))</f>
        <v/>
      </c>
      <c r="J633" s="437" t="str">
        <f>IF($I589="","",IF(INDEX(F_ProductBM!J:J,MATCH($P633,F_ProductBM!$P:$P,0))="","",INDEX(F_ProductBM!J:J,MATCH($P633,F_ProductBM!$P:$P,0))))</f>
        <v/>
      </c>
      <c r="K633" s="437" t="str">
        <f>IF($I589="","",IF(INDEX(F_ProductBM!K:K,MATCH($P633,F_ProductBM!$P:$P,0))="","",INDEX(F_ProductBM!K:K,MATCH($P633,F_ProductBM!$P:$P,0))))</f>
        <v/>
      </c>
      <c r="L633" s="437" t="str">
        <f>IF($I589="","",IF(INDEX(F_ProductBM!L:L,MATCH($P633,F_ProductBM!$P:$P,0))="","",INDEX(F_ProductBM!L:L,MATCH($P633,F_ProductBM!$P:$P,0))))</f>
        <v/>
      </c>
      <c r="M633" s="437" t="str">
        <f>IF($I589="","",IF(INDEX(F_ProductBM!M:M,MATCH($P633,F_ProductBM!$P:$P,0))="","",INDEX(F_ProductBM!M:M,MATCH($P633,F_ProductBM!$P:$P,0))))</f>
        <v/>
      </c>
      <c r="N633" s="342"/>
      <c r="O633" s="17"/>
      <c r="P633" s="116" t="str">
        <f>EUconst_CNTR_WGExportEF &amp; I589</f>
        <v>WasteGasExEF_</v>
      </c>
      <c r="T633" s="9"/>
    </row>
    <row r="634" spans="2:20" ht="5.0999999999999996" customHeight="1" x14ac:dyDescent="0.25">
      <c r="B634" s="17"/>
      <c r="C634" s="17"/>
      <c r="D634" s="17"/>
      <c r="E634" s="193"/>
      <c r="F634" s="193"/>
      <c r="G634" s="193"/>
      <c r="H634" s="193"/>
      <c r="I634" s="438"/>
      <c r="J634" s="438"/>
      <c r="K634" s="438"/>
      <c r="L634" s="438"/>
      <c r="M634" s="438"/>
      <c r="N634" s="342"/>
      <c r="O634" s="17"/>
      <c r="P634" s="9"/>
      <c r="T634" s="9"/>
    </row>
    <row r="635" spans="2:20" x14ac:dyDescent="0.25">
      <c r="B635" s="17"/>
      <c r="C635" s="17"/>
      <c r="D635" s="17"/>
      <c r="E635" s="1528" t="str">
        <f>Translations!$B$689</f>
        <v>Relevant electricity consumption</v>
      </c>
      <c r="F635" s="1528"/>
      <c r="G635" s="1528"/>
      <c r="H635" s="154" t="str">
        <f>EUconst_MWhpa</f>
        <v>MWh / year</v>
      </c>
      <c r="I635" s="439" t="str">
        <f>IF($I589="","",IF(INDEX(F_ProductBM!I:I,MATCH($P635,F_ProductBM!$Q:$Q,0))="","",INDEX(F_ProductBM!I:I,MATCH($P635,F_ProductBM!$Q:$Q,0))))</f>
        <v/>
      </c>
      <c r="J635" s="439" t="str">
        <f>IF($I589="","",IF(INDEX(F_ProductBM!J:J,MATCH($P635,F_ProductBM!$Q:$Q,0))="","",INDEX(F_ProductBM!J:J,MATCH($P635,F_ProductBM!$Q:$Q,0))))</f>
        <v/>
      </c>
      <c r="K635" s="439" t="str">
        <f>IF($I589="","",IF(INDEX(F_ProductBM!K:K,MATCH($P635,F_ProductBM!$Q:$Q,0))="","",INDEX(F_ProductBM!K:K,MATCH($P635,F_ProductBM!$Q:$Q,0))))</f>
        <v/>
      </c>
      <c r="L635" s="439" t="str">
        <f>IF($I589="","",IF(INDEX(F_ProductBM!L:L,MATCH($P635,F_ProductBM!$Q:$Q,0))="","",INDEX(F_ProductBM!L:L,MATCH($P635,F_ProductBM!$Q:$Q,0))))</f>
        <v/>
      </c>
      <c r="M635" s="439" t="str">
        <f>IF($I589="","",IF(INDEX(F_ProductBM!M:M,MATCH($P635,F_ProductBM!$Q:$Q,0))="","",INDEX(F_ProductBM!M:M,MATCH($P635,F_ProductBM!$Q:$Q,0))))</f>
        <v/>
      </c>
      <c r="N635" s="342"/>
      <c r="O635" s="17"/>
      <c r="P635" s="63" t="str">
        <f>EUconst_CNTR_HAL&amp;EUconst_CNTR_ELEXCH &amp; I589</f>
        <v>HAL_ELEXCH_</v>
      </c>
      <c r="T635" s="9"/>
    </row>
    <row r="636" spans="2:20" x14ac:dyDescent="0.25">
      <c r="B636" s="17"/>
      <c r="C636" s="17"/>
      <c r="D636" s="17"/>
      <c r="E636" s="1528" t="str">
        <f>Translations!$B$805</f>
        <v>Electricity produced</v>
      </c>
      <c r="F636" s="1528"/>
      <c r="G636" s="1528"/>
      <c r="H636" s="154" t="str">
        <f>EUconst_MWhpa</f>
        <v>MWh / year</v>
      </c>
      <c r="I636" s="439" t="str">
        <f>IF($I589="","",IF(INDEX(F_ProductBM!I:I,MATCH($P636,F_ProductBM!$P:$P,0))="","",INDEX(F_ProductBM!I:I,MATCH($P636,F_ProductBM!$P:$P,0))))</f>
        <v/>
      </c>
      <c r="J636" s="439" t="str">
        <f>IF($I589="","",IF(INDEX(F_ProductBM!J:J,MATCH($P636,F_ProductBM!$P:$P,0))="","",INDEX(F_ProductBM!J:J,MATCH($P636,F_ProductBM!$P:$P,0))))</f>
        <v/>
      </c>
      <c r="K636" s="439" t="str">
        <f>IF($I589="","",IF(INDEX(F_ProductBM!K:K,MATCH($P636,F_ProductBM!$P:$P,0))="","",INDEX(F_ProductBM!K:K,MATCH($P636,F_ProductBM!$P:$P,0))))</f>
        <v/>
      </c>
      <c r="L636" s="439" t="str">
        <f>IF($I589="","",IF(INDEX(F_ProductBM!L:L,MATCH($P636,F_ProductBM!$P:$P,0))="","",INDEX(F_ProductBM!L:L,MATCH($P636,F_ProductBM!$P:$P,0))))</f>
        <v/>
      </c>
      <c r="M636" s="439" t="str">
        <f>IF($I589="","",IF(INDEX(F_ProductBM!M:M,MATCH($P636,F_ProductBM!$P:$P,0))="","",INDEX(F_ProductBM!M:M,MATCH($P636,F_ProductBM!$P:$P,0))))</f>
        <v/>
      </c>
      <c r="N636" s="342"/>
      <c r="O636" s="17"/>
      <c r="P636" s="116" t="str">
        <f>EUconst_CNTR_ElectricityExported &amp; I589</f>
        <v>ElecEx_</v>
      </c>
      <c r="T636" s="9"/>
    </row>
    <row r="637" spans="2:20" ht="5.0999999999999996" customHeight="1" x14ac:dyDescent="0.25">
      <c r="B637" s="17"/>
      <c r="C637" s="17"/>
      <c r="D637" s="17"/>
      <c r="E637" s="193"/>
      <c r="F637" s="193"/>
      <c r="G637" s="193"/>
      <c r="H637" s="193"/>
      <c r="I637" s="438"/>
      <c r="J637" s="438"/>
      <c r="K637" s="438"/>
      <c r="L637" s="438"/>
      <c r="M637" s="438"/>
      <c r="N637" s="342"/>
      <c r="O637" s="17"/>
      <c r="P637" s="9"/>
      <c r="T637" s="9"/>
    </row>
    <row r="638" spans="2:20" x14ac:dyDescent="0.25">
      <c r="B638" s="17"/>
      <c r="C638" s="17"/>
      <c r="D638" s="17"/>
      <c r="E638" s="1528" t="str">
        <f>Translations!$B$806</f>
        <v>Total amount of pulp produced</v>
      </c>
      <c r="F638" s="1528"/>
      <c r="G638" s="1528"/>
      <c r="H638" s="154" t="str">
        <f>EUconst_Tons</f>
        <v>tonnes</v>
      </c>
      <c r="I638" s="439" t="str">
        <f>IF($I589="","",IF(INDEX(F_ProductBM!I:I,MATCH($P638,F_ProductBM!$P:$P,0))="","",INDEX(F_ProductBM!I:I,MATCH($P638,F_ProductBM!$P:$P,0))))</f>
        <v/>
      </c>
      <c r="J638" s="439" t="str">
        <f>IF($I589="","",IF(INDEX(F_ProductBM!J:J,MATCH($P638,F_ProductBM!$P:$P,0))="","",INDEX(F_ProductBM!J:J,MATCH($P638,F_ProductBM!$P:$P,0))))</f>
        <v/>
      </c>
      <c r="K638" s="439" t="str">
        <f>IF($I589="","",IF(INDEX(F_ProductBM!K:K,MATCH($P638,F_ProductBM!$P:$P,0))="","",INDEX(F_ProductBM!K:K,MATCH($P638,F_ProductBM!$P:$P,0))))</f>
        <v/>
      </c>
      <c r="L638" s="439" t="str">
        <f>IF($I589="","",IF(INDEX(F_ProductBM!L:L,MATCH($P638,F_ProductBM!$P:$P,0))="","",INDEX(F_ProductBM!L:L,MATCH($P638,F_ProductBM!$P:$P,0))))</f>
        <v/>
      </c>
      <c r="M638" s="439" t="str">
        <f>IF($I589="","",IF(INDEX(F_ProductBM!M:M,MATCH($P638,F_ProductBM!$P:$P,0))="","",INDEX(F_ProductBM!M:M,MATCH($P638,F_ProductBM!$P:$P,0))))</f>
        <v/>
      </c>
      <c r="N638" s="342"/>
      <c r="O638" s="17"/>
      <c r="P638" s="116" t="str">
        <f>EUconst_CNTR_HALPulpTotal &amp; I589</f>
        <v>HALPulpTotal_</v>
      </c>
      <c r="T638" s="9"/>
    </row>
    <row r="639" spans="2:20" ht="5.0999999999999996" customHeight="1" x14ac:dyDescent="0.25">
      <c r="B639" s="17"/>
      <c r="C639" s="17"/>
      <c r="D639" s="17"/>
      <c r="E639" s="193"/>
      <c r="F639" s="193"/>
      <c r="G639" s="193"/>
      <c r="H639" s="193"/>
      <c r="I639" s="438"/>
      <c r="J639" s="438"/>
      <c r="K639" s="438"/>
      <c r="L639" s="438"/>
      <c r="M639" s="438"/>
      <c r="N639" s="342"/>
      <c r="O639" s="17"/>
      <c r="P639" s="9"/>
      <c r="T639" s="9"/>
    </row>
    <row r="640" spans="2:20" x14ac:dyDescent="0.25">
      <c r="B640" s="17"/>
      <c r="C640" s="17"/>
      <c r="D640" s="17"/>
      <c r="E640" s="605" t="str">
        <f>Translations!$B$1239</f>
        <v>Intermediate import:</v>
      </c>
      <c r="F640" s="193"/>
      <c r="G640" s="193"/>
      <c r="H640" s="193"/>
      <c r="I640" s="438"/>
      <c r="J640" s="438"/>
      <c r="K640" s="438"/>
      <c r="L640" s="438"/>
      <c r="M640" s="438"/>
      <c r="N640" s="342"/>
      <c r="O640" s="17"/>
      <c r="P640" s="9"/>
      <c r="T640" s="9"/>
    </row>
    <row r="641" spans="2:20" x14ac:dyDescent="0.25">
      <c r="B641" s="17"/>
      <c r="C641" s="17"/>
      <c r="D641" s="17"/>
      <c r="E641" s="1510" t="str">
        <f>IF($I589="","",IF(INDEX(F_ProductBM!E:E,MATCH($P641,F_ProductBM!$P:$P,0))="","",INDEX(F_ProductBM!E:E,MATCH($P641,F_ProductBM!$P:$P,0))))</f>
        <v/>
      </c>
      <c r="F641" s="1510"/>
      <c r="G641" s="1510"/>
      <c r="H641" s="154" t="str">
        <f>EUconst_Tons</f>
        <v>tonnes</v>
      </c>
      <c r="I641" s="439" t="str">
        <f>IF($I589="","",IF(INDEX(F_ProductBM!I:I,MATCH($P641,F_ProductBM!$P:$P,0))="","",INDEX(F_ProductBM!I:I,MATCH($P641,F_ProductBM!$P:$P,0))))</f>
        <v/>
      </c>
      <c r="J641" s="439" t="str">
        <f>IF($I589="","",IF(INDEX(F_ProductBM!J:J,MATCH($P641,F_ProductBM!$P:$P,0))="","",INDEX(F_ProductBM!J:J,MATCH($P641,F_ProductBM!$P:$P,0))))</f>
        <v/>
      </c>
      <c r="K641" s="439" t="str">
        <f>IF($I589="","",IF(INDEX(F_ProductBM!K:K,MATCH($P641,F_ProductBM!$P:$P,0))="","",INDEX(F_ProductBM!K:K,MATCH($P641,F_ProductBM!$P:$P,0))))</f>
        <v/>
      </c>
      <c r="L641" s="439" t="str">
        <f>IF($I589="","",IF(INDEX(F_ProductBM!L:L,MATCH($P641,F_ProductBM!$P:$P,0))="","",INDEX(F_ProductBM!L:L,MATCH($P641,F_ProductBM!$P:$P,0))))</f>
        <v/>
      </c>
      <c r="M641" s="439" t="str">
        <f>IF($I589="","",IF(INDEX(F_ProductBM!M:M,MATCH($P641,F_ProductBM!$P:$P,0))="","",INDEX(F_ProductBM!M:M,MATCH($P641,F_ProductBM!$P:$P,0))))</f>
        <v/>
      </c>
      <c r="N641" s="342"/>
      <c r="O641" s="17"/>
      <c r="P641" s="116" t="str">
        <f>EUconst_CNTR_IntermediateImport &amp; R641 &amp; "_" &amp; I589</f>
        <v>IntImp_1_</v>
      </c>
      <c r="R641" s="372">
        <v>1</v>
      </c>
      <c r="T641" s="9"/>
    </row>
    <row r="642" spans="2:20" x14ac:dyDescent="0.25">
      <c r="B642" s="17"/>
      <c r="C642" s="17"/>
      <c r="D642" s="17"/>
      <c r="E642" s="1510" t="str">
        <f>IF($I589="","",IF(INDEX(F_ProductBM!E:E,MATCH($P642,F_ProductBM!$P:$P,0))="","",INDEX(F_ProductBM!E:E,MATCH($P642,F_ProductBM!$P:$P,0))))</f>
        <v/>
      </c>
      <c r="F642" s="1510"/>
      <c r="G642" s="1510"/>
      <c r="H642" s="154" t="str">
        <f>EUconst_Tons</f>
        <v>tonnes</v>
      </c>
      <c r="I642" s="439" t="str">
        <f>IF($I589="","",IF(INDEX(F_ProductBM!I:I,MATCH($P642,F_ProductBM!$P:$P,0))="","",INDEX(F_ProductBM!I:I,MATCH($P642,F_ProductBM!$P:$P,0))))</f>
        <v/>
      </c>
      <c r="J642" s="439" t="str">
        <f>IF($I589="","",IF(INDEX(F_ProductBM!J:J,MATCH($P642,F_ProductBM!$P:$P,0))="","",INDEX(F_ProductBM!J:J,MATCH($P642,F_ProductBM!$P:$P,0))))</f>
        <v/>
      </c>
      <c r="K642" s="439" t="str">
        <f>IF($I589="","",IF(INDEX(F_ProductBM!K:K,MATCH($P642,F_ProductBM!$P:$P,0))="","",INDEX(F_ProductBM!K:K,MATCH($P642,F_ProductBM!$P:$P,0))))</f>
        <v/>
      </c>
      <c r="L642" s="439" t="str">
        <f>IF($I589="","",IF(INDEX(F_ProductBM!L:L,MATCH($P642,F_ProductBM!$P:$P,0))="","",INDEX(F_ProductBM!L:L,MATCH($P642,F_ProductBM!$P:$P,0))))</f>
        <v/>
      </c>
      <c r="M642" s="439" t="str">
        <f>IF($I589="","",IF(INDEX(F_ProductBM!M:M,MATCH($P642,F_ProductBM!$P:$P,0))="","",INDEX(F_ProductBM!M:M,MATCH($P642,F_ProductBM!$P:$P,0))))</f>
        <v/>
      </c>
      <c r="N642" s="342"/>
      <c r="O642" s="17"/>
      <c r="P642" s="116" t="str">
        <f>EUconst_CNTR_IntermediateImport &amp; R642 &amp; "_" &amp; I589</f>
        <v>IntImp_2_</v>
      </c>
      <c r="R642" s="372">
        <v>2</v>
      </c>
      <c r="T642" s="9"/>
    </row>
    <row r="643" spans="2:20" x14ac:dyDescent="0.25">
      <c r="B643" s="17"/>
      <c r="C643" s="17"/>
      <c r="D643" s="17"/>
      <c r="E643" s="605" t="str">
        <f>Translations!$B$1240</f>
        <v>Intermediate export:</v>
      </c>
      <c r="F643" s="193"/>
      <c r="G643" s="193"/>
      <c r="H643" s="193"/>
      <c r="I643" s="438"/>
      <c r="J643" s="438"/>
      <c r="K643" s="438"/>
      <c r="L643" s="438"/>
      <c r="M643" s="438"/>
      <c r="N643" s="342"/>
      <c r="O643" s="17"/>
      <c r="P643" s="9"/>
      <c r="T643" s="9"/>
    </row>
    <row r="644" spans="2:20" x14ac:dyDescent="0.25">
      <c r="B644" s="17"/>
      <c r="C644" s="17"/>
      <c r="D644" s="17"/>
      <c r="E644" s="1510" t="str">
        <f>IF($I589="","",IF(INDEX(F_ProductBM!E:E,MATCH($P644,F_ProductBM!$P:$P,0))="","",INDEX(F_ProductBM!E:E,MATCH($P644,F_ProductBM!$P:$P,0))))</f>
        <v/>
      </c>
      <c r="F644" s="1510"/>
      <c r="G644" s="1510"/>
      <c r="H644" s="154" t="str">
        <f>EUconst_Tons</f>
        <v>tonnes</v>
      </c>
      <c r="I644" s="439" t="str">
        <f>IF($I589="","",IF(INDEX(F_ProductBM!I:I,MATCH($P644,F_ProductBM!$P:$P,0))="","",INDEX(F_ProductBM!I:I,MATCH($P644,F_ProductBM!$P:$P,0))))</f>
        <v/>
      </c>
      <c r="J644" s="439" t="str">
        <f>IF($I589="","",IF(INDEX(F_ProductBM!J:J,MATCH($P644,F_ProductBM!$P:$P,0))="","",INDEX(F_ProductBM!J:J,MATCH($P644,F_ProductBM!$P:$P,0))))</f>
        <v/>
      </c>
      <c r="K644" s="439" t="str">
        <f>IF($I589="","",IF(INDEX(F_ProductBM!K:K,MATCH($P644,F_ProductBM!$P:$P,0))="","",INDEX(F_ProductBM!K:K,MATCH($P644,F_ProductBM!$P:$P,0))))</f>
        <v/>
      </c>
      <c r="L644" s="439" t="str">
        <f>IF($I589="","",IF(INDEX(F_ProductBM!L:L,MATCH($P644,F_ProductBM!$P:$P,0))="","",INDEX(F_ProductBM!L:L,MATCH($P644,F_ProductBM!$P:$P,0))))</f>
        <v/>
      </c>
      <c r="M644" s="439" t="str">
        <f>IF($I589="","",IF(INDEX(F_ProductBM!M:M,MATCH($P644,F_ProductBM!$P:$P,0))="","",INDEX(F_ProductBM!M:M,MATCH($P644,F_ProductBM!$P:$P,0))))</f>
        <v/>
      </c>
      <c r="N644" s="342"/>
      <c r="O644" s="17"/>
      <c r="P644" s="116" t="str">
        <f>EUconst_CNTR_IntermediateExport &amp; R641 &amp; "_" &amp; I589</f>
        <v>IntExp_1_</v>
      </c>
      <c r="R644" s="372">
        <v>1</v>
      </c>
      <c r="T644" s="9"/>
    </row>
    <row r="645" spans="2:20" x14ac:dyDescent="0.25">
      <c r="B645" s="17"/>
      <c r="C645" s="17"/>
      <c r="D645" s="17"/>
      <c r="E645" s="1510" t="str">
        <f>IF($I589="","",IF(INDEX(F_ProductBM!E:E,MATCH($P645,F_ProductBM!$P:$P,0))="","",INDEX(F_ProductBM!E:E,MATCH($P645,F_ProductBM!$P:$P,0))))</f>
        <v/>
      </c>
      <c r="F645" s="1510"/>
      <c r="G645" s="1510"/>
      <c r="H645" s="154" t="str">
        <f>EUconst_Tons</f>
        <v>tonnes</v>
      </c>
      <c r="I645" s="439" t="str">
        <f>IF($I589="","",IF(INDEX(F_ProductBM!I:I,MATCH($P645,F_ProductBM!$P:$P,0))="","",INDEX(F_ProductBM!I:I,MATCH($P645,F_ProductBM!$P:$P,0))))</f>
        <v/>
      </c>
      <c r="J645" s="439" t="str">
        <f>IF($I589="","",IF(INDEX(F_ProductBM!J:J,MATCH($P645,F_ProductBM!$P:$P,0))="","",INDEX(F_ProductBM!J:J,MATCH($P645,F_ProductBM!$P:$P,0))))</f>
        <v/>
      </c>
      <c r="K645" s="439" t="str">
        <f>IF($I589="","",IF(INDEX(F_ProductBM!K:K,MATCH($P645,F_ProductBM!$P:$P,0))="","",INDEX(F_ProductBM!K:K,MATCH($P645,F_ProductBM!$P:$P,0))))</f>
        <v/>
      </c>
      <c r="L645" s="439" t="str">
        <f>IF($I589="","",IF(INDEX(F_ProductBM!L:L,MATCH($P645,F_ProductBM!$P:$P,0))="","",INDEX(F_ProductBM!L:L,MATCH($P645,F_ProductBM!$P:$P,0))))</f>
        <v/>
      </c>
      <c r="M645" s="439" t="str">
        <f>IF($I589="","",IF(INDEX(F_ProductBM!M:M,MATCH($P645,F_ProductBM!$P:$P,0))="","",INDEX(F_ProductBM!M:M,MATCH($P645,F_ProductBM!$P:$P,0))))</f>
        <v/>
      </c>
      <c r="N645" s="342"/>
      <c r="O645" s="17"/>
      <c r="P645" s="116" t="str">
        <f>EUconst_CNTR_IntermediateExport &amp; R645 &amp; "_" &amp; I589</f>
        <v>IntExp_2_</v>
      </c>
      <c r="R645" s="372">
        <v>2</v>
      </c>
      <c r="T645" s="9"/>
    </row>
    <row r="646" spans="2:20" ht="12.75" customHeight="1" x14ac:dyDescent="0.25">
      <c r="B646" s="17"/>
      <c r="C646" s="17"/>
      <c r="D646" s="17"/>
      <c r="E646" s="193"/>
      <c r="F646" s="193"/>
      <c r="G646" s="193"/>
      <c r="H646" s="193"/>
      <c r="I646" s="342"/>
      <c r="J646" s="342"/>
      <c r="K646" s="342"/>
      <c r="L646" s="342"/>
      <c r="M646" s="342"/>
      <c r="N646" s="342"/>
      <c r="O646" s="17"/>
      <c r="P646" s="9"/>
      <c r="T646" s="9"/>
    </row>
    <row r="647" spans="2:20" ht="5.0999999999999996" customHeight="1" thickBot="1" x14ac:dyDescent="0.3">
      <c r="B647" s="17"/>
      <c r="C647" s="17"/>
      <c r="D647" s="17"/>
      <c r="E647" s="445"/>
      <c r="F647" s="276"/>
      <c r="G647" s="276"/>
      <c r="H647" s="276"/>
      <c r="I647" s="276"/>
      <c r="J647" s="276"/>
      <c r="K647" s="276"/>
      <c r="L647" s="276"/>
      <c r="M647" s="276"/>
      <c r="N647" s="276"/>
      <c r="O647" s="17"/>
      <c r="T647" s="9"/>
    </row>
    <row r="648" spans="2:20" ht="5.0999999999999996" customHeight="1" thickBot="1" x14ac:dyDescent="0.3">
      <c r="B648" s="8"/>
      <c r="C648" s="906"/>
      <c r="D648" s="906"/>
      <c r="E648" s="906"/>
      <c r="F648" s="906"/>
      <c r="G648" s="906"/>
      <c r="H648" s="906"/>
      <c r="I648" s="906"/>
      <c r="J648" s="906"/>
      <c r="K648" s="906"/>
      <c r="L648" s="906"/>
      <c r="M648" s="906"/>
      <c r="N648" s="906"/>
      <c r="O648" s="17"/>
      <c r="T648" s="9" t="s">
        <v>644</v>
      </c>
    </row>
    <row r="649" spans="2:20" ht="15" customHeight="1" thickBot="1" x14ac:dyDescent="0.3">
      <c r="B649" s="17"/>
      <c r="C649" s="19">
        <f>C589+1</f>
        <v>4</v>
      </c>
      <c r="D649" s="1234" t="str">
        <f>CONCATENATE(EUconst_BMSubinst," ",C649, ":")</f>
        <v>Sub-installation with product benchmark 4:</v>
      </c>
      <c r="E649" s="1234"/>
      <c r="F649" s="1234"/>
      <c r="G649" s="1234"/>
      <c r="H649" s="1704"/>
      <c r="I649" s="1550" t="str">
        <f>IF(INDEX(CNTR_SubInstListIsProdBM,$C649),INDEX(CNTR_SubInstListNames,$C649),"")</f>
        <v/>
      </c>
      <c r="J649" s="1705"/>
      <c r="K649" s="1705"/>
      <c r="L649" s="1705"/>
      <c r="M649" s="1705"/>
      <c r="N649" s="1706"/>
      <c r="O649" s="17"/>
      <c r="Q649" s="427">
        <f>C649</f>
        <v>4</v>
      </c>
      <c r="R649" s="424" t="str">
        <f>I649</f>
        <v/>
      </c>
      <c r="S649" s="426" t="str">
        <f>H652</f>
        <v>N.A.</v>
      </c>
      <c r="T649" s="425" t="str">
        <f>IF(M661="","",IF(S652=0,0,SUM(M661)/S652))</f>
        <v/>
      </c>
    </row>
    <row r="650" spans="2:20" ht="5.0999999999999996" customHeight="1" thickBot="1" x14ac:dyDescent="0.3">
      <c r="B650" s="17"/>
      <c r="C650" s="17"/>
      <c r="D650" s="17"/>
      <c r="E650" s="17"/>
      <c r="F650" s="17"/>
      <c r="G650" s="17"/>
      <c r="H650" s="17"/>
      <c r="I650" s="17"/>
      <c r="J650" s="17"/>
      <c r="K650" s="17"/>
      <c r="L650" s="17"/>
      <c r="M650" s="17"/>
      <c r="N650" s="17"/>
      <c r="O650" s="17"/>
      <c r="T650" s="9"/>
    </row>
    <row r="651" spans="2:20" x14ac:dyDescent="0.25">
      <c r="B651" s="17"/>
      <c r="C651" s="17"/>
      <c r="D651" s="17"/>
      <c r="E651" s="17"/>
      <c r="F651" s="17"/>
      <c r="G651" s="17"/>
      <c r="H651" s="253" t="str">
        <f>Translations!$B$1204</f>
        <v>CL-exposed</v>
      </c>
      <c r="I651" s="254" t="s">
        <v>629</v>
      </c>
      <c r="J651" s="254" t="str">
        <f>Translations!$B$1208</f>
        <v>Started</v>
      </c>
      <c r="K651" s="254" t="str">
        <f>Translations!$B$1206</f>
        <v>No. of BM</v>
      </c>
      <c r="L651" s="329" t="str">
        <f>Translations!$B$1212</f>
        <v>15(7).3?</v>
      </c>
      <c r="M651" s="468" t="str">
        <f>Translations!$B$1234</f>
        <v>BM value (min/max/actual)</v>
      </c>
      <c r="N651" s="469"/>
      <c r="O651" s="17"/>
      <c r="T651" s="9"/>
    </row>
    <row r="652" spans="2:20" x14ac:dyDescent="0.25">
      <c r="B652" s="17"/>
      <c r="C652" s="17"/>
      <c r="D652" s="17"/>
      <c r="E652" s="255" t="str">
        <f>I649</f>
        <v/>
      </c>
      <c r="F652" s="256"/>
      <c r="G652" s="230"/>
      <c r="H652" s="257" t="str">
        <f>IF(K652=EUconst_NA,EUconst_NA,INDEX(EUconst_BMlistCLstatus,K652))</f>
        <v>N.A.</v>
      </c>
      <c r="I652" s="258" t="str">
        <f>IF(E652="","",INDEX(EUconst_BMlistElExchangability,K652))</f>
        <v/>
      </c>
      <c r="J652" s="355" t="str">
        <f>IF($I649="",EUconst_NA,INDEX(CNTR_SubInstStartDate,MATCH(E652,CNTR_SubInstListNames,0)))</f>
        <v>N.A.</v>
      </c>
      <c r="K652" s="203" t="str">
        <f>IF($I649="",EUconst_NA,MATCH(E652,EUconst_BMlistNames,0))</f>
        <v>N.A.</v>
      </c>
      <c r="L652" s="467" t="str">
        <f>IF(E652="","",INDEX(CNTR_SubInstLess1Year,MATCH(E652,CNTR_SubInstListNames,0)))</f>
        <v/>
      </c>
      <c r="M652" s="470" t="str">
        <f>IF(I649="",EUconst_NA,INDEX(EUconst_BMlistBMvaluesMatrix,K652,2))</f>
        <v>N.A.</v>
      </c>
      <c r="N652" s="471" t="str">
        <f>EUconst_EUA &amp; "/" &amp; H657</f>
        <v>UKA/tonnes</v>
      </c>
      <c r="O652" s="17"/>
      <c r="R652" s="288" t="s">
        <v>639</v>
      </c>
      <c r="S652" s="335" t="str">
        <f>IF(H652=EUconst_NA,"",IF(H652,1,INDEX(EUconst_CLEFYears,1)))</f>
        <v/>
      </c>
      <c r="T652" s="9"/>
    </row>
    <row r="653" spans="2:20" x14ac:dyDescent="0.25">
      <c r="B653" s="17"/>
      <c r="C653" s="17"/>
      <c r="D653" s="17"/>
      <c r="E653" s="276"/>
      <c r="F653" s="276"/>
      <c r="G653" s="254" t="str">
        <f>Translations!$B$1218</f>
        <v>non-ETS heat</v>
      </c>
      <c r="H653" s="329" t="str">
        <f>Translations!$B$1220</f>
        <v>WGflare</v>
      </c>
      <c r="I653" s="254" t="s">
        <v>630</v>
      </c>
      <c r="J653" s="254" t="s">
        <v>631</v>
      </c>
      <c r="K653" s="254" t="s">
        <v>632</v>
      </c>
      <c r="L653" s="329" t="str">
        <f>Translations!$B$1214</f>
        <v>15(7).3 HAL</v>
      </c>
      <c r="M653" s="470" t="str">
        <f>IF(I649="",EUconst_NA,INDEX(EUconst_BMlistBMvaluesMatrix,K652,1))</f>
        <v>N.A.</v>
      </c>
      <c r="N653" s="471" t="str">
        <f>EUconst_EUA &amp; "/" &amp; H657</f>
        <v>UKA/tonnes</v>
      </c>
      <c r="O653" s="17"/>
      <c r="R653" s="288"/>
      <c r="S653" s="368"/>
      <c r="T653" s="9"/>
    </row>
    <row r="654" spans="2:20" ht="13.8" thickBot="1" x14ac:dyDescent="0.3">
      <c r="B654" s="17"/>
      <c r="C654" s="17"/>
      <c r="D654" s="17"/>
      <c r="E654" s="370" t="str">
        <f>Translations!$B$1235</f>
        <v>Special factors:</v>
      </c>
      <c r="F654" s="371"/>
      <c r="G654" s="203" t="str">
        <f>IF($I649="","",SUMIF(F_ProductBM!$P:$P,EUconst_CNTR_HEAT&amp;$I649,F_ProductBM!$Q:$Q))</f>
        <v/>
      </c>
      <c r="H654" s="353" t="str">
        <f>IF(OR($I649="",CNTR_BaselinePeriod&lt;&gt;2),"",SUMIF(F_ProductBM!$P:$P,EUconst_CNTR_WGFlaredEF &amp; I649,F_ProductBM!$R:$R))</f>
        <v/>
      </c>
      <c r="I654" s="334">
        <f>IF(AND($I649&lt;&gt;"",$I652=TRUE),IF(ISNUMBER(INDEX(F_ProductBM!$Q:$Q,MATCH(EUconst_CNTR_ELEXCH&amp;$I649,F_ProductBM!$P:$P,0))),INDEX(F_ProductBM!$Q:$Q,MATCH(EUconst_CNTR_ELEXCH&amp;$I649,F_ProductBM!$P:$P,0)),1),1)</f>
        <v>1</v>
      </c>
      <c r="J654" s="203" t="str">
        <f>IF($I649="","",IF($K652=42,SUMIF(H_SpecialBM!$P$9:$P$384,EUconst_CNTR_HVC,H_SpecialBM!$I$9:$I$384),0))</f>
        <v/>
      </c>
      <c r="K654" s="369" t="str">
        <f>IF($I649="","",IF($K652=47,IF(ISNUMBER(INDEX(H_SpecialBM!$Q$9:$Q$384,MATCH(EUconst_CNTR_VCM,H_SpecialBM!$P$9:$P$384,0))),INDEX(H_SpecialBM!$Q$9:$Q$384,MATCH(EUconst_CNTR_VCM,H_SpecialBM!$P$9:$P$384,0)),1),1))</f>
        <v/>
      </c>
      <c r="L654" s="353" t="str">
        <f>IF($L652=TRUE,SUMIF(F_ProductBM!$P$11:$P$2192,EUconst_CNTR_HAL&amp;$I649,F_ProductBM!$N$11:$N$2192),"")</f>
        <v/>
      </c>
      <c r="M654" s="472" t="str">
        <f>IF(I649="",EUconst_NA,IF(EUconst_StatusOfDataCollection,INDEX(EUconst_BMlistBMvaluesMatrix,K652,3),""))</f>
        <v>N.A.</v>
      </c>
      <c r="N654" s="473" t="str">
        <f>EUconst_EUA &amp; "/" &amp; H657</f>
        <v>UKA/tonnes</v>
      </c>
      <c r="O654" s="17"/>
      <c r="R654" s="288"/>
      <c r="S654" s="368"/>
      <c r="T654" s="9"/>
    </row>
    <row r="655" spans="2:20" ht="5.0999999999999996" customHeight="1" x14ac:dyDescent="0.25">
      <c r="B655" s="17"/>
      <c r="C655" s="17"/>
      <c r="D655" s="17"/>
      <c r="E655" s="17"/>
      <c r="F655" s="17"/>
      <c r="G655" s="17"/>
      <c r="H655" s="17"/>
      <c r="I655" s="17"/>
      <c r="J655" s="17"/>
      <c r="K655" s="17"/>
      <c r="L655" s="17"/>
      <c r="M655" s="17"/>
      <c r="N655" s="17"/>
      <c r="O655" s="17"/>
      <c r="T655" s="9"/>
    </row>
    <row r="656" spans="2:20" x14ac:dyDescent="0.25">
      <c r="B656" s="17"/>
      <c r="C656" s="17"/>
      <c r="D656" s="17"/>
      <c r="E656" s="78"/>
      <c r="F656" s="78"/>
      <c r="G656" s="259"/>
      <c r="H656" s="366" t="str">
        <f>EUconst_Unit</f>
        <v>Unit</v>
      </c>
      <c r="I656" s="149">
        <f>I$1397</f>
        <v>2019</v>
      </c>
      <c r="J656" s="149">
        <f>J$1397</f>
        <v>2020</v>
      </c>
      <c r="K656" s="149">
        <f>K$1397</f>
        <v>2021</v>
      </c>
      <c r="L656" s="149">
        <f>L$1397</f>
        <v>2022</v>
      </c>
      <c r="M656" s="149">
        <f>M$1397</f>
        <v>2023</v>
      </c>
      <c r="N656" s="17"/>
      <c r="O656" s="17"/>
      <c r="P656" s="63" t="s">
        <v>397</v>
      </c>
      <c r="T656" s="9"/>
    </row>
    <row r="657" spans="2:20" x14ac:dyDescent="0.25">
      <c r="B657" s="17"/>
      <c r="C657" s="17"/>
      <c r="D657" s="17"/>
      <c r="E657" s="260" t="str">
        <f>Translations!$B$1236</f>
        <v>HAL (Historic activity level) reported</v>
      </c>
      <c r="F657" s="261"/>
      <c r="G657" s="262"/>
      <c r="H657" s="257" t="str">
        <f>IF(ISNUMBER(K652),INDEX(EUconst_BMlistUnits,K652),EUconst_Tons)</f>
        <v>tonnes</v>
      </c>
      <c r="I657" s="203" t="str">
        <f>IF($I649="","",SUMIF(F_ProductBM!$P$11:$P$1876,$P657,F_ProductBM!I$11:I$1876))</f>
        <v/>
      </c>
      <c r="J657" s="203" t="str">
        <f>IF($I649="","",SUMIF(F_ProductBM!$P$11:$P$1876,$P657,F_ProductBM!J$11:J$1876))</f>
        <v/>
      </c>
      <c r="K657" s="203" t="str">
        <f>IF($I649="","",SUMIF(F_ProductBM!$P$11:$P$1876,$P657,F_ProductBM!K$11:K$1876))</f>
        <v/>
      </c>
      <c r="L657" s="203" t="str">
        <f>IF($I649="","",SUMIF(F_ProductBM!$P$11:$P$1876,$P657,F_ProductBM!L$11:L$1876))</f>
        <v/>
      </c>
      <c r="M657" s="203" t="str">
        <f>IF($I649="","",SUMIF(F_ProductBM!$P$11:$P$1876,$P657,F_ProductBM!M$11:M$1876))</f>
        <v/>
      </c>
      <c r="N657" s="254" t="str">
        <f>Translations!$B$1224</f>
        <v>Average</v>
      </c>
      <c r="O657" s="17"/>
      <c r="P657" s="63" t="str">
        <f>EUconst_CNTR_HAL&amp;I649</f>
        <v>HAL_</v>
      </c>
      <c r="T657" s="9"/>
    </row>
    <row r="658" spans="2:20" x14ac:dyDescent="0.25">
      <c r="B658" s="17"/>
      <c r="C658" s="17"/>
      <c r="D658" s="17"/>
      <c r="E658" s="260" t="str">
        <f>Translations!$B$1237</f>
        <v>Values used for HAL calculation:</v>
      </c>
      <c r="F658" s="261"/>
      <c r="G658" s="262"/>
      <c r="H658" s="257" t="str">
        <f>H657</f>
        <v>tonnes</v>
      </c>
      <c r="I658" s="203" t="str">
        <f>IF($I649="","",INDEX(F_ProductBM!S$11:S$1876,MATCH($P658,F_ProductBM!$P$11:$P$1876,0)))</f>
        <v/>
      </c>
      <c r="J658" s="203" t="str">
        <f>IF($I649="","",INDEX(F_ProductBM!T$11:T$1876,MATCH($P658,F_ProductBM!$P$11:$P$1876,0)))</f>
        <v/>
      </c>
      <c r="K658" s="203" t="str">
        <f>IF($I649="","",INDEX(F_ProductBM!U$11:U$1876,MATCH($P658,F_ProductBM!$P$11:$P$1876,0)))</f>
        <v/>
      </c>
      <c r="L658" s="203" t="str">
        <f>IF($I649="","",INDEX(F_ProductBM!V$11:V$1876,MATCH($P658,F_ProductBM!$P$11:$P$1876,0)))</f>
        <v/>
      </c>
      <c r="M658" s="203" t="str">
        <f>IF($I649="","",INDEX(F_ProductBM!W$11:W$1876,MATCH($P658,F_ProductBM!$P$11:$P$1876,0)))</f>
        <v/>
      </c>
      <c r="N658" s="203" t="str">
        <f>IF(OR($I649="",$L652=TRUE),"",IF(COUNT($I658:$M658)&gt;0,AVERAGE($I658:$M658),""))</f>
        <v/>
      </c>
      <c r="O658" s="17"/>
      <c r="P658" s="63" t="str">
        <f>EUconst_CNTR_HAL&amp;I649</f>
        <v>HAL_</v>
      </c>
      <c r="R658" s="442" t="s">
        <v>640</v>
      </c>
      <c r="S658" s="442" t="s">
        <v>641</v>
      </c>
      <c r="T658" s="442" t="s">
        <v>642</v>
      </c>
    </row>
    <row r="659" spans="2:20" ht="5.0999999999999996" customHeight="1" thickBot="1" x14ac:dyDescent="0.3">
      <c r="B659" s="17"/>
      <c r="C659" s="17"/>
      <c r="D659" s="17"/>
      <c r="E659" s="367"/>
      <c r="F659" s="367"/>
      <c r="G659" s="367"/>
      <c r="H659" s="367"/>
      <c r="I659" s="367"/>
      <c r="J659" s="367"/>
      <c r="K659" s="367"/>
      <c r="L659" s="367"/>
      <c r="M659" s="276"/>
      <c r="N659" s="276"/>
      <c r="O659" s="17"/>
      <c r="T659" s="9"/>
    </row>
    <row r="660" spans="2:20" ht="13.8" thickBot="1" x14ac:dyDescent="0.3">
      <c r="B660" s="17"/>
      <c r="C660" s="276"/>
      <c r="D660" s="17"/>
      <c r="E660" s="367"/>
      <c r="F660" s="336" t="s">
        <v>643</v>
      </c>
      <c r="G660" s="337"/>
      <c r="H660" s="276"/>
      <c r="I660" s="336" t="str">
        <f>Translations!$B$1226</f>
        <v>Prelim Alloc Year 1 (min)</v>
      </c>
      <c r="J660" s="337"/>
      <c r="K660" s="336" t="str">
        <f>Translations!$B$1229</f>
        <v>Prelim Alloc Year 1 (max)</v>
      </c>
      <c r="L660" s="337"/>
      <c r="M660" s="336" t="str">
        <f>Translations!$B$1231</f>
        <v>Prelim Alloc Year 1 (actual)</v>
      </c>
      <c r="N660" s="337"/>
      <c r="O660" s="17"/>
      <c r="P660" s="63" t="str">
        <f>EUconst_AllocPrelim&amp;I649</f>
        <v>AllocPrelim_</v>
      </c>
      <c r="R660" s="423" t="str">
        <f>IF(I661="","",IF(S652=0,0,SUM(I661)/S652))</f>
        <v/>
      </c>
      <c r="S660" s="423" t="str">
        <f>IF(K661="","",IF(S652=0,0,SUM(K661)/S652))</f>
        <v/>
      </c>
      <c r="T660" s="423" t="str">
        <f>T649</f>
        <v/>
      </c>
    </row>
    <row r="661" spans="2:20" ht="13.8" thickBot="1" x14ac:dyDescent="0.3">
      <c r="B661" s="17"/>
      <c r="C661" s="276"/>
      <c r="D661" s="276"/>
      <c r="E661" s="367"/>
      <c r="F661" s="264" t="str">
        <f>IF(I649="","",MAX(0, IF(L652=TRUE, SUM(L654), SUM(N658))))</f>
        <v/>
      </c>
      <c r="G661" s="265" t="str">
        <f>H657&amp;" / "&amp;EUconst_Year</f>
        <v>tonnes / year</v>
      </c>
      <c r="H661" s="276"/>
      <c r="I661" s="333" t="str">
        <f>IF(I649="","",ROUND((SUM(M652)*SUM(F661)*SUM(I654)*SUM(K654)-SUM(G654)-SUM(H654)+SUM(J654))*SUM(S652),0))</f>
        <v/>
      </c>
      <c r="J661" s="409" t="s">
        <v>645</v>
      </c>
      <c r="K661" s="333" t="str">
        <f>IF(I649="","",ROUND((SUM(M653)*SUM(F661)*SUM(I654)*SUM(K654)-SUM(G654)-SUM(H654)+SUM(J654))*SUM(S652),0))</f>
        <v/>
      </c>
      <c r="L661" s="409" t="s">
        <v>645</v>
      </c>
      <c r="M661" s="333" t="str">
        <f>IF(OR(I649="",M654=""),"",ROUND((SUM(M654)*SUM(F661)*SUM(I654)*SUM(K654)-SUM(G654)-SUM(H654)+SUM(J654))*SUM(S652),0))</f>
        <v/>
      </c>
      <c r="N661" s="409" t="s">
        <v>645</v>
      </c>
      <c r="O661" s="17"/>
      <c r="P661" s="63" t="str">
        <f>EUconst_HALsum &amp; I649</f>
        <v>HALsum_</v>
      </c>
      <c r="T661" s="9"/>
    </row>
    <row r="662" spans="2:20" ht="5.0999999999999996" customHeight="1" x14ac:dyDescent="0.25">
      <c r="B662" s="17"/>
      <c r="C662" s="17"/>
      <c r="D662" s="276"/>
      <c r="E662" s="113"/>
      <c r="F662" s="17"/>
      <c r="G662" s="17"/>
      <c r="H662" s="17"/>
      <c r="I662" s="17"/>
      <c r="J662" s="17"/>
      <c r="K662" s="17"/>
      <c r="L662" s="17"/>
      <c r="M662" s="17"/>
      <c r="N662" s="17"/>
      <c r="O662" s="17"/>
      <c r="T662" s="9"/>
    </row>
    <row r="663" spans="2:20" ht="12.75" customHeight="1" x14ac:dyDescent="0.25">
      <c r="B663" s="17"/>
      <c r="C663" s="17"/>
      <c r="D663" s="17"/>
      <c r="E663" s="193"/>
      <c r="F663" s="342"/>
      <c r="G663" s="342"/>
      <c r="H663" s="342"/>
      <c r="I663" s="342"/>
      <c r="J663" s="342"/>
      <c r="K663" s="342"/>
      <c r="L663" s="342"/>
      <c r="M663" s="342"/>
      <c r="N663" s="342"/>
      <c r="O663" s="17"/>
      <c r="T663" s="9"/>
    </row>
    <row r="664" spans="2:20" ht="13.8" thickBot="1" x14ac:dyDescent="0.3">
      <c r="B664" s="17"/>
      <c r="C664" s="17"/>
      <c r="D664" s="17"/>
      <c r="E664" s="193"/>
      <c r="F664" s="342"/>
      <c r="G664" s="342"/>
      <c r="H664" s="192" t="str">
        <f>EUconst_Unit</f>
        <v>Unit</v>
      </c>
      <c r="I664" s="441">
        <f>I$1397</f>
        <v>2019</v>
      </c>
      <c r="J664" s="153">
        <f>J$1397</f>
        <v>2020</v>
      </c>
      <c r="K664" s="153">
        <f>K$1397</f>
        <v>2021</v>
      </c>
      <c r="L664" s="153">
        <f>L$1397</f>
        <v>2022</v>
      </c>
      <c r="M664" s="153">
        <f>M$1397</f>
        <v>2023</v>
      </c>
      <c r="N664" s="342"/>
      <c r="O664" s="17"/>
      <c r="T664" s="9"/>
    </row>
    <row r="665" spans="2:20" ht="13.8" thickBot="1" x14ac:dyDescent="0.3">
      <c r="B665" s="17"/>
      <c r="C665" s="17"/>
      <c r="D665" s="17"/>
      <c r="E665" s="1610" t="str">
        <f>Translations!$B$1238</f>
        <v>Total attributed emissions</v>
      </c>
      <c r="F665" s="1610"/>
      <c r="G665" s="1610"/>
      <c r="H665" s="411" t="str">
        <f>EUconst_tCO2epa</f>
        <v>t CO2e/year</v>
      </c>
      <c r="I665" s="432" t="str">
        <f>INDEX(I$93:I$109,MATCH($I649,$E$93:$E$109,0))</f>
        <v/>
      </c>
      <c r="J665" s="433" t="str">
        <f>INDEX(J$93:J$109,MATCH($I649,$E$93:$E$109,0))</f>
        <v/>
      </c>
      <c r="K665" s="433" t="str">
        <f>INDEX(K$93:K$109,MATCH($I649,$E$93:$E$109,0))</f>
        <v/>
      </c>
      <c r="L665" s="433" t="str">
        <f>INDEX(L$93:L$109,MATCH($I649,$E$93:$E$109,0))</f>
        <v/>
      </c>
      <c r="M665" s="434" t="str">
        <f>INDEX(M$93:M$109,MATCH($I649,$E$93:$E$109,0))</f>
        <v/>
      </c>
      <c r="N665" s="342"/>
      <c r="O665" s="17"/>
      <c r="T665" s="9"/>
    </row>
    <row r="666" spans="2:20" ht="5.0999999999999996" customHeight="1" x14ac:dyDescent="0.25">
      <c r="B666" s="17"/>
      <c r="C666" s="17"/>
      <c r="D666" s="17"/>
      <c r="E666" s="193"/>
      <c r="F666" s="193"/>
      <c r="G666" s="193"/>
      <c r="H666" s="193"/>
      <c r="I666" s="435"/>
      <c r="J666" s="435"/>
      <c r="K666" s="435"/>
      <c r="L666" s="435"/>
      <c r="M666" s="435"/>
      <c r="N666" s="193"/>
      <c r="O666" s="17"/>
      <c r="T666" s="9"/>
    </row>
    <row r="667" spans="2:20" x14ac:dyDescent="0.25">
      <c r="B667" s="17"/>
      <c r="C667" s="17"/>
      <c r="D667" s="17"/>
      <c r="E667" s="1526" t="str">
        <f>Translations!$B$731</f>
        <v>Fuel input</v>
      </c>
      <c r="F667" s="1526"/>
      <c r="G667" s="1526"/>
      <c r="H667" s="939" t="str">
        <f>EUconst_TJpa</f>
        <v>TJ / year</v>
      </c>
      <c r="I667" s="436" t="str">
        <f>IF($I649="","",IF(INDEX(F_ProductBM!I:I,MATCH($P667,F_ProductBM!$P:$P,0))="","",INDEX(F_ProductBM!I:I,MATCH($P667,F_ProductBM!$P:$P,0))))</f>
        <v/>
      </c>
      <c r="J667" s="436" t="str">
        <f>IF($I649="","",IF(INDEX(F_ProductBM!J:J,MATCH($P667,F_ProductBM!$P:$P,0))="","",INDEX(F_ProductBM!J:J,MATCH($P667,F_ProductBM!$P:$P,0))))</f>
        <v/>
      </c>
      <c r="K667" s="436" t="str">
        <f>IF($I649="","",IF(INDEX(F_ProductBM!K:K,MATCH($P667,F_ProductBM!$P:$P,0))="","",INDEX(F_ProductBM!K:K,MATCH($P667,F_ProductBM!$P:$P,0))))</f>
        <v/>
      </c>
      <c r="L667" s="436" t="str">
        <f>IF($I649="","",IF(INDEX(F_ProductBM!L:L,MATCH($P667,F_ProductBM!$P:$P,0))="","",INDEX(F_ProductBM!L:L,MATCH($P667,F_ProductBM!$P:$P,0))))</f>
        <v/>
      </c>
      <c r="M667" s="436" t="str">
        <f>IF($I649="","",IF(INDEX(F_ProductBM!M:M,MATCH($P667,F_ProductBM!$P:$P,0))="","",INDEX(F_ProductBM!M:M,MATCH($P667,F_ProductBM!$P:$P,0))))</f>
        <v/>
      </c>
      <c r="N667" s="342"/>
      <c r="O667" s="17"/>
      <c r="P667" s="341" t="str">
        <f>EUconst_CNTR_FuelInput &amp; I649</f>
        <v>FuelInput_</v>
      </c>
      <c r="T667" s="9"/>
    </row>
    <row r="668" spans="2:20" x14ac:dyDescent="0.25">
      <c r="B668" s="17"/>
      <c r="C668" s="17"/>
      <c r="D668" s="17"/>
      <c r="E668" s="1527" t="str">
        <f>Translations!$B$732</f>
        <v>Weighted emission factor</v>
      </c>
      <c r="F668" s="1527"/>
      <c r="G668" s="1527"/>
      <c r="H668" s="343" t="str">
        <f>EUconst_tCO2pTJ</f>
        <v>t CO2 / TJ</v>
      </c>
      <c r="I668" s="437" t="str">
        <f>IF($I649="","",IF(INDEX(F_ProductBM!I:I,MATCH($P668,F_ProductBM!$P:$P,0))="","",INDEX(F_ProductBM!I:I,MATCH($P668,F_ProductBM!$P:$P,0))))</f>
        <v/>
      </c>
      <c r="J668" s="437" t="str">
        <f>IF($I649="","",IF(INDEX(F_ProductBM!J:J,MATCH($P668,F_ProductBM!$P:$P,0))="","",INDEX(F_ProductBM!J:J,MATCH($P668,F_ProductBM!$P:$P,0))))</f>
        <v/>
      </c>
      <c r="K668" s="437" t="str">
        <f>IF($I649="","",IF(INDEX(F_ProductBM!K:K,MATCH($P668,F_ProductBM!$P:$P,0))="","",INDEX(F_ProductBM!K:K,MATCH($P668,F_ProductBM!$P:$P,0))))</f>
        <v/>
      </c>
      <c r="L668" s="437" t="str">
        <f>IF($I649="","",IF(INDEX(F_ProductBM!L:L,MATCH($P668,F_ProductBM!$P:$P,0))="","",INDEX(F_ProductBM!L:L,MATCH($P668,F_ProductBM!$P:$P,0))))</f>
        <v/>
      </c>
      <c r="M668" s="437" t="str">
        <f>IF($I649="","",IF(INDEX(F_ProductBM!M:M,MATCH($P668,F_ProductBM!$P:$P,0))="","",INDEX(F_ProductBM!M:M,MATCH($P668,F_ProductBM!$P:$P,0))))</f>
        <v/>
      </c>
      <c r="N668" s="342"/>
      <c r="O668" s="17"/>
      <c r="P668" s="116" t="str">
        <f>EUconst_CNTR_FuelEF &amp; I649</f>
        <v>FuelEF_</v>
      </c>
      <c r="T668" s="9"/>
    </row>
    <row r="669" spans="2:20" ht="5.0999999999999996" customHeight="1" x14ac:dyDescent="0.25">
      <c r="B669" s="17"/>
      <c r="C669" s="17"/>
      <c r="D669" s="276"/>
      <c r="E669" s="193"/>
      <c r="F669" s="342"/>
      <c r="G669" s="342"/>
      <c r="H669" s="342"/>
      <c r="I669" s="438"/>
      <c r="J669" s="438"/>
      <c r="K669" s="438"/>
      <c r="L669" s="438"/>
      <c r="M669" s="438"/>
      <c r="N669" s="342"/>
      <c r="O669" s="17"/>
      <c r="T669" s="9"/>
    </row>
    <row r="670" spans="2:20" ht="12.75" customHeight="1" x14ac:dyDescent="0.25">
      <c r="B670" s="17"/>
      <c r="C670" s="17"/>
      <c r="D670" s="276"/>
      <c r="E670" s="1528" t="str">
        <f>Translations!$B$687</f>
        <v>Direct emissions</v>
      </c>
      <c r="F670" s="1528"/>
      <c r="G670" s="1528"/>
      <c r="H670" s="154" t="str">
        <f>EUconst_tCO2pa</f>
        <v>t CO2 / year</v>
      </c>
      <c r="I670" s="439" t="str">
        <f>IF($I649="","",IF(INDEX(F_ProductBM!I:I,MATCH($P670,F_ProductBM!$P:$P,0))="","",INDEX(F_ProductBM!I:I,MATCH($P670,F_ProductBM!$P:$P,0))))</f>
        <v/>
      </c>
      <c r="J670" s="439" t="str">
        <f>IF($I649="","",IF(INDEX(F_ProductBM!J:J,MATCH($P670,F_ProductBM!$P:$P,0))="","",INDEX(F_ProductBM!J:J,MATCH($P670,F_ProductBM!$P:$P,0))))</f>
        <v/>
      </c>
      <c r="K670" s="439" t="str">
        <f>IF($I649="","",IF(INDEX(F_ProductBM!K:K,MATCH($P670,F_ProductBM!$P:$P,0))="","",INDEX(F_ProductBM!K:K,MATCH($P670,F_ProductBM!$P:$P,0))))</f>
        <v/>
      </c>
      <c r="L670" s="439" t="str">
        <f>IF($I649="","",IF(INDEX(F_ProductBM!L:L,MATCH($P670,F_ProductBM!$P:$P,0))="","",INDEX(F_ProductBM!L:L,MATCH($P670,F_ProductBM!$P:$P,0))))</f>
        <v/>
      </c>
      <c r="M670" s="439" t="str">
        <f>IF($I649="","",IF(INDEX(F_ProductBM!M:M,MATCH($P670,F_ProductBM!$P:$P,0))="","",INDEX(F_ProductBM!M:M,MATCH($P670,F_ProductBM!$P:$P,0))))</f>
        <v/>
      </c>
      <c r="N670" s="342"/>
      <c r="O670" s="17"/>
      <c r="P670" s="116" t="str">
        <f>EUconst_CNTR_Emissions &amp; I649</f>
        <v>DirEmissions_</v>
      </c>
      <c r="T670" s="9"/>
    </row>
    <row r="671" spans="2:20" x14ac:dyDescent="0.25">
      <c r="B671" s="17"/>
      <c r="C671" s="17"/>
      <c r="D671" s="276"/>
      <c r="E671" s="1528" t="str">
        <f>Translations!$B$742</f>
        <v>Further source streams - 1</v>
      </c>
      <c r="F671" s="1528"/>
      <c r="G671" s="1528"/>
      <c r="H671" s="154" t="str">
        <f>EUconst_tCO2pa</f>
        <v>t CO2 / year</v>
      </c>
      <c r="I671" s="439" t="str">
        <f>IF($I649="","",IF(INDEX(F_ProductBM!I:I,MATCH($P671,F_ProductBM!$P:$P,0))="","",INDEX(F_ProductBM!I:I,MATCH($P671,F_ProductBM!$P:$P,0))))</f>
        <v/>
      </c>
      <c r="J671" s="439" t="str">
        <f>IF($I649="","",IF(INDEX(F_ProductBM!J:J,MATCH($P671,F_ProductBM!$P:$P,0))="","",INDEX(F_ProductBM!J:J,MATCH($P671,F_ProductBM!$P:$P,0))))</f>
        <v/>
      </c>
      <c r="K671" s="439" t="str">
        <f>IF($I649="","",IF(INDEX(F_ProductBM!K:K,MATCH($P671,F_ProductBM!$P:$P,0))="","",INDEX(F_ProductBM!K:K,MATCH($P671,F_ProductBM!$P:$P,0))))</f>
        <v/>
      </c>
      <c r="L671" s="439" t="str">
        <f>IF($I649="","",IF(INDEX(F_ProductBM!L:L,MATCH($P671,F_ProductBM!$P:$P,0))="","",INDEX(F_ProductBM!L:L,MATCH($P671,F_ProductBM!$P:$P,0))))</f>
        <v/>
      </c>
      <c r="M671" s="439" t="str">
        <f>IF($I649="","",IF(INDEX(F_ProductBM!M:M,MATCH($P671,F_ProductBM!$P:$P,0))="","",INDEX(F_ProductBM!M:M,MATCH($P671,F_ProductBM!$P:$P,0))))</f>
        <v/>
      </c>
      <c r="N671" s="342"/>
      <c r="O671" s="17"/>
      <c r="P671" s="116" t="str">
        <f>EUconst_CNTR_EmissionsIntSource1 &amp; I649</f>
        <v>EmInternalSource1_</v>
      </c>
      <c r="T671" s="9"/>
    </row>
    <row r="672" spans="2:20" x14ac:dyDescent="0.25">
      <c r="B672" s="17"/>
      <c r="C672" s="17"/>
      <c r="D672" s="276"/>
      <c r="E672" s="1528" t="str">
        <f>Translations!$B$752</f>
        <v>Further source streams - 2</v>
      </c>
      <c r="F672" s="1528"/>
      <c r="G672" s="1528"/>
      <c r="H672" s="154" t="str">
        <f>EUconst_tCO2pa</f>
        <v>t CO2 / year</v>
      </c>
      <c r="I672" s="439" t="str">
        <f>IF($I649="","",IF(INDEX(F_ProductBM!I:I,MATCH($P672,F_ProductBM!$P:$P,0))="","",INDEX(F_ProductBM!I:I,MATCH($P672,F_ProductBM!$P:$P,0))))</f>
        <v/>
      </c>
      <c r="J672" s="439" t="str">
        <f>IF($I649="","",IF(INDEX(F_ProductBM!J:J,MATCH($P672,F_ProductBM!$P:$P,0))="","",INDEX(F_ProductBM!J:J,MATCH($P672,F_ProductBM!$P:$P,0))))</f>
        <v/>
      </c>
      <c r="K672" s="439" t="str">
        <f>IF($I649="","",IF(INDEX(F_ProductBM!K:K,MATCH($P672,F_ProductBM!$P:$P,0))="","",INDEX(F_ProductBM!K:K,MATCH($P672,F_ProductBM!$P:$P,0))))</f>
        <v/>
      </c>
      <c r="L672" s="439" t="str">
        <f>IF($I649="","",IF(INDEX(F_ProductBM!L:L,MATCH($P672,F_ProductBM!$P:$P,0))="","",INDEX(F_ProductBM!L:L,MATCH($P672,F_ProductBM!$P:$P,0))))</f>
        <v/>
      </c>
      <c r="M672" s="439" t="str">
        <f>IF($I649="","",IF(INDEX(F_ProductBM!M:M,MATCH($P672,F_ProductBM!$P:$P,0))="","",INDEX(F_ProductBM!M:M,MATCH($P672,F_ProductBM!$P:$P,0))))</f>
        <v/>
      </c>
      <c r="N672" s="342"/>
      <c r="O672" s="17"/>
      <c r="P672" s="116" t="str">
        <f>EUconst_CNTR_EmissionsIntSource2 &amp; I649</f>
        <v>EmInternalSource2_</v>
      </c>
      <c r="T672" s="9"/>
    </row>
    <row r="673" spans="2:20" x14ac:dyDescent="0.25">
      <c r="B673" s="17"/>
      <c r="C673" s="17"/>
      <c r="D673" s="17"/>
      <c r="E673" s="1528" t="str">
        <f>Translations!$B$756</f>
        <v>GHG imported or exported</v>
      </c>
      <c r="F673" s="1528"/>
      <c r="G673" s="1528"/>
      <c r="H673" s="154" t="str">
        <f>EUconst_tCO2epa</f>
        <v>t CO2e/year</v>
      </c>
      <c r="I673" s="439" t="str">
        <f>IF($I649="","",IF(INDEX(F_ProductBM!I:I,MATCH($P673,F_ProductBM!$P:$P,0))="","",INDEX(F_ProductBM!I:I,MATCH($P673,F_ProductBM!$P:$P,0))))</f>
        <v/>
      </c>
      <c r="J673" s="439" t="str">
        <f>IF($I649="","",IF(INDEX(F_ProductBM!J:J,MATCH($P673,F_ProductBM!$P:$P,0))="","",INDEX(F_ProductBM!J:J,MATCH($P673,F_ProductBM!$P:$P,0))))</f>
        <v/>
      </c>
      <c r="K673" s="439" t="str">
        <f>IF($I649="","",IF(INDEX(F_ProductBM!K:K,MATCH($P673,F_ProductBM!$P:$P,0))="","",INDEX(F_ProductBM!K:K,MATCH($P673,F_ProductBM!$P:$P,0))))</f>
        <v/>
      </c>
      <c r="L673" s="439" t="str">
        <f>IF($I649="","",IF(INDEX(F_ProductBM!L:L,MATCH($P673,F_ProductBM!$P:$P,0))="","",INDEX(F_ProductBM!L:L,MATCH($P673,F_ProductBM!$P:$P,0))))</f>
        <v/>
      </c>
      <c r="M673" s="439" t="str">
        <f>IF($I649="","",IF(INDEX(F_ProductBM!M:M,MATCH($P673,F_ProductBM!$P:$P,0))="","",INDEX(F_ProductBM!M:M,MATCH($P673,F_ProductBM!$P:$P,0))))</f>
        <v/>
      </c>
      <c r="N673" s="342"/>
      <c r="O673" s="17"/>
      <c r="P673" s="116" t="str">
        <f>EUconst_CNTR_CO2Feedstock &amp; I649</f>
        <v>EmCO2Feedstock_</v>
      </c>
      <c r="T673" s="9"/>
    </row>
    <row r="674" spans="2:20" ht="5.0999999999999996" customHeight="1" x14ac:dyDescent="0.25">
      <c r="B674" s="17"/>
      <c r="C674" s="17"/>
      <c r="D674" s="17"/>
      <c r="E674" s="342"/>
      <c r="F674" s="342"/>
      <c r="G674" s="342"/>
      <c r="H674" s="342"/>
      <c r="I674" s="438"/>
      <c r="J674" s="438"/>
      <c r="K674" s="438"/>
      <c r="L674" s="438"/>
      <c r="M674" s="438"/>
      <c r="N674" s="342"/>
      <c r="O674" s="17"/>
      <c r="T674" s="9"/>
    </row>
    <row r="675" spans="2:20" x14ac:dyDescent="0.25">
      <c r="B675" s="17"/>
      <c r="C675" s="17"/>
      <c r="D675" s="17"/>
      <c r="E675" s="1526" t="str">
        <f>Translations!$B$764</f>
        <v>Net heat imported</v>
      </c>
      <c r="F675" s="1526"/>
      <c r="G675" s="1526"/>
      <c r="H675" s="939" t="str">
        <f>EUconst_TJpa</f>
        <v>TJ / year</v>
      </c>
      <c r="I675" s="436" t="str">
        <f>IF($I649="","",IF(INDEX(F_ProductBM!I:I,MATCH($P675,F_ProductBM!$P:$P,0))="","",INDEX(F_ProductBM!I:I,MATCH($P675,F_ProductBM!$P:$P,0))))</f>
        <v/>
      </c>
      <c r="J675" s="436" t="str">
        <f>IF($I649="","",IF(INDEX(F_ProductBM!J:J,MATCH($P675,F_ProductBM!$P:$P,0))="","",INDEX(F_ProductBM!J:J,MATCH($P675,F_ProductBM!$P:$P,0))))</f>
        <v/>
      </c>
      <c r="K675" s="436" t="str">
        <f>IF($I649="","",IF(INDEX(F_ProductBM!K:K,MATCH($P675,F_ProductBM!$P:$P,0))="","",INDEX(F_ProductBM!K:K,MATCH($P675,F_ProductBM!$P:$P,0))))</f>
        <v/>
      </c>
      <c r="L675" s="436" t="str">
        <f>IF($I649="","",IF(INDEX(F_ProductBM!L:L,MATCH($P675,F_ProductBM!$P:$P,0))="","",INDEX(F_ProductBM!L:L,MATCH($P675,F_ProductBM!$P:$P,0))))</f>
        <v/>
      </c>
      <c r="M675" s="436" t="str">
        <f>IF($I649="","",IF(INDEX(F_ProductBM!M:M,MATCH($P675,F_ProductBM!$P:$P,0))="","",INDEX(F_ProductBM!M:M,MATCH($P675,F_ProductBM!$P:$P,0))))</f>
        <v/>
      </c>
      <c r="N675" s="342"/>
      <c r="O675" s="17"/>
      <c r="P675" s="116" t="str">
        <f>EUconst_CNTR_HeatImport &amp; I649</f>
        <v>HeatIm_</v>
      </c>
      <c r="T675" s="9"/>
    </row>
    <row r="676" spans="2:20" x14ac:dyDescent="0.25">
      <c r="B676" s="17"/>
      <c r="C676" s="17"/>
      <c r="D676" s="17"/>
      <c r="E676" s="1527" t="str">
        <f>Translations!$B$765</f>
        <v>Specific EF (imported heat)</v>
      </c>
      <c r="F676" s="1527"/>
      <c r="G676" s="1527"/>
      <c r="H676" s="343" t="str">
        <f>EUconst_tCO2pTJ</f>
        <v>t CO2 / TJ</v>
      </c>
      <c r="I676" s="437" t="str">
        <f>IF($I649="","",IF(INDEX(F_ProductBM!I:I,MATCH($P676,F_ProductBM!$P:$P,0))="","",INDEX(F_ProductBM!I:I,MATCH($P676,F_ProductBM!$P:$P,0))))</f>
        <v/>
      </c>
      <c r="J676" s="437" t="str">
        <f>IF($I649="","",IF(INDEX(F_ProductBM!J:J,MATCH($P676,F_ProductBM!$P:$P,0))="","",INDEX(F_ProductBM!J:J,MATCH($P676,F_ProductBM!$P:$P,0))))</f>
        <v/>
      </c>
      <c r="K676" s="437" t="str">
        <f>IF($I649="","",IF(INDEX(F_ProductBM!K:K,MATCH($P676,F_ProductBM!$P:$P,0))="","",INDEX(F_ProductBM!K:K,MATCH($P676,F_ProductBM!$P:$P,0))))</f>
        <v/>
      </c>
      <c r="L676" s="437" t="str">
        <f>IF($I649="","",IF(INDEX(F_ProductBM!L:L,MATCH($P676,F_ProductBM!$P:$P,0))="","",INDEX(F_ProductBM!L:L,MATCH($P676,F_ProductBM!$P:$P,0))))</f>
        <v/>
      </c>
      <c r="M676" s="437" t="str">
        <f>IF($I649="","",IF(INDEX(F_ProductBM!M:M,MATCH($P676,F_ProductBM!$P:$P,0))="","",INDEX(F_ProductBM!M:M,MATCH($P676,F_ProductBM!$P:$P,0))))</f>
        <v/>
      </c>
      <c r="N676" s="342"/>
      <c r="O676" s="17"/>
      <c r="P676" s="116" t="str">
        <f>EUconst_CNTR_HeatImportEF &amp; I649</f>
        <v>HeatImEF_</v>
      </c>
      <c r="T676" s="9"/>
    </row>
    <row r="677" spans="2:20" ht="5.0999999999999996" customHeight="1" x14ac:dyDescent="0.25">
      <c r="B677" s="17"/>
      <c r="C677" s="17"/>
      <c r="D677" s="17"/>
      <c r="E677" s="193"/>
      <c r="F677" s="342"/>
      <c r="G677" s="342"/>
      <c r="H677" s="342"/>
      <c r="I677" s="438"/>
      <c r="J677" s="438"/>
      <c r="K677" s="438"/>
      <c r="L677" s="438"/>
      <c r="M677" s="438"/>
      <c r="N677" s="342"/>
      <c r="O677" s="17"/>
      <c r="P677" s="9"/>
      <c r="T677" s="9"/>
    </row>
    <row r="678" spans="2:20" x14ac:dyDescent="0.25">
      <c r="B678" s="17"/>
      <c r="C678" s="17"/>
      <c r="D678" s="17"/>
      <c r="E678" s="1528" t="str">
        <f>Translations!$B$820</f>
        <v>Net heat imported from pulp</v>
      </c>
      <c r="F678" s="1528"/>
      <c r="G678" s="1528"/>
      <c r="H678" s="154" t="str">
        <f>EUconst_TJpa</f>
        <v>TJ / year</v>
      </c>
      <c r="I678" s="439" t="str">
        <f>IF($I649="","",IF(INDEX(F_ProductBM!I:I,MATCH($P678,F_ProductBM!$P:$P,0))="","",INDEX(F_ProductBM!I:I,MATCH($P678,F_ProductBM!$P:$P,0))))</f>
        <v/>
      </c>
      <c r="J678" s="439" t="str">
        <f>IF($I649="","",IF(INDEX(F_ProductBM!J:J,MATCH($P678,F_ProductBM!$P:$P,0))="","",INDEX(F_ProductBM!J:J,MATCH($P678,F_ProductBM!$P:$P,0))))</f>
        <v/>
      </c>
      <c r="K678" s="439" t="str">
        <f>IF($I649="","",IF(INDEX(F_ProductBM!K:K,MATCH($P678,F_ProductBM!$P:$P,0))="","",INDEX(F_ProductBM!K:K,MATCH($P678,F_ProductBM!$P:$P,0))))</f>
        <v/>
      </c>
      <c r="L678" s="439" t="str">
        <f>IF($I649="","",IF(INDEX(F_ProductBM!L:L,MATCH($P678,F_ProductBM!$P:$P,0))="","",INDEX(F_ProductBM!L:L,MATCH($P678,F_ProductBM!$P:$P,0))))</f>
        <v/>
      </c>
      <c r="M678" s="439" t="str">
        <f>IF($I649="","",IF(INDEX(F_ProductBM!M:M,MATCH($P678,F_ProductBM!$P:$P,0))="","",INDEX(F_ProductBM!M:M,MATCH($P678,F_ProductBM!$P:$P,0))))</f>
        <v/>
      </c>
      <c r="N678" s="342"/>
      <c r="O678" s="17"/>
      <c r="P678" s="116" t="str">
        <f>EUconst_CNTR_HeatImportPulp &amp; I649</f>
        <v>HeatImPulp_</v>
      </c>
      <c r="T678" s="9"/>
    </row>
    <row r="679" spans="2:20" x14ac:dyDescent="0.25">
      <c r="B679" s="17"/>
      <c r="C679" s="17"/>
      <c r="D679" s="17"/>
      <c r="E679" s="1528" t="str">
        <f>Translations!$B$768</f>
        <v>Net heat imported from nitric acid sub-installation</v>
      </c>
      <c r="F679" s="1528"/>
      <c r="G679" s="1528"/>
      <c r="H679" s="154" t="str">
        <f>EUconst_TJpa</f>
        <v>TJ / year</v>
      </c>
      <c r="I679" s="439" t="str">
        <f>IF($I649="","",IF(INDEX(F_ProductBM!I:I,MATCH($P679,F_ProductBM!$P:$P,0))="","",INDEX(F_ProductBM!I:I,MATCH($P679,F_ProductBM!$P:$P,0))))</f>
        <v/>
      </c>
      <c r="J679" s="439" t="str">
        <f>IF($I649="","",IF(INDEX(F_ProductBM!J:J,MATCH($P679,F_ProductBM!$P:$P,0))="","",INDEX(F_ProductBM!J:J,MATCH($P679,F_ProductBM!$P:$P,0))))</f>
        <v/>
      </c>
      <c r="K679" s="439" t="str">
        <f>IF($I649="","",IF(INDEX(F_ProductBM!K:K,MATCH($P679,F_ProductBM!$P:$P,0))="","",INDEX(F_ProductBM!K:K,MATCH($P679,F_ProductBM!$P:$P,0))))</f>
        <v/>
      </c>
      <c r="L679" s="439" t="str">
        <f>IF($I649="","",IF(INDEX(F_ProductBM!L:L,MATCH($P679,F_ProductBM!$P:$P,0))="","",INDEX(F_ProductBM!L:L,MATCH($P679,F_ProductBM!$P:$P,0))))</f>
        <v/>
      </c>
      <c r="M679" s="439" t="str">
        <f>IF($I649="","",IF(INDEX(F_ProductBM!M:M,MATCH($P679,F_ProductBM!$P:$P,0))="","",INDEX(F_ProductBM!M:M,MATCH($P679,F_ProductBM!$P:$P,0))))</f>
        <v/>
      </c>
      <c r="N679" s="342"/>
      <c r="O679" s="17"/>
      <c r="P679" s="116" t="str">
        <f>EUconst_CNTR_HeatImportNitric &amp; I649</f>
        <v>HeatImNitric_</v>
      </c>
      <c r="T679" s="9"/>
    </row>
    <row r="680" spans="2:20" ht="5.0999999999999996" customHeight="1" x14ac:dyDescent="0.25">
      <c r="B680" s="17"/>
      <c r="C680" s="17"/>
      <c r="D680" s="17"/>
      <c r="E680" s="193"/>
      <c r="F680" s="193"/>
      <c r="G680" s="193"/>
      <c r="H680" s="193"/>
      <c r="I680" s="438"/>
      <c r="J680" s="438"/>
      <c r="K680" s="438"/>
      <c r="L680" s="438"/>
      <c r="M680" s="438"/>
      <c r="N680" s="342"/>
      <c r="O680" s="17"/>
      <c r="P680" s="9"/>
      <c r="T680" s="9"/>
    </row>
    <row r="681" spans="2:20" x14ac:dyDescent="0.25">
      <c r="B681" s="17"/>
      <c r="C681" s="17"/>
      <c r="D681" s="17"/>
      <c r="E681" s="1526" t="str">
        <f>Translations!$B$770</f>
        <v>Net heat exported</v>
      </c>
      <c r="F681" s="1526"/>
      <c r="G681" s="1526"/>
      <c r="H681" s="939" t="str">
        <f>EUconst_TJpa</f>
        <v>TJ / year</v>
      </c>
      <c r="I681" s="436" t="str">
        <f>IF($I649="","",IF(INDEX(F_ProductBM!I:I,MATCH($P681,F_ProductBM!$P:$P,0))="","",INDEX(F_ProductBM!I:I,MATCH($P681,F_ProductBM!$P:$P,0))))</f>
        <v/>
      </c>
      <c r="J681" s="436" t="str">
        <f>IF($I649="","",IF(INDEX(F_ProductBM!J:J,MATCH($P681,F_ProductBM!$P:$P,0))="","",INDEX(F_ProductBM!J:J,MATCH($P681,F_ProductBM!$P:$P,0))))</f>
        <v/>
      </c>
      <c r="K681" s="436" t="str">
        <f>IF($I649="","",IF(INDEX(F_ProductBM!K:K,MATCH($P681,F_ProductBM!$P:$P,0))="","",INDEX(F_ProductBM!K:K,MATCH($P681,F_ProductBM!$P:$P,0))))</f>
        <v/>
      </c>
      <c r="L681" s="436" t="str">
        <f>IF($I649="","",IF(INDEX(F_ProductBM!L:L,MATCH($P681,F_ProductBM!$P:$P,0))="","",INDEX(F_ProductBM!L:L,MATCH($P681,F_ProductBM!$P:$P,0))))</f>
        <v/>
      </c>
      <c r="M681" s="436" t="str">
        <f>IF($I649="","",IF(INDEX(F_ProductBM!M:M,MATCH($P681,F_ProductBM!$P:$P,0))="","",INDEX(F_ProductBM!M:M,MATCH($P681,F_ProductBM!$P:$P,0))))</f>
        <v/>
      </c>
      <c r="N681" s="342"/>
      <c r="O681" s="17"/>
      <c r="P681" s="116" t="str">
        <f>EUconst_CNTR_HeatExport &amp; I649</f>
        <v>HeatEx_</v>
      </c>
      <c r="T681" s="9"/>
    </row>
    <row r="682" spans="2:20" x14ac:dyDescent="0.25">
      <c r="B682" s="17"/>
      <c r="C682" s="17"/>
      <c r="D682" s="17"/>
      <c r="E682" s="1527" t="str">
        <f>Translations!$B$771</f>
        <v>Specific EF (exported heat)</v>
      </c>
      <c r="F682" s="1527"/>
      <c r="G682" s="1527"/>
      <c r="H682" s="343" t="str">
        <f>EUconst_tCO2pTJ</f>
        <v>t CO2 / TJ</v>
      </c>
      <c r="I682" s="437" t="str">
        <f>IF($I649="","",IF(INDEX(F_ProductBM!I:I,MATCH($P682,F_ProductBM!$P:$P,0))="","",INDEX(F_ProductBM!I:I,MATCH($P682,F_ProductBM!$P:$P,0))))</f>
        <v/>
      </c>
      <c r="J682" s="437" t="str">
        <f>IF($I649="","",IF(INDEX(F_ProductBM!J:J,MATCH($P682,F_ProductBM!$P:$P,0))="","",INDEX(F_ProductBM!J:J,MATCH($P682,F_ProductBM!$P:$P,0))))</f>
        <v/>
      </c>
      <c r="K682" s="437" t="str">
        <f>IF($I649="","",IF(INDEX(F_ProductBM!K:K,MATCH($P682,F_ProductBM!$P:$P,0))="","",INDEX(F_ProductBM!K:K,MATCH($P682,F_ProductBM!$P:$P,0))))</f>
        <v/>
      </c>
      <c r="L682" s="437" t="str">
        <f>IF($I649="","",IF(INDEX(F_ProductBM!L:L,MATCH($P682,F_ProductBM!$P:$P,0))="","",INDEX(F_ProductBM!L:L,MATCH($P682,F_ProductBM!$P:$P,0))))</f>
        <v/>
      </c>
      <c r="M682" s="437" t="str">
        <f>IF($I649="","",IF(INDEX(F_ProductBM!M:M,MATCH($P682,F_ProductBM!$P:$P,0))="","",INDEX(F_ProductBM!M:M,MATCH($P682,F_ProductBM!$P:$P,0))))</f>
        <v/>
      </c>
      <c r="N682" s="342"/>
      <c r="O682" s="17"/>
      <c r="P682" s="116" t="str">
        <f>EUconst_CNTR_HeatExportEF &amp; I649</f>
        <v>HeatExEF_</v>
      </c>
      <c r="T682" s="9"/>
    </row>
    <row r="683" spans="2:20" ht="5.0999999999999996" customHeight="1" x14ac:dyDescent="0.25">
      <c r="B683" s="17"/>
      <c r="C683" s="17"/>
      <c r="D683" s="17"/>
      <c r="E683" s="193"/>
      <c r="F683" s="193"/>
      <c r="G683" s="193"/>
      <c r="H683" s="193"/>
      <c r="I683" s="438"/>
      <c r="J683" s="438"/>
      <c r="K683" s="438"/>
      <c r="L683" s="438"/>
      <c r="M683" s="438"/>
      <c r="N683" s="342"/>
      <c r="O683" s="17"/>
      <c r="P683" s="9"/>
      <c r="T683" s="9"/>
    </row>
    <row r="684" spans="2:20" x14ac:dyDescent="0.25">
      <c r="B684" s="17"/>
      <c r="C684" s="17"/>
      <c r="D684" s="17"/>
      <c r="E684" s="1526" t="str">
        <f>Translations!$B$778</f>
        <v>Waste gas produced</v>
      </c>
      <c r="F684" s="1526"/>
      <c r="G684" s="1526"/>
      <c r="H684" s="939" t="str">
        <f>EUconst_TJpa</f>
        <v>TJ / year</v>
      </c>
      <c r="I684" s="436" t="str">
        <f>IF($I649="","",IF(INDEX(F_ProductBM!I:I,MATCH($P684,F_ProductBM!$P:$P,0))="","",INDEX(F_ProductBM!I:I,MATCH($P684,F_ProductBM!$P:$P,0))))</f>
        <v/>
      </c>
      <c r="J684" s="436" t="str">
        <f>IF($I649="","",IF(INDEX(F_ProductBM!J:J,MATCH($P684,F_ProductBM!$P:$P,0))="","",INDEX(F_ProductBM!J:J,MATCH($P684,F_ProductBM!$P:$P,0))))</f>
        <v/>
      </c>
      <c r="K684" s="436" t="str">
        <f>IF($I649="","",IF(INDEX(F_ProductBM!K:K,MATCH($P684,F_ProductBM!$P:$P,0))="","",INDEX(F_ProductBM!K:K,MATCH($P684,F_ProductBM!$P:$P,0))))</f>
        <v/>
      </c>
      <c r="L684" s="436" t="str">
        <f>IF($I649="","",IF(INDEX(F_ProductBM!L:L,MATCH($P684,F_ProductBM!$P:$P,0))="","",INDEX(F_ProductBM!L:L,MATCH($P684,F_ProductBM!$P:$P,0))))</f>
        <v/>
      </c>
      <c r="M684" s="436" t="str">
        <f>IF($I649="","",IF(INDEX(F_ProductBM!M:M,MATCH($P684,F_ProductBM!$P:$P,0))="","",INDEX(F_ProductBM!M:M,MATCH($P684,F_ProductBM!$P:$P,0))))</f>
        <v/>
      </c>
      <c r="N684" s="342"/>
      <c r="O684" s="17"/>
      <c r="P684" s="341" t="str">
        <f>EUconst_CNTR_WGProduced &amp; I649</f>
        <v>WasteGasProd_</v>
      </c>
      <c r="T684" s="9"/>
    </row>
    <row r="685" spans="2:20" x14ac:dyDescent="0.25">
      <c r="B685" s="17"/>
      <c r="C685" s="17"/>
      <c r="D685" s="17"/>
      <c r="E685" s="1527" t="str">
        <f>Translations!$B$779</f>
        <v>Specific EF (produced waste gas)</v>
      </c>
      <c r="F685" s="1527"/>
      <c r="G685" s="1527"/>
      <c r="H685" s="343" t="str">
        <f>EUconst_tCO2pTJ</f>
        <v>t CO2 / TJ</v>
      </c>
      <c r="I685" s="437" t="str">
        <f>IF($I649="","",IF(INDEX(F_ProductBM!I:I,MATCH($P685,F_ProductBM!$P:$P,0))="","",INDEX(F_ProductBM!I:I,MATCH($P685,F_ProductBM!$P:$P,0))))</f>
        <v/>
      </c>
      <c r="J685" s="437" t="str">
        <f>IF($I649="","",IF(INDEX(F_ProductBM!J:J,MATCH($P685,F_ProductBM!$P:$P,0))="","",INDEX(F_ProductBM!J:J,MATCH($P685,F_ProductBM!$P:$P,0))))</f>
        <v/>
      </c>
      <c r="K685" s="437" t="str">
        <f>IF($I649="","",IF(INDEX(F_ProductBM!K:K,MATCH($P685,F_ProductBM!$P:$P,0))="","",INDEX(F_ProductBM!K:K,MATCH($P685,F_ProductBM!$P:$P,0))))</f>
        <v/>
      </c>
      <c r="L685" s="437" t="str">
        <f>IF($I649="","",IF(INDEX(F_ProductBM!L:L,MATCH($P685,F_ProductBM!$P:$P,0))="","",INDEX(F_ProductBM!L:L,MATCH($P685,F_ProductBM!$P:$P,0))))</f>
        <v/>
      </c>
      <c r="M685" s="437" t="str">
        <f>IF($I649="","",IF(INDEX(F_ProductBM!M:M,MATCH($P685,F_ProductBM!$P:$P,0))="","",INDEX(F_ProductBM!M:M,MATCH($P685,F_ProductBM!$P:$P,0))))</f>
        <v/>
      </c>
      <c r="N685" s="342"/>
      <c r="O685" s="17"/>
      <c r="P685" s="116" t="str">
        <f>EUconst_CNTR_WGProducedEF &amp; I649</f>
        <v>WasteGasProdEF_</v>
      </c>
      <c r="T685" s="9"/>
    </row>
    <row r="686" spans="2:20" x14ac:dyDescent="0.25">
      <c r="B686" s="17"/>
      <c r="C686" s="17"/>
      <c r="D686" s="17"/>
      <c r="E686" s="1526" t="str">
        <f>Translations!$B$783</f>
        <v>Waste gas consumed</v>
      </c>
      <c r="F686" s="1526"/>
      <c r="G686" s="1526"/>
      <c r="H686" s="939" t="str">
        <f>EUconst_TJpa</f>
        <v>TJ / year</v>
      </c>
      <c r="I686" s="436" t="str">
        <f>IF($I649="","",IF(INDEX(F_ProductBM!I:I,MATCH($P686,F_ProductBM!$P:$P,0))="","",INDEX(F_ProductBM!I:I,MATCH($P686,F_ProductBM!$P:$P,0))))</f>
        <v/>
      </c>
      <c r="J686" s="436" t="str">
        <f>IF($I649="","",IF(INDEX(F_ProductBM!J:J,MATCH($P686,F_ProductBM!$P:$P,0))="","",INDEX(F_ProductBM!J:J,MATCH($P686,F_ProductBM!$P:$P,0))))</f>
        <v/>
      </c>
      <c r="K686" s="436" t="str">
        <f>IF($I649="","",IF(INDEX(F_ProductBM!K:K,MATCH($P686,F_ProductBM!$P:$P,0))="","",INDEX(F_ProductBM!K:K,MATCH($P686,F_ProductBM!$P:$P,0))))</f>
        <v/>
      </c>
      <c r="L686" s="436" t="str">
        <f>IF($I649="","",IF(INDEX(F_ProductBM!L:L,MATCH($P686,F_ProductBM!$P:$P,0))="","",INDEX(F_ProductBM!L:L,MATCH($P686,F_ProductBM!$P:$P,0))))</f>
        <v/>
      </c>
      <c r="M686" s="436" t="str">
        <f>IF($I649="","",IF(INDEX(F_ProductBM!M:M,MATCH($P686,F_ProductBM!$P:$P,0))="","",INDEX(F_ProductBM!M:M,MATCH($P686,F_ProductBM!$P:$P,0))))</f>
        <v/>
      </c>
      <c r="N686" s="342"/>
      <c r="O686" s="17"/>
      <c r="P686" s="116" t="str">
        <f>EUconst_CNTR_WGConsumed &amp; I649</f>
        <v>WasteGasCons_</v>
      </c>
      <c r="T686" s="9"/>
    </row>
    <row r="687" spans="2:20" x14ac:dyDescent="0.25">
      <c r="B687" s="17"/>
      <c r="C687" s="17"/>
      <c r="D687" s="17"/>
      <c r="E687" s="1527" t="str">
        <f>Translations!$B$784</f>
        <v>Specific EF (consumed waste gas)</v>
      </c>
      <c r="F687" s="1527"/>
      <c r="G687" s="1527"/>
      <c r="H687" s="343" t="str">
        <f>EUconst_tCO2pTJ</f>
        <v>t CO2 / TJ</v>
      </c>
      <c r="I687" s="437" t="str">
        <f>IF($I649="","",IF(INDEX(F_ProductBM!I:I,MATCH($P687,F_ProductBM!$P:$P,0))="","",INDEX(F_ProductBM!I:I,MATCH($P687,F_ProductBM!$P:$P,0))))</f>
        <v/>
      </c>
      <c r="J687" s="437" t="str">
        <f>IF($I649="","",IF(INDEX(F_ProductBM!J:J,MATCH($P687,F_ProductBM!$P:$P,0))="","",INDEX(F_ProductBM!J:J,MATCH($P687,F_ProductBM!$P:$P,0))))</f>
        <v/>
      </c>
      <c r="K687" s="437" t="str">
        <f>IF($I649="","",IF(INDEX(F_ProductBM!K:K,MATCH($P687,F_ProductBM!$P:$P,0))="","",INDEX(F_ProductBM!K:K,MATCH($P687,F_ProductBM!$P:$P,0))))</f>
        <v/>
      </c>
      <c r="L687" s="437" t="str">
        <f>IF($I649="","",IF(INDEX(F_ProductBM!L:L,MATCH($P687,F_ProductBM!$P:$P,0))="","",INDEX(F_ProductBM!L:L,MATCH($P687,F_ProductBM!$P:$P,0))))</f>
        <v/>
      </c>
      <c r="M687" s="437" t="str">
        <f>IF($I649="","",IF(INDEX(F_ProductBM!M:M,MATCH($P687,F_ProductBM!$P:$P,0))="","",INDEX(F_ProductBM!M:M,MATCH($P687,F_ProductBM!$P:$P,0))))</f>
        <v/>
      </c>
      <c r="N687" s="342"/>
      <c r="O687" s="17"/>
      <c r="P687" s="116" t="str">
        <f>EUconst_CNTR_WGConsumedEF &amp; I649</f>
        <v>WasteGasConsEF_</v>
      </c>
      <c r="T687" s="9"/>
    </row>
    <row r="688" spans="2:20" x14ac:dyDescent="0.25">
      <c r="B688" s="17"/>
      <c r="C688" s="17"/>
      <c r="D688" s="17"/>
      <c r="E688" s="1526" t="str">
        <f>Translations!$B$790</f>
        <v>Waste gas flared</v>
      </c>
      <c r="F688" s="1526"/>
      <c r="G688" s="1526"/>
      <c r="H688" s="939" t="str">
        <f>EUconst_TJpa</f>
        <v>TJ / year</v>
      </c>
      <c r="I688" s="436" t="str">
        <f>IF($I649="","",IF(INDEX(F_ProductBM!I:I,MATCH($P688,F_ProductBM!$P:$P,0))="","",INDEX(F_ProductBM!I:I,MATCH($P688,F_ProductBM!$P:$P,0))))</f>
        <v/>
      </c>
      <c r="J688" s="436" t="str">
        <f>IF($I649="","",IF(INDEX(F_ProductBM!J:J,MATCH($P688,F_ProductBM!$P:$P,0))="","",INDEX(F_ProductBM!J:J,MATCH($P688,F_ProductBM!$P:$P,0))))</f>
        <v/>
      </c>
      <c r="K688" s="436" t="str">
        <f>IF($I649="","",IF(INDEX(F_ProductBM!K:K,MATCH($P688,F_ProductBM!$P:$P,0))="","",INDEX(F_ProductBM!K:K,MATCH($P688,F_ProductBM!$P:$P,0))))</f>
        <v/>
      </c>
      <c r="L688" s="436" t="str">
        <f>IF($I649="","",IF(INDEX(F_ProductBM!L:L,MATCH($P688,F_ProductBM!$P:$P,0))="","",INDEX(F_ProductBM!L:L,MATCH($P688,F_ProductBM!$P:$P,0))))</f>
        <v/>
      </c>
      <c r="M688" s="436" t="str">
        <f>IF($I649="","",IF(INDEX(F_ProductBM!M:M,MATCH($P688,F_ProductBM!$P:$P,0))="","",INDEX(F_ProductBM!M:M,MATCH($P688,F_ProductBM!$P:$P,0))))</f>
        <v/>
      </c>
      <c r="N688" s="342"/>
      <c r="O688" s="17"/>
      <c r="P688" s="116" t="str">
        <f>EUconst_CNTR_WGFlared &amp; I649</f>
        <v>WasteGasFlare_</v>
      </c>
      <c r="T688" s="9"/>
    </row>
    <row r="689" spans="2:20" x14ac:dyDescent="0.25">
      <c r="B689" s="17"/>
      <c r="C689" s="17"/>
      <c r="D689" s="17"/>
      <c r="E689" s="1527" t="str">
        <f>Translations!$B$791</f>
        <v>Specific EF (flared waste gas)</v>
      </c>
      <c r="F689" s="1527"/>
      <c r="G689" s="1527"/>
      <c r="H689" s="343" t="str">
        <f>EUconst_tCO2pTJ</f>
        <v>t CO2 / TJ</v>
      </c>
      <c r="I689" s="437" t="str">
        <f>IF($I649="","",IF(INDEX(F_ProductBM!I:I,MATCH($P689,F_ProductBM!$P:$P,0))="","",INDEX(F_ProductBM!I:I,MATCH($P689,F_ProductBM!$P:$P,0))))</f>
        <v/>
      </c>
      <c r="J689" s="437" t="str">
        <f>IF($I649="","",IF(INDEX(F_ProductBM!J:J,MATCH($P689,F_ProductBM!$P:$P,0))="","",INDEX(F_ProductBM!J:J,MATCH($P689,F_ProductBM!$P:$P,0))))</f>
        <v/>
      </c>
      <c r="K689" s="437" t="str">
        <f>IF($I649="","",IF(INDEX(F_ProductBM!K:K,MATCH($P689,F_ProductBM!$P:$P,0))="","",INDEX(F_ProductBM!K:K,MATCH($P689,F_ProductBM!$P:$P,0))))</f>
        <v/>
      </c>
      <c r="L689" s="437" t="str">
        <f>IF($I649="","",IF(INDEX(F_ProductBM!L:L,MATCH($P689,F_ProductBM!$P:$P,0))="","",INDEX(F_ProductBM!L:L,MATCH($P689,F_ProductBM!$P:$P,0))))</f>
        <v/>
      </c>
      <c r="M689" s="437" t="str">
        <f>IF($I649="","",IF(INDEX(F_ProductBM!M:M,MATCH($P689,F_ProductBM!$P:$P,0))="","",INDEX(F_ProductBM!M:M,MATCH($P689,F_ProductBM!$P:$P,0))))</f>
        <v/>
      </c>
      <c r="N689" s="342"/>
      <c r="O689" s="17"/>
      <c r="P689" s="116" t="str">
        <f>EUconst_CNTR_WGFlaredEF &amp; I649</f>
        <v>WasteGasFlareEF_</v>
      </c>
      <c r="T689" s="9"/>
    </row>
    <row r="690" spans="2:20" x14ac:dyDescent="0.25">
      <c r="B690" s="17"/>
      <c r="C690" s="17"/>
      <c r="D690" s="17"/>
      <c r="E690" s="1526" t="str">
        <f>Translations!$B$796</f>
        <v>Waste gas imported</v>
      </c>
      <c r="F690" s="1526"/>
      <c r="G690" s="1526"/>
      <c r="H690" s="939" t="str">
        <f>EUconst_TJpa</f>
        <v>TJ / year</v>
      </c>
      <c r="I690" s="436" t="str">
        <f>IF($I649="","",IF(INDEX(F_ProductBM!I:I,MATCH($P690,F_ProductBM!$P:$P,0))="","",INDEX(F_ProductBM!I:I,MATCH($P690,F_ProductBM!$P:$P,0))))</f>
        <v/>
      </c>
      <c r="J690" s="436" t="str">
        <f>IF($I649="","",IF(INDEX(F_ProductBM!J:J,MATCH($P690,F_ProductBM!$P:$P,0))="","",INDEX(F_ProductBM!J:J,MATCH($P690,F_ProductBM!$P:$P,0))))</f>
        <v/>
      </c>
      <c r="K690" s="436" t="str">
        <f>IF($I649="","",IF(INDEX(F_ProductBM!K:K,MATCH($P690,F_ProductBM!$P:$P,0))="","",INDEX(F_ProductBM!K:K,MATCH($P690,F_ProductBM!$P:$P,0))))</f>
        <v/>
      </c>
      <c r="L690" s="436" t="str">
        <f>IF($I649="","",IF(INDEX(F_ProductBM!L:L,MATCH($P690,F_ProductBM!$P:$P,0))="","",INDEX(F_ProductBM!L:L,MATCH($P690,F_ProductBM!$P:$P,0))))</f>
        <v/>
      </c>
      <c r="M690" s="436" t="str">
        <f>IF($I649="","",IF(INDEX(F_ProductBM!M:M,MATCH($P690,F_ProductBM!$P:$P,0))="","",INDEX(F_ProductBM!M:M,MATCH($P690,F_ProductBM!$P:$P,0))))</f>
        <v/>
      </c>
      <c r="N690" s="342"/>
      <c r="O690" s="17"/>
      <c r="P690" s="116" t="str">
        <f>EUconst_CNTR_WGImport &amp; I649</f>
        <v>WasteGasIm_</v>
      </c>
      <c r="T690" s="9"/>
    </row>
    <row r="691" spans="2:20" x14ac:dyDescent="0.25">
      <c r="B691" s="17"/>
      <c r="C691" s="17"/>
      <c r="D691" s="17"/>
      <c r="E691" s="1527" t="str">
        <f>Translations!$B$797</f>
        <v>Specific EF (imported waste gas)</v>
      </c>
      <c r="F691" s="1527"/>
      <c r="G691" s="1527"/>
      <c r="H691" s="343" t="str">
        <f>EUconst_tCO2pTJ</f>
        <v>t CO2 / TJ</v>
      </c>
      <c r="I691" s="437" t="str">
        <f>IF($I649="","",IF(INDEX(F_ProductBM!I:I,MATCH($P691,F_ProductBM!$P:$P,0))="","",INDEX(F_ProductBM!I:I,MATCH($P691,F_ProductBM!$P:$P,0))))</f>
        <v/>
      </c>
      <c r="J691" s="437" t="str">
        <f>IF($I649="","",IF(INDEX(F_ProductBM!J:J,MATCH($P691,F_ProductBM!$P:$P,0))="","",INDEX(F_ProductBM!J:J,MATCH($P691,F_ProductBM!$P:$P,0))))</f>
        <v/>
      </c>
      <c r="K691" s="437" t="str">
        <f>IF($I649="","",IF(INDEX(F_ProductBM!K:K,MATCH($P691,F_ProductBM!$P:$P,0))="","",INDEX(F_ProductBM!K:K,MATCH($P691,F_ProductBM!$P:$P,0))))</f>
        <v/>
      </c>
      <c r="L691" s="437" t="str">
        <f>IF($I649="","",IF(INDEX(F_ProductBM!L:L,MATCH($P691,F_ProductBM!$P:$P,0))="","",INDEX(F_ProductBM!L:L,MATCH($P691,F_ProductBM!$P:$P,0))))</f>
        <v/>
      </c>
      <c r="M691" s="437" t="str">
        <f>IF($I649="","",IF(INDEX(F_ProductBM!M:M,MATCH($P691,F_ProductBM!$P:$P,0))="","",INDEX(F_ProductBM!M:M,MATCH($P691,F_ProductBM!$P:$P,0))))</f>
        <v/>
      </c>
      <c r="N691" s="342"/>
      <c r="O691" s="17"/>
      <c r="P691" s="116" t="str">
        <f>EUconst_CNTR_WGImportEF &amp; I649</f>
        <v>WasteGasImEF_</v>
      </c>
      <c r="T691" s="9"/>
    </row>
    <row r="692" spans="2:20" x14ac:dyDescent="0.25">
      <c r="B692" s="17"/>
      <c r="C692" s="17"/>
      <c r="D692" s="17"/>
      <c r="E692" s="1526" t="str">
        <f>Translations!$B$801</f>
        <v>Waste gas exported</v>
      </c>
      <c r="F692" s="1526"/>
      <c r="G692" s="1526"/>
      <c r="H692" s="939" t="str">
        <f>EUconst_TJpa</f>
        <v>TJ / year</v>
      </c>
      <c r="I692" s="436" t="str">
        <f>IF($I649="","",IF(INDEX(F_ProductBM!I:I,MATCH($P692,F_ProductBM!$P:$P,0))="","",INDEX(F_ProductBM!I:I,MATCH($P692,F_ProductBM!$P:$P,0))))</f>
        <v/>
      </c>
      <c r="J692" s="436" t="str">
        <f>IF($I649="","",IF(INDEX(F_ProductBM!J:J,MATCH($P692,F_ProductBM!$P:$P,0))="","",INDEX(F_ProductBM!J:J,MATCH($P692,F_ProductBM!$P:$P,0))))</f>
        <v/>
      </c>
      <c r="K692" s="436" t="str">
        <f>IF($I649="","",IF(INDEX(F_ProductBM!K:K,MATCH($P692,F_ProductBM!$P:$P,0))="","",INDEX(F_ProductBM!K:K,MATCH($P692,F_ProductBM!$P:$P,0))))</f>
        <v/>
      </c>
      <c r="L692" s="436" t="str">
        <f>IF($I649="","",IF(INDEX(F_ProductBM!L:L,MATCH($P692,F_ProductBM!$P:$P,0))="","",INDEX(F_ProductBM!L:L,MATCH($P692,F_ProductBM!$P:$P,0))))</f>
        <v/>
      </c>
      <c r="M692" s="436" t="str">
        <f>IF($I649="","",IF(INDEX(F_ProductBM!M:M,MATCH($P692,F_ProductBM!$P:$P,0))="","",INDEX(F_ProductBM!M:M,MATCH($P692,F_ProductBM!$P:$P,0))))</f>
        <v/>
      </c>
      <c r="N692" s="342"/>
      <c r="O692" s="17"/>
      <c r="P692" s="116" t="str">
        <f>EUconst_CNTR_WGExport &amp; I649</f>
        <v>WasteGasEx_</v>
      </c>
      <c r="T692" s="9"/>
    </row>
    <row r="693" spans="2:20" x14ac:dyDescent="0.25">
      <c r="B693" s="17"/>
      <c r="C693" s="17"/>
      <c r="D693" s="17"/>
      <c r="E693" s="1527" t="str">
        <f>Translations!$B$802</f>
        <v>Specific EF (exported waste gas)</v>
      </c>
      <c r="F693" s="1527"/>
      <c r="G693" s="1527"/>
      <c r="H693" s="343" t="str">
        <f>EUconst_tCO2pTJ</f>
        <v>t CO2 / TJ</v>
      </c>
      <c r="I693" s="437" t="str">
        <f>IF($I649="","",IF(INDEX(F_ProductBM!I:I,MATCH($P693,F_ProductBM!$P:$P,0))="","",INDEX(F_ProductBM!I:I,MATCH($P693,F_ProductBM!$P:$P,0))))</f>
        <v/>
      </c>
      <c r="J693" s="437" t="str">
        <f>IF($I649="","",IF(INDEX(F_ProductBM!J:J,MATCH($P693,F_ProductBM!$P:$P,0))="","",INDEX(F_ProductBM!J:J,MATCH($P693,F_ProductBM!$P:$P,0))))</f>
        <v/>
      </c>
      <c r="K693" s="437" t="str">
        <f>IF($I649="","",IF(INDEX(F_ProductBM!K:K,MATCH($P693,F_ProductBM!$P:$P,0))="","",INDEX(F_ProductBM!K:K,MATCH($P693,F_ProductBM!$P:$P,0))))</f>
        <v/>
      </c>
      <c r="L693" s="437" t="str">
        <f>IF($I649="","",IF(INDEX(F_ProductBM!L:L,MATCH($P693,F_ProductBM!$P:$P,0))="","",INDEX(F_ProductBM!L:L,MATCH($P693,F_ProductBM!$P:$P,0))))</f>
        <v/>
      </c>
      <c r="M693" s="437" t="str">
        <f>IF($I649="","",IF(INDEX(F_ProductBM!M:M,MATCH($P693,F_ProductBM!$P:$P,0))="","",INDEX(F_ProductBM!M:M,MATCH($P693,F_ProductBM!$P:$P,0))))</f>
        <v/>
      </c>
      <c r="N693" s="342"/>
      <c r="O693" s="17"/>
      <c r="P693" s="116" t="str">
        <f>EUconst_CNTR_WGExportEF &amp; I649</f>
        <v>WasteGasExEF_</v>
      </c>
      <c r="T693" s="9"/>
    </row>
    <row r="694" spans="2:20" ht="5.0999999999999996" customHeight="1" x14ac:dyDescent="0.25">
      <c r="B694" s="17"/>
      <c r="C694" s="17"/>
      <c r="D694" s="17"/>
      <c r="E694" s="193"/>
      <c r="F694" s="193"/>
      <c r="G694" s="193"/>
      <c r="H694" s="193"/>
      <c r="I694" s="438"/>
      <c r="J694" s="438"/>
      <c r="K694" s="438"/>
      <c r="L694" s="438"/>
      <c r="M694" s="438"/>
      <c r="N694" s="342"/>
      <c r="O694" s="17"/>
      <c r="P694" s="9"/>
      <c r="T694" s="9"/>
    </row>
    <row r="695" spans="2:20" x14ac:dyDescent="0.25">
      <c r="B695" s="17"/>
      <c r="C695" s="17"/>
      <c r="D695" s="17"/>
      <c r="E695" s="1528" t="str">
        <f>Translations!$B$689</f>
        <v>Relevant electricity consumption</v>
      </c>
      <c r="F695" s="1528"/>
      <c r="G695" s="1528"/>
      <c r="H695" s="154" t="str">
        <f>EUconst_MWhpa</f>
        <v>MWh / year</v>
      </c>
      <c r="I695" s="439" t="str">
        <f>IF($I649="","",IF(INDEX(F_ProductBM!I:I,MATCH($P695,F_ProductBM!$Q:$Q,0))="","",INDEX(F_ProductBM!I:I,MATCH($P695,F_ProductBM!$Q:$Q,0))))</f>
        <v/>
      </c>
      <c r="J695" s="439" t="str">
        <f>IF($I649="","",IF(INDEX(F_ProductBM!J:J,MATCH($P695,F_ProductBM!$Q:$Q,0))="","",INDEX(F_ProductBM!J:J,MATCH($P695,F_ProductBM!$Q:$Q,0))))</f>
        <v/>
      </c>
      <c r="K695" s="439" t="str">
        <f>IF($I649="","",IF(INDEX(F_ProductBM!K:K,MATCH($P695,F_ProductBM!$Q:$Q,0))="","",INDEX(F_ProductBM!K:K,MATCH($P695,F_ProductBM!$Q:$Q,0))))</f>
        <v/>
      </c>
      <c r="L695" s="439" t="str">
        <f>IF($I649="","",IF(INDEX(F_ProductBM!L:L,MATCH($P695,F_ProductBM!$Q:$Q,0))="","",INDEX(F_ProductBM!L:L,MATCH($P695,F_ProductBM!$Q:$Q,0))))</f>
        <v/>
      </c>
      <c r="M695" s="439" t="str">
        <f>IF($I649="","",IF(INDEX(F_ProductBM!M:M,MATCH($P695,F_ProductBM!$Q:$Q,0))="","",INDEX(F_ProductBM!M:M,MATCH($P695,F_ProductBM!$Q:$Q,0))))</f>
        <v/>
      </c>
      <c r="N695" s="342"/>
      <c r="O695" s="17"/>
      <c r="P695" s="63" t="str">
        <f>EUconst_CNTR_HAL&amp;EUconst_CNTR_ELEXCH &amp; I649</f>
        <v>HAL_ELEXCH_</v>
      </c>
      <c r="T695" s="9"/>
    </row>
    <row r="696" spans="2:20" x14ac:dyDescent="0.25">
      <c r="B696" s="17"/>
      <c r="C696" s="17"/>
      <c r="D696" s="17"/>
      <c r="E696" s="1528" t="str">
        <f>Translations!$B$805</f>
        <v>Electricity produced</v>
      </c>
      <c r="F696" s="1528"/>
      <c r="G696" s="1528"/>
      <c r="H696" s="154" t="str">
        <f>EUconst_MWhpa</f>
        <v>MWh / year</v>
      </c>
      <c r="I696" s="439" t="str">
        <f>IF($I649="","",IF(INDEX(F_ProductBM!I:I,MATCH($P696,F_ProductBM!$P:$P,0))="","",INDEX(F_ProductBM!I:I,MATCH($P696,F_ProductBM!$P:$P,0))))</f>
        <v/>
      </c>
      <c r="J696" s="439" t="str">
        <f>IF($I649="","",IF(INDEX(F_ProductBM!J:J,MATCH($P696,F_ProductBM!$P:$P,0))="","",INDEX(F_ProductBM!J:J,MATCH($P696,F_ProductBM!$P:$P,0))))</f>
        <v/>
      </c>
      <c r="K696" s="439" t="str">
        <f>IF($I649="","",IF(INDEX(F_ProductBM!K:K,MATCH($P696,F_ProductBM!$P:$P,0))="","",INDEX(F_ProductBM!K:K,MATCH($P696,F_ProductBM!$P:$P,0))))</f>
        <v/>
      </c>
      <c r="L696" s="439" t="str">
        <f>IF($I649="","",IF(INDEX(F_ProductBM!L:L,MATCH($P696,F_ProductBM!$P:$P,0))="","",INDEX(F_ProductBM!L:L,MATCH($P696,F_ProductBM!$P:$P,0))))</f>
        <v/>
      </c>
      <c r="M696" s="439" t="str">
        <f>IF($I649="","",IF(INDEX(F_ProductBM!M:M,MATCH($P696,F_ProductBM!$P:$P,0))="","",INDEX(F_ProductBM!M:M,MATCH($P696,F_ProductBM!$P:$P,0))))</f>
        <v/>
      </c>
      <c r="N696" s="342"/>
      <c r="O696" s="17"/>
      <c r="P696" s="116" t="str">
        <f>EUconst_CNTR_ElectricityExported &amp; I649</f>
        <v>ElecEx_</v>
      </c>
      <c r="T696" s="9"/>
    </row>
    <row r="697" spans="2:20" ht="5.0999999999999996" customHeight="1" x14ac:dyDescent="0.25">
      <c r="B697" s="17"/>
      <c r="C697" s="17"/>
      <c r="D697" s="17"/>
      <c r="E697" s="193"/>
      <c r="F697" s="193"/>
      <c r="G697" s="193"/>
      <c r="H697" s="193"/>
      <c r="I697" s="438"/>
      <c r="J697" s="438"/>
      <c r="K697" s="438"/>
      <c r="L697" s="438"/>
      <c r="M697" s="438"/>
      <c r="N697" s="342"/>
      <c r="O697" s="17"/>
      <c r="P697" s="9"/>
      <c r="T697" s="9"/>
    </row>
    <row r="698" spans="2:20" x14ac:dyDescent="0.25">
      <c r="B698" s="17"/>
      <c r="C698" s="17"/>
      <c r="D698" s="17"/>
      <c r="E698" s="1528" t="str">
        <f>Translations!$B$806</f>
        <v>Total amount of pulp produced</v>
      </c>
      <c r="F698" s="1528"/>
      <c r="G698" s="1528"/>
      <c r="H698" s="154" t="str">
        <f>EUconst_Tons</f>
        <v>tonnes</v>
      </c>
      <c r="I698" s="439" t="str">
        <f>IF($I649="","",IF(INDEX(F_ProductBM!I:I,MATCH($P698,F_ProductBM!$P:$P,0))="","",INDEX(F_ProductBM!I:I,MATCH($P698,F_ProductBM!$P:$P,0))))</f>
        <v/>
      </c>
      <c r="J698" s="439" t="str">
        <f>IF($I649="","",IF(INDEX(F_ProductBM!J:J,MATCH($P698,F_ProductBM!$P:$P,0))="","",INDEX(F_ProductBM!J:J,MATCH($P698,F_ProductBM!$P:$P,0))))</f>
        <v/>
      </c>
      <c r="K698" s="439" t="str">
        <f>IF($I649="","",IF(INDEX(F_ProductBM!K:K,MATCH($P698,F_ProductBM!$P:$P,0))="","",INDEX(F_ProductBM!K:K,MATCH($P698,F_ProductBM!$P:$P,0))))</f>
        <v/>
      </c>
      <c r="L698" s="439" t="str">
        <f>IF($I649="","",IF(INDEX(F_ProductBM!L:L,MATCH($P698,F_ProductBM!$P:$P,0))="","",INDEX(F_ProductBM!L:L,MATCH($P698,F_ProductBM!$P:$P,0))))</f>
        <v/>
      </c>
      <c r="M698" s="439" t="str">
        <f>IF($I649="","",IF(INDEX(F_ProductBM!M:M,MATCH($P698,F_ProductBM!$P:$P,0))="","",INDEX(F_ProductBM!M:M,MATCH($P698,F_ProductBM!$P:$P,0))))</f>
        <v/>
      </c>
      <c r="N698" s="342"/>
      <c r="O698" s="17"/>
      <c r="P698" s="116" t="str">
        <f>EUconst_CNTR_HALPulpTotal &amp; I649</f>
        <v>HALPulpTotal_</v>
      </c>
      <c r="T698" s="9"/>
    </row>
    <row r="699" spans="2:20" ht="5.0999999999999996" customHeight="1" x14ac:dyDescent="0.25">
      <c r="B699" s="17"/>
      <c r="C699" s="17"/>
      <c r="D699" s="17"/>
      <c r="E699" s="193"/>
      <c r="F699" s="193"/>
      <c r="G699" s="193"/>
      <c r="H699" s="193"/>
      <c r="I699" s="438"/>
      <c r="J699" s="438"/>
      <c r="K699" s="438"/>
      <c r="L699" s="438"/>
      <c r="M699" s="438"/>
      <c r="N699" s="342"/>
      <c r="O699" s="17"/>
      <c r="P699" s="9"/>
      <c r="T699" s="9"/>
    </row>
    <row r="700" spans="2:20" x14ac:dyDescent="0.25">
      <c r="B700" s="17"/>
      <c r="C700" s="17"/>
      <c r="D700" s="17"/>
      <c r="E700" s="605" t="str">
        <f>Translations!$B$1239</f>
        <v>Intermediate import:</v>
      </c>
      <c r="F700" s="193"/>
      <c r="G700" s="193"/>
      <c r="H700" s="193"/>
      <c r="I700" s="438"/>
      <c r="J700" s="438"/>
      <c r="K700" s="438"/>
      <c r="L700" s="438"/>
      <c r="M700" s="438"/>
      <c r="N700" s="342"/>
      <c r="O700" s="17"/>
      <c r="P700" s="9"/>
      <c r="T700" s="9"/>
    </row>
    <row r="701" spans="2:20" x14ac:dyDescent="0.25">
      <c r="B701" s="17"/>
      <c r="C701" s="17"/>
      <c r="D701" s="17"/>
      <c r="E701" s="1510" t="str">
        <f>IF($I649="","",IF(INDEX(F_ProductBM!E:E,MATCH($P701,F_ProductBM!$P:$P,0))="","",INDEX(F_ProductBM!E:E,MATCH($P701,F_ProductBM!$P:$P,0))))</f>
        <v/>
      </c>
      <c r="F701" s="1510"/>
      <c r="G701" s="1510"/>
      <c r="H701" s="154" t="str">
        <f>EUconst_Tons</f>
        <v>tonnes</v>
      </c>
      <c r="I701" s="439" t="str">
        <f>IF($I649="","",IF(INDEX(F_ProductBM!I:I,MATCH($P701,F_ProductBM!$P:$P,0))="","",INDEX(F_ProductBM!I:I,MATCH($P701,F_ProductBM!$P:$P,0))))</f>
        <v/>
      </c>
      <c r="J701" s="439" t="str">
        <f>IF($I649="","",IF(INDEX(F_ProductBM!J:J,MATCH($P701,F_ProductBM!$P:$P,0))="","",INDEX(F_ProductBM!J:J,MATCH($P701,F_ProductBM!$P:$P,0))))</f>
        <v/>
      </c>
      <c r="K701" s="439" t="str">
        <f>IF($I649="","",IF(INDEX(F_ProductBM!K:K,MATCH($P701,F_ProductBM!$P:$P,0))="","",INDEX(F_ProductBM!K:K,MATCH($P701,F_ProductBM!$P:$P,0))))</f>
        <v/>
      </c>
      <c r="L701" s="439" t="str">
        <f>IF($I649="","",IF(INDEX(F_ProductBM!L:L,MATCH($P701,F_ProductBM!$P:$P,0))="","",INDEX(F_ProductBM!L:L,MATCH($P701,F_ProductBM!$P:$P,0))))</f>
        <v/>
      </c>
      <c r="M701" s="439" t="str">
        <f>IF($I649="","",IF(INDEX(F_ProductBM!M:M,MATCH($P701,F_ProductBM!$P:$P,0))="","",INDEX(F_ProductBM!M:M,MATCH($P701,F_ProductBM!$P:$P,0))))</f>
        <v/>
      </c>
      <c r="N701" s="342"/>
      <c r="O701" s="17"/>
      <c r="P701" s="116" t="str">
        <f>EUconst_CNTR_IntermediateImport &amp; R701 &amp; "_" &amp; I649</f>
        <v>IntImp_1_</v>
      </c>
      <c r="R701" s="372">
        <v>1</v>
      </c>
      <c r="T701" s="9"/>
    </row>
    <row r="702" spans="2:20" x14ac:dyDescent="0.25">
      <c r="B702" s="17"/>
      <c r="C702" s="17"/>
      <c r="D702" s="17"/>
      <c r="E702" s="1510" t="str">
        <f>IF($I649="","",IF(INDEX(F_ProductBM!E:E,MATCH($P702,F_ProductBM!$P:$P,0))="","",INDEX(F_ProductBM!E:E,MATCH($P702,F_ProductBM!$P:$P,0))))</f>
        <v/>
      </c>
      <c r="F702" s="1510"/>
      <c r="G702" s="1510"/>
      <c r="H702" s="154" t="str">
        <f>EUconst_Tons</f>
        <v>tonnes</v>
      </c>
      <c r="I702" s="439" t="str">
        <f>IF($I649="","",IF(INDEX(F_ProductBM!I:I,MATCH($P702,F_ProductBM!$P:$P,0))="","",INDEX(F_ProductBM!I:I,MATCH($P702,F_ProductBM!$P:$P,0))))</f>
        <v/>
      </c>
      <c r="J702" s="439" t="str">
        <f>IF($I649="","",IF(INDEX(F_ProductBM!J:J,MATCH($P702,F_ProductBM!$P:$P,0))="","",INDEX(F_ProductBM!J:J,MATCH($P702,F_ProductBM!$P:$P,0))))</f>
        <v/>
      </c>
      <c r="K702" s="439" t="str">
        <f>IF($I649="","",IF(INDEX(F_ProductBM!K:K,MATCH($P702,F_ProductBM!$P:$P,0))="","",INDEX(F_ProductBM!K:K,MATCH($P702,F_ProductBM!$P:$P,0))))</f>
        <v/>
      </c>
      <c r="L702" s="439" t="str">
        <f>IF($I649="","",IF(INDEX(F_ProductBM!L:L,MATCH($P702,F_ProductBM!$P:$P,0))="","",INDEX(F_ProductBM!L:L,MATCH($P702,F_ProductBM!$P:$P,0))))</f>
        <v/>
      </c>
      <c r="M702" s="439" t="str">
        <f>IF($I649="","",IF(INDEX(F_ProductBM!M:M,MATCH($P702,F_ProductBM!$P:$P,0))="","",INDEX(F_ProductBM!M:M,MATCH($P702,F_ProductBM!$P:$P,0))))</f>
        <v/>
      </c>
      <c r="N702" s="342"/>
      <c r="O702" s="17"/>
      <c r="P702" s="116" t="str">
        <f>EUconst_CNTR_IntermediateImport &amp; R702 &amp; "_" &amp; I649</f>
        <v>IntImp_2_</v>
      </c>
      <c r="R702" s="372">
        <v>2</v>
      </c>
      <c r="T702" s="9"/>
    </row>
    <row r="703" spans="2:20" x14ac:dyDescent="0.25">
      <c r="B703" s="17"/>
      <c r="C703" s="17"/>
      <c r="D703" s="17"/>
      <c r="E703" s="605" t="str">
        <f>Translations!$B$1240</f>
        <v>Intermediate export:</v>
      </c>
      <c r="F703" s="193"/>
      <c r="G703" s="193"/>
      <c r="H703" s="193"/>
      <c r="I703" s="438"/>
      <c r="J703" s="438"/>
      <c r="K703" s="438"/>
      <c r="L703" s="438"/>
      <c r="M703" s="438"/>
      <c r="N703" s="342"/>
      <c r="O703" s="17"/>
      <c r="P703" s="9"/>
      <c r="T703" s="9"/>
    </row>
    <row r="704" spans="2:20" x14ac:dyDescent="0.25">
      <c r="B704" s="17"/>
      <c r="C704" s="17"/>
      <c r="D704" s="17"/>
      <c r="E704" s="1510" t="str">
        <f>IF($I649="","",IF(INDEX(F_ProductBM!E:E,MATCH($P704,F_ProductBM!$P:$P,0))="","",INDEX(F_ProductBM!E:E,MATCH($P704,F_ProductBM!$P:$P,0))))</f>
        <v/>
      </c>
      <c r="F704" s="1510"/>
      <c r="G704" s="1510"/>
      <c r="H704" s="154" t="str">
        <f>EUconst_Tons</f>
        <v>tonnes</v>
      </c>
      <c r="I704" s="439" t="str">
        <f>IF($I649="","",IF(INDEX(F_ProductBM!I:I,MATCH($P704,F_ProductBM!$P:$P,0))="","",INDEX(F_ProductBM!I:I,MATCH($P704,F_ProductBM!$P:$P,0))))</f>
        <v/>
      </c>
      <c r="J704" s="439" t="str">
        <f>IF($I649="","",IF(INDEX(F_ProductBM!J:J,MATCH($P704,F_ProductBM!$P:$P,0))="","",INDEX(F_ProductBM!J:J,MATCH($P704,F_ProductBM!$P:$P,0))))</f>
        <v/>
      </c>
      <c r="K704" s="439" t="str">
        <f>IF($I649="","",IF(INDEX(F_ProductBM!K:K,MATCH($P704,F_ProductBM!$P:$P,0))="","",INDEX(F_ProductBM!K:K,MATCH($P704,F_ProductBM!$P:$P,0))))</f>
        <v/>
      </c>
      <c r="L704" s="439" t="str">
        <f>IF($I649="","",IF(INDEX(F_ProductBM!L:L,MATCH($P704,F_ProductBM!$P:$P,0))="","",INDEX(F_ProductBM!L:L,MATCH($P704,F_ProductBM!$P:$P,0))))</f>
        <v/>
      </c>
      <c r="M704" s="439" t="str">
        <f>IF($I649="","",IF(INDEX(F_ProductBM!M:M,MATCH($P704,F_ProductBM!$P:$P,0))="","",INDEX(F_ProductBM!M:M,MATCH($P704,F_ProductBM!$P:$P,0))))</f>
        <v/>
      </c>
      <c r="N704" s="342"/>
      <c r="O704" s="17"/>
      <c r="P704" s="116" t="str">
        <f>EUconst_CNTR_IntermediateExport &amp; R701 &amp; "_" &amp; I649</f>
        <v>IntExp_1_</v>
      </c>
      <c r="R704" s="372">
        <v>1</v>
      </c>
      <c r="T704" s="9"/>
    </row>
    <row r="705" spans="2:20" x14ac:dyDescent="0.25">
      <c r="B705" s="17"/>
      <c r="C705" s="17"/>
      <c r="D705" s="17"/>
      <c r="E705" s="1510" t="str">
        <f>IF($I649="","",IF(INDEX(F_ProductBM!E:E,MATCH($P705,F_ProductBM!$P:$P,0))="","",INDEX(F_ProductBM!E:E,MATCH($P705,F_ProductBM!$P:$P,0))))</f>
        <v/>
      </c>
      <c r="F705" s="1510"/>
      <c r="G705" s="1510"/>
      <c r="H705" s="154" t="str">
        <f>EUconst_Tons</f>
        <v>tonnes</v>
      </c>
      <c r="I705" s="439" t="str">
        <f>IF($I649="","",IF(INDEX(F_ProductBM!I:I,MATCH($P705,F_ProductBM!$P:$P,0))="","",INDEX(F_ProductBM!I:I,MATCH($P705,F_ProductBM!$P:$P,0))))</f>
        <v/>
      </c>
      <c r="J705" s="439" t="str">
        <f>IF($I649="","",IF(INDEX(F_ProductBM!J:J,MATCH($P705,F_ProductBM!$P:$P,0))="","",INDEX(F_ProductBM!J:J,MATCH($P705,F_ProductBM!$P:$P,0))))</f>
        <v/>
      </c>
      <c r="K705" s="439" t="str">
        <f>IF($I649="","",IF(INDEX(F_ProductBM!K:K,MATCH($P705,F_ProductBM!$P:$P,0))="","",INDEX(F_ProductBM!K:K,MATCH($P705,F_ProductBM!$P:$P,0))))</f>
        <v/>
      </c>
      <c r="L705" s="439" t="str">
        <f>IF($I649="","",IF(INDEX(F_ProductBM!L:L,MATCH($P705,F_ProductBM!$P:$P,0))="","",INDEX(F_ProductBM!L:L,MATCH($P705,F_ProductBM!$P:$P,0))))</f>
        <v/>
      </c>
      <c r="M705" s="439" t="str">
        <f>IF($I649="","",IF(INDEX(F_ProductBM!M:M,MATCH($P705,F_ProductBM!$P:$P,0))="","",INDEX(F_ProductBM!M:M,MATCH($P705,F_ProductBM!$P:$P,0))))</f>
        <v/>
      </c>
      <c r="N705" s="342"/>
      <c r="O705" s="17"/>
      <c r="P705" s="116" t="str">
        <f>EUconst_CNTR_IntermediateExport &amp; R705 &amp; "_" &amp; I649</f>
        <v>IntExp_2_</v>
      </c>
      <c r="R705" s="372">
        <v>2</v>
      </c>
      <c r="T705" s="9"/>
    </row>
    <row r="706" spans="2:20" ht="12.75" customHeight="1" x14ac:dyDescent="0.25">
      <c r="B706" s="17"/>
      <c r="C706" s="17"/>
      <c r="D706" s="17"/>
      <c r="E706" s="193"/>
      <c r="F706" s="193"/>
      <c r="G706" s="193"/>
      <c r="H706" s="193"/>
      <c r="I706" s="342"/>
      <c r="J706" s="342"/>
      <c r="K706" s="342"/>
      <c r="L706" s="342"/>
      <c r="M706" s="342"/>
      <c r="N706" s="342"/>
      <c r="O706" s="17"/>
      <c r="P706" s="9"/>
      <c r="T706" s="9"/>
    </row>
    <row r="707" spans="2:20" ht="5.0999999999999996" customHeight="1" thickBot="1" x14ac:dyDescent="0.3">
      <c r="B707" s="17"/>
      <c r="C707" s="17"/>
      <c r="D707" s="17"/>
      <c r="E707" s="445"/>
      <c r="F707" s="276"/>
      <c r="G707" s="276"/>
      <c r="H707" s="276"/>
      <c r="I707" s="276"/>
      <c r="J707" s="276"/>
      <c r="K707" s="276"/>
      <c r="L707" s="276"/>
      <c r="M707" s="276"/>
      <c r="N707" s="276"/>
      <c r="O707" s="17"/>
      <c r="T707" s="9"/>
    </row>
    <row r="708" spans="2:20" ht="5.0999999999999996" customHeight="1" thickBot="1" x14ac:dyDescent="0.3">
      <c r="B708" s="8"/>
      <c r="C708" s="906"/>
      <c r="D708" s="906"/>
      <c r="E708" s="906"/>
      <c r="F708" s="906"/>
      <c r="G708" s="906"/>
      <c r="H708" s="906"/>
      <c r="I708" s="906"/>
      <c r="J708" s="906"/>
      <c r="K708" s="906"/>
      <c r="L708" s="906"/>
      <c r="M708" s="906"/>
      <c r="N708" s="906"/>
      <c r="O708" s="17"/>
      <c r="T708" s="9" t="s">
        <v>644</v>
      </c>
    </row>
    <row r="709" spans="2:20" ht="15" customHeight="1" thickBot="1" x14ac:dyDescent="0.3">
      <c r="B709" s="17"/>
      <c r="C709" s="19">
        <f>C649+1</f>
        <v>5</v>
      </c>
      <c r="D709" s="1234" t="str">
        <f>CONCATENATE(EUconst_BMSubinst," ",C709, ":")</f>
        <v>Sub-installation with product benchmark 5:</v>
      </c>
      <c r="E709" s="1234"/>
      <c r="F709" s="1234"/>
      <c r="G709" s="1234"/>
      <c r="H709" s="1704"/>
      <c r="I709" s="1550" t="str">
        <f>IF(INDEX(CNTR_SubInstListIsProdBM,$C709),INDEX(CNTR_SubInstListNames,$C709),"")</f>
        <v/>
      </c>
      <c r="J709" s="1705"/>
      <c r="K709" s="1705"/>
      <c r="L709" s="1705"/>
      <c r="M709" s="1705"/>
      <c r="N709" s="1706"/>
      <c r="O709" s="17"/>
      <c r="Q709" s="427">
        <f>C709</f>
        <v>5</v>
      </c>
      <c r="R709" s="424" t="str">
        <f>I709</f>
        <v/>
      </c>
      <c r="S709" s="426" t="str">
        <f>H712</f>
        <v>N.A.</v>
      </c>
      <c r="T709" s="425" t="str">
        <f>IF(M721="","",IF(S712=0,0,SUM(M721)/S712))</f>
        <v/>
      </c>
    </row>
    <row r="710" spans="2:20" ht="5.0999999999999996" customHeight="1" thickBot="1" x14ac:dyDescent="0.3">
      <c r="B710" s="17"/>
      <c r="C710" s="17"/>
      <c r="D710" s="17"/>
      <c r="E710" s="17"/>
      <c r="F710" s="17"/>
      <c r="G710" s="17"/>
      <c r="H710" s="17"/>
      <c r="I710" s="17"/>
      <c r="J710" s="17"/>
      <c r="K710" s="17"/>
      <c r="L710" s="17"/>
      <c r="M710" s="17"/>
      <c r="N710" s="17"/>
      <c r="O710" s="17"/>
      <c r="T710" s="9"/>
    </row>
    <row r="711" spans="2:20" x14ac:dyDescent="0.25">
      <c r="B711" s="17"/>
      <c r="C711" s="17"/>
      <c r="D711" s="17"/>
      <c r="E711" s="17"/>
      <c r="F711" s="17"/>
      <c r="G711" s="17"/>
      <c r="H711" s="253" t="str">
        <f>Translations!$B$1204</f>
        <v>CL-exposed</v>
      </c>
      <c r="I711" s="254" t="s">
        <v>629</v>
      </c>
      <c r="J711" s="254" t="str">
        <f>Translations!$B$1208</f>
        <v>Started</v>
      </c>
      <c r="K711" s="254" t="str">
        <f>Translations!$B$1206</f>
        <v>No. of BM</v>
      </c>
      <c r="L711" s="329" t="str">
        <f>Translations!$B$1212</f>
        <v>15(7).3?</v>
      </c>
      <c r="M711" s="468" t="str">
        <f>Translations!$B$1234</f>
        <v>BM value (min/max/actual)</v>
      </c>
      <c r="N711" s="469"/>
      <c r="O711" s="17"/>
      <c r="T711" s="9"/>
    </row>
    <row r="712" spans="2:20" x14ac:dyDescent="0.25">
      <c r="B712" s="17"/>
      <c r="C712" s="17"/>
      <c r="D712" s="17"/>
      <c r="E712" s="255" t="str">
        <f>I709</f>
        <v/>
      </c>
      <c r="F712" s="256"/>
      <c r="G712" s="230"/>
      <c r="H712" s="257" t="str">
        <f>IF(K712=EUconst_NA,EUconst_NA,INDEX(EUconst_BMlistCLstatus,K712))</f>
        <v>N.A.</v>
      </c>
      <c r="I712" s="258" t="str">
        <f>IF(E712="","",INDEX(EUconst_BMlistElExchangability,K712))</f>
        <v/>
      </c>
      <c r="J712" s="355" t="str">
        <f>IF($I709="",EUconst_NA,INDEX(CNTR_SubInstStartDate,MATCH(E712,CNTR_SubInstListNames,0)))</f>
        <v>N.A.</v>
      </c>
      <c r="K712" s="203" t="str">
        <f>IF($I709="",EUconst_NA,MATCH(E712,EUconst_BMlistNames,0))</f>
        <v>N.A.</v>
      </c>
      <c r="L712" s="467" t="str">
        <f>IF(E712="","",INDEX(CNTR_SubInstLess1Year,MATCH(E712,CNTR_SubInstListNames,0)))</f>
        <v/>
      </c>
      <c r="M712" s="470" t="str">
        <f>IF(I709="",EUconst_NA,INDEX(EUconst_BMlistBMvaluesMatrix,K712,2))</f>
        <v>N.A.</v>
      </c>
      <c r="N712" s="471" t="str">
        <f>EUconst_EUA &amp; "/" &amp; H717</f>
        <v>UKA/tonnes</v>
      </c>
      <c r="O712" s="17"/>
      <c r="R712" s="288" t="s">
        <v>639</v>
      </c>
      <c r="S712" s="335" t="str">
        <f>IF(H712=EUconst_NA,"",IF(H712,1,INDEX(EUconst_CLEFYears,1)))</f>
        <v/>
      </c>
      <c r="T712" s="9"/>
    </row>
    <row r="713" spans="2:20" x14ac:dyDescent="0.25">
      <c r="B713" s="17"/>
      <c r="C713" s="17"/>
      <c r="D713" s="17"/>
      <c r="E713" s="276"/>
      <c r="F713" s="276"/>
      <c r="G713" s="254" t="str">
        <f>Translations!$B$1218</f>
        <v>non-ETS heat</v>
      </c>
      <c r="H713" s="329" t="str">
        <f>Translations!$B$1220</f>
        <v>WGflare</v>
      </c>
      <c r="I713" s="254" t="s">
        <v>630</v>
      </c>
      <c r="J713" s="254" t="s">
        <v>631</v>
      </c>
      <c r="K713" s="254" t="s">
        <v>632</v>
      </c>
      <c r="L713" s="329" t="str">
        <f>Translations!$B$1214</f>
        <v>15(7).3 HAL</v>
      </c>
      <c r="M713" s="470" t="str">
        <f>IF(I709="",EUconst_NA,INDEX(EUconst_BMlistBMvaluesMatrix,K712,1))</f>
        <v>N.A.</v>
      </c>
      <c r="N713" s="471" t="str">
        <f>EUconst_EUA &amp; "/" &amp; H717</f>
        <v>UKA/tonnes</v>
      </c>
      <c r="O713" s="17"/>
      <c r="R713" s="288"/>
      <c r="S713" s="368"/>
      <c r="T713" s="9"/>
    </row>
    <row r="714" spans="2:20" ht="13.8" thickBot="1" x14ac:dyDescent="0.3">
      <c r="B714" s="17"/>
      <c r="C714" s="17"/>
      <c r="D714" s="17"/>
      <c r="E714" s="370" t="str">
        <f>Translations!$B$1235</f>
        <v>Special factors:</v>
      </c>
      <c r="F714" s="371"/>
      <c r="G714" s="203" t="str">
        <f>IF($I709="","",SUMIF(F_ProductBM!$P:$P,EUconst_CNTR_HEAT&amp;$I709,F_ProductBM!$Q:$Q))</f>
        <v/>
      </c>
      <c r="H714" s="353" t="str">
        <f>IF(OR($I709="",CNTR_BaselinePeriod&lt;&gt;2),"",SUMIF(F_ProductBM!$P:$P,EUconst_CNTR_WGFlaredEF &amp; I709,F_ProductBM!$R:$R))</f>
        <v/>
      </c>
      <c r="I714" s="334">
        <f>IF(AND($I709&lt;&gt;"",$I712=TRUE),IF(ISNUMBER(INDEX(F_ProductBM!$Q:$Q,MATCH(EUconst_CNTR_ELEXCH&amp;$I709,F_ProductBM!$P:$P,0))),INDEX(F_ProductBM!$Q:$Q,MATCH(EUconst_CNTR_ELEXCH&amp;$I709,F_ProductBM!$P:$P,0)),1),1)</f>
        <v>1</v>
      </c>
      <c r="J714" s="203" t="str">
        <f>IF($I709="","",IF($K712=42,SUMIF(H_SpecialBM!$P$9:$P$384,EUconst_CNTR_HVC,H_SpecialBM!$I$9:$I$384),0))</f>
        <v/>
      </c>
      <c r="K714" s="369" t="str">
        <f>IF($I709="","",IF($K712=47,IF(ISNUMBER(INDEX(H_SpecialBM!$Q$9:$Q$384,MATCH(EUconst_CNTR_VCM,H_SpecialBM!$P$9:$P$384,0))),INDEX(H_SpecialBM!$Q$9:$Q$384,MATCH(EUconst_CNTR_VCM,H_SpecialBM!$P$9:$P$384,0)),1),1))</f>
        <v/>
      </c>
      <c r="L714" s="353" t="str">
        <f>IF($L712=TRUE,SUMIF(F_ProductBM!$P$11:$P$2192,EUconst_CNTR_HAL&amp;$I709,F_ProductBM!$N$11:$N$2192),"")</f>
        <v/>
      </c>
      <c r="M714" s="472" t="str">
        <f>IF(I709="",EUconst_NA,IF(EUconst_StatusOfDataCollection,INDEX(EUconst_BMlistBMvaluesMatrix,K712,3),""))</f>
        <v>N.A.</v>
      </c>
      <c r="N714" s="473" t="str">
        <f>EUconst_EUA &amp; "/" &amp; H717</f>
        <v>UKA/tonnes</v>
      </c>
      <c r="O714" s="17"/>
      <c r="R714" s="288"/>
      <c r="S714" s="368"/>
      <c r="T714" s="9"/>
    </row>
    <row r="715" spans="2:20" ht="5.0999999999999996" customHeight="1" x14ac:dyDescent="0.25">
      <c r="B715" s="17"/>
      <c r="C715" s="17"/>
      <c r="D715" s="17"/>
      <c r="E715" s="17"/>
      <c r="F715" s="17"/>
      <c r="G715" s="17"/>
      <c r="H715" s="17"/>
      <c r="I715" s="17"/>
      <c r="J715" s="17"/>
      <c r="K715" s="17"/>
      <c r="L715" s="17"/>
      <c r="M715" s="17"/>
      <c r="N715" s="17"/>
      <c r="O715" s="17"/>
      <c r="T715" s="9"/>
    </row>
    <row r="716" spans="2:20" x14ac:dyDescent="0.25">
      <c r="B716" s="17"/>
      <c r="C716" s="17"/>
      <c r="D716" s="17"/>
      <c r="E716" s="78"/>
      <c r="F716" s="78"/>
      <c r="G716" s="259"/>
      <c r="H716" s="366" t="str">
        <f>EUconst_Unit</f>
        <v>Unit</v>
      </c>
      <c r="I716" s="149">
        <f>I$1397</f>
        <v>2019</v>
      </c>
      <c r="J716" s="149">
        <f>J$1397</f>
        <v>2020</v>
      </c>
      <c r="K716" s="149">
        <f>K$1397</f>
        <v>2021</v>
      </c>
      <c r="L716" s="149">
        <f>L$1397</f>
        <v>2022</v>
      </c>
      <c r="M716" s="149">
        <f>M$1397</f>
        <v>2023</v>
      </c>
      <c r="N716" s="17"/>
      <c r="O716" s="17"/>
      <c r="P716" s="63" t="s">
        <v>397</v>
      </c>
      <c r="T716" s="9"/>
    </row>
    <row r="717" spans="2:20" x14ac:dyDescent="0.25">
      <c r="B717" s="17"/>
      <c r="C717" s="17"/>
      <c r="D717" s="17"/>
      <c r="E717" s="260" t="str">
        <f>Translations!$B$1236</f>
        <v>HAL (Historic activity level) reported</v>
      </c>
      <c r="F717" s="261"/>
      <c r="G717" s="262"/>
      <c r="H717" s="257" t="str">
        <f>IF(ISNUMBER(K712),INDEX(EUconst_BMlistUnits,K712),EUconst_Tons)</f>
        <v>tonnes</v>
      </c>
      <c r="I717" s="203" t="str">
        <f>IF($I709="","",SUMIF(F_ProductBM!$P$11:$P$1876,$P717,F_ProductBM!I$11:I$1876))</f>
        <v/>
      </c>
      <c r="J717" s="203" t="str">
        <f>IF($I709="","",SUMIF(F_ProductBM!$P$11:$P$1876,$P717,F_ProductBM!J$11:J$1876))</f>
        <v/>
      </c>
      <c r="K717" s="203" t="str">
        <f>IF($I709="","",SUMIF(F_ProductBM!$P$11:$P$1876,$P717,F_ProductBM!K$11:K$1876))</f>
        <v/>
      </c>
      <c r="L717" s="203" t="str">
        <f>IF($I709="","",SUMIF(F_ProductBM!$P$11:$P$1876,$P717,F_ProductBM!L$11:L$1876))</f>
        <v/>
      </c>
      <c r="M717" s="203" t="str">
        <f>IF($I709="","",SUMIF(F_ProductBM!$P$11:$P$1876,$P717,F_ProductBM!M$11:M$1876))</f>
        <v/>
      </c>
      <c r="N717" s="254" t="str">
        <f>Translations!$B$1224</f>
        <v>Average</v>
      </c>
      <c r="O717" s="17"/>
      <c r="P717" s="63" t="str">
        <f>EUconst_CNTR_HAL&amp;I709</f>
        <v>HAL_</v>
      </c>
      <c r="T717" s="9"/>
    </row>
    <row r="718" spans="2:20" x14ac:dyDescent="0.25">
      <c r="B718" s="17"/>
      <c r="C718" s="17"/>
      <c r="D718" s="17"/>
      <c r="E718" s="260" t="str">
        <f>Translations!$B$1237</f>
        <v>Values used for HAL calculation:</v>
      </c>
      <c r="F718" s="261"/>
      <c r="G718" s="262"/>
      <c r="H718" s="257" t="str">
        <f>H717</f>
        <v>tonnes</v>
      </c>
      <c r="I718" s="203" t="str">
        <f>IF($I709="","",INDEX(F_ProductBM!S$11:S$1876,MATCH($P718,F_ProductBM!$P$11:$P$1876,0)))</f>
        <v/>
      </c>
      <c r="J718" s="203" t="str">
        <f>IF($I709="","",INDEX(F_ProductBM!T$11:T$1876,MATCH($P718,F_ProductBM!$P$11:$P$1876,0)))</f>
        <v/>
      </c>
      <c r="K718" s="203" t="str">
        <f>IF($I709="","",INDEX(F_ProductBM!U$11:U$1876,MATCH($P718,F_ProductBM!$P$11:$P$1876,0)))</f>
        <v/>
      </c>
      <c r="L718" s="203" t="str">
        <f>IF($I709="","",INDEX(F_ProductBM!V$11:V$1876,MATCH($P718,F_ProductBM!$P$11:$P$1876,0)))</f>
        <v/>
      </c>
      <c r="M718" s="203" t="str">
        <f>IF($I709="","",INDEX(F_ProductBM!W$11:W$1876,MATCH($P718,F_ProductBM!$P$11:$P$1876,0)))</f>
        <v/>
      </c>
      <c r="N718" s="203" t="str">
        <f>IF(OR($I709="",$L712=TRUE),"",IF(COUNT($I718:$M718)&gt;0,AVERAGE($I718:$M718),""))</f>
        <v/>
      </c>
      <c r="O718" s="17"/>
      <c r="P718" s="63" t="str">
        <f>EUconst_CNTR_HAL&amp;I709</f>
        <v>HAL_</v>
      </c>
      <c r="R718" s="442" t="s">
        <v>640</v>
      </c>
      <c r="S718" s="442" t="s">
        <v>641</v>
      </c>
      <c r="T718" s="442" t="s">
        <v>642</v>
      </c>
    </row>
    <row r="719" spans="2:20" ht="5.0999999999999996" customHeight="1" thickBot="1" x14ac:dyDescent="0.3">
      <c r="B719" s="17"/>
      <c r="C719" s="17"/>
      <c r="D719" s="17"/>
      <c r="E719" s="367"/>
      <c r="F719" s="367"/>
      <c r="G719" s="367"/>
      <c r="H719" s="367"/>
      <c r="I719" s="367"/>
      <c r="J719" s="367"/>
      <c r="K719" s="367"/>
      <c r="L719" s="367"/>
      <c r="M719" s="276"/>
      <c r="N719" s="276"/>
      <c r="O719" s="17"/>
      <c r="T719" s="9"/>
    </row>
    <row r="720" spans="2:20" ht="13.8" thickBot="1" x14ac:dyDescent="0.3">
      <c r="B720" s="17"/>
      <c r="C720" s="276"/>
      <c r="D720" s="17"/>
      <c r="E720" s="367"/>
      <c r="F720" s="336" t="s">
        <v>643</v>
      </c>
      <c r="G720" s="337"/>
      <c r="H720" s="276"/>
      <c r="I720" s="336" t="str">
        <f>Translations!$B$1226</f>
        <v>Prelim Alloc Year 1 (min)</v>
      </c>
      <c r="J720" s="337"/>
      <c r="K720" s="336" t="str">
        <f>Translations!$B$1229</f>
        <v>Prelim Alloc Year 1 (max)</v>
      </c>
      <c r="L720" s="337"/>
      <c r="M720" s="336" t="str">
        <f>Translations!$B$1231</f>
        <v>Prelim Alloc Year 1 (actual)</v>
      </c>
      <c r="N720" s="337"/>
      <c r="O720" s="17"/>
      <c r="P720" s="63" t="str">
        <f>EUconst_AllocPrelim&amp;I709</f>
        <v>AllocPrelim_</v>
      </c>
      <c r="R720" s="423" t="str">
        <f>IF(I721="","",IF(S712=0,0,SUM(I721)/S712))</f>
        <v/>
      </c>
      <c r="S720" s="423" t="str">
        <f>IF(K721="","",IF(S712=0,0,SUM(K721)/S712))</f>
        <v/>
      </c>
      <c r="T720" s="423" t="str">
        <f>T709</f>
        <v/>
      </c>
    </row>
    <row r="721" spans="2:20" ht="13.8" thickBot="1" x14ac:dyDescent="0.3">
      <c r="B721" s="17"/>
      <c r="C721" s="276"/>
      <c r="D721" s="276"/>
      <c r="E721" s="367"/>
      <c r="F721" s="264" t="str">
        <f>IF(I709="","",MAX(0, IF(L712=TRUE, SUM(L714), SUM(N718))))</f>
        <v/>
      </c>
      <c r="G721" s="265" t="str">
        <f>H717&amp;" / "&amp;EUconst_Year</f>
        <v>tonnes / year</v>
      </c>
      <c r="H721" s="276"/>
      <c r="I721" s="333" t="str">
        <f>IF(I709="","",ROUND((SUM(M712)*SUM(F721)*SUM(I714)*SUM(K714)-SUM(G714)-SUM(H714)+SUM(J714))*SUM(S712),0))</f>
        <v/>
      </c>
      <c r="J721" s="409" t="s">
        <v>645</v>
      </c>
      <c r="K721" s="333" t="str">
        <f>IF(I709="","",ROUND((SUM(M713)*SUM(F721)*SUM(I714)*SUM(K714)-SUM(G714)-SUM(H714)+SUM(J714))*SUM(S712),0))</f>
        <v/>
      </c>
      <c r="L721" s="409" t="s">
        <v>645</v>
      </c>
      <c r="M721" s="333" t="str">
        <f>IF(OR(I709="",M714=""),"",ROUND((SUM(M714)*SUM(F721)*SUM(I714)*SUM(K714)-SUM(G714)-SUM(H714)+SUM(J714))*SUM(S712),0))</f>
        <v/>
      </c>
      <c r="N721" s="409" t="s">
        <v>645</v>
      </c>
      <c r="O721" s="17"/>
      <c r="P721" s="63" t="str">
        <f>EUconst_HALsum &amp; I709</f>
        <v>HALsum_</v>
      </c>
      <c r="T721" s="9"/>
    </row>
    <row r="722" spans="2:20" ht="5.0999999999999996" customHeight="1" x14ac:dyDescent="0.25">
      <c r="B722" s="17"/>
      <c r="C722" s="17"/>
      <c r="D722" s="276"/>
      <c r="E722" s="113"/>
      <c r="F722" s="17"/>
      <c r="G722" s="17"/>
      <c r="H722" s="17"/>
      <c r="I722" s="17"/>
      <c r="J722" s="17"/>
      <c r="K722" s="17"/>
      <c r="L722" s="17"/>
      <c r="M722" s="17"/>
      <c r="N722" s="17"/>
      <c r="O722" s="17"/>
      <c r="T722" s="9"/>
    </row>
    <row r="723" spans="2:20" ht="12.75" customHeight="1" x14ac:dyDescent="0.25">
      <c r="B723" s="17"/>
      <c r="C723" s="17"/>
      <c r="D723" s="17"/>
      <c r="E723" s="193"/>
      <c r="F723" s="342"/>
      <c r="G723" s="342"/>
      <c r="H723" s="342"/>
      <c r="I723" s="342"/>
      <c r="J723" s="342"/>
      <c r="K723" s="342"/>
      <c r="L723" s="342"/>
      <c r="M723" s="342"/>
      <c r="N723" s="342"/>
      <c r="O723" s="17"/>
      <c r="T723" s="9"/>
    </row>
    <row r="724" spans="2:20" ht="13.8" thickBot="1" x14ac:dyDescent="0.3">
      <c r="B724" s="17"/>
      <c r="C724" s="17"/>
      <c r="D724" s="17"/>
      <c r="E724" s="193"/>
      <c r="F724" s="342"/>
      <c r="G724" s="342"/>
      <c r="H724" s="192" t="str">
        <f>EUconst_Unit</f>
        <v>Unit</v>
      </c>
      <c r="I724" s="441">
        <f>I$1397</f>
        <v>2019</v>
      </c>
      <c r="J724" s="153">
        <f>J$1397</f>
        <v>2020</v>
      </c>
      <c r="K724" s="153">
        <f>K$1397</f>
        <v>2021</v>
      </c>
      <c r="L724" s="153">
        <f>L$1397</f>
        <v>2022</v>
      </c>
      <c r="M724" s="153">
        <f>M$1397</f>
        <v>2023</v>
      </c>
      <c r="N724" s="342"/>
      <c r="O724" s="17"/>
      <c r="T724" s="9"/>
    </row>
    <row r="725" spans="2:20" ht="13.8" thickBot="1" x14ac:dyDescent="0.3">
      <c r="B725" s="17"/>
      <c r="C725" s="17"/>
      <c r="D725" s="17"/>
      <c r="E725" s="1610" t="str">
        <f>Translations!$B$1238</f>
        <v>Total attributed emissions</v>
      </c>
      <c r="F725" s="1610"/>
      <c r="G725" s="1610"/>
      <c r="H725" s="411" t="str">
        <f>EUconst_tCO2epa</f>
        <v>t CO2e/year</v>
      </c>
      <c r="I725" s="432" t="str">
        <f>INDEX(I$93:I$109,MATCH($I709,$E$93:$E$109,0))</f>
        <v/>
      </c>
      <c r="J725" s="433" t="str">
        <f>INDEX(J$93:J$109,MATCH($I709,$E$93:$E$109,0))</f>
        <v/>
      </c>
      <c r="K725" s="433" t="str">
        <f>INDEX(K$93:K$109,MATCH($I709,$E$93:$E$109,0))</f>
        <v/>
      </c>
      <c r="L725" s="433" t="str">
        <f>INDEX(L$93:L$109,MATCH($I709,$E$93:$E$109,0))</f>
        <v/>
      </c>
      <c r="M725" s="434" t="str">
        <f>INDEX(M$93:M$109,MATCH($I709,$E$93:$E$109,0))</f>
        <v/>
      </c>
      <c r="N725" s="342"/>
      <c r="O725" s="17"/>
      <c r="T725" s="9"/>
    </row>
    <row r="726" spans="2:20" ht="5.0999999999999996" customHeight="1" x14ac:dyDescent="0.25">
      <c r="B726" s="17"/>
      <c r="C726" s="17"/>
      <c r="D726" s="17"/>
      <c r="E726" s="193"/>
      <c r="F726" s="193"/>
      <c r="G726" s="193"/>
      <c r="H726" s="193"/>
      <c r="I726" s="435"/>
      <c r="J726" s="435"/>
      <c r="K726" s="435"/>
      <c r="L726" s="435"/>
      <c r="M726" s="435"/>
      <c r="N726" s="193"/>
      <c r="O726" s="17"/>
      <c r="T726" s="9"/>
    </row>
    <row r="727" spans="2:20" x14ac:dyDescent="0.25">
      <c r="B727" s="17"/>
      <c r="C727" s="17"/>
      <c r="D727" s="17"/>
      <c r="E727" s="1526" t="str">
        <f>Translations!$B$731</f>
        <v>Fuel input</v>
      </c>
      <c r="F727" s="1526"/>
      <c r="G727" s="1526"/>
      <c r="H727" s="939" t="str">
        <f>EUconst_TJpa</f>
        <v>TJ / year</v>
      </c>
      <c r="I727" s="436" t="str">
        <f>IF($I709="","",IF(INDEX(F_ProductBM!I:I,MATCH($P727,F_ProductBM!$P:$P,0))="","",INDEX(F_ProductBM!I:I,MATCH($P727,F_ProductBM!$P:$P,0))))</f>
        <v/>
      </c>
      <c r="J727" s="436" t="str">
        <f>IF($I709="","",IF(INDEX(F_ProductBM!J:J,MATCH($P727,F_ProductBM!$P:$P,0))="","",INDEX(F_ProductBM!J:J,MATCH($P727,F_ProductBM!$P:$P,0))))</f>
        <v/>
      </c>
      <c r="K727" s="436" t="str">
        <f>IF($I709="","",IF(INDEX(F_ProductBM!K:K,MATCH($P727,F_ProductBM!$P:$P,0))="","",INDEX(F_ProductBM!K:K,MATCH($P727,F_ProductBM!$P:$P,0))))</f>
        <v/>
      </c>
      <c r="L727" s="436" t="str">
        <f>IF($I709="","",IF(INDEX(F_ProductBM!L:L,MATCH($P727,F_ProductBM!$P:$P,0))="","",INDEX(F_ProductBM!L:L,MATCH($P727,F_ProductBM!$P:$P,0))))</f>
        <v/>
      </c>
      <c r="M727" s="436" t="str">
        <f>IF($I709="","",IF(INDEX(F_ProductBM!M:M,MATCH($P727,F_ProductBM!$P:$P,0))="","",INDEX(F_ProductBM!M:M,MATCH($P727,F_ProductBM!$P:$P,0))))</f>
        <v/>
      </c>
      <c r="N727" s="342"/>
      <c r="O727" s="17"/>
      <c r="P727" s="341" t="str">
        <f>EUconst_CNTR_FuelInput &amp; I709</f>
        <v>FuelInput_</v>
      </c>
      <c r="T727" s="9"/>
    </row>
    <row r="728" spans="2:20" x14ac:dyDescent="0.25">
      <c r="B728" s="17"/>
      <c r="C728" s="17"/>
      <c r="D728" s="17"/>
      <c r="E728" s="1527" t="str">
        <f>Translations!$B$732</f>
        <v>Weighted emission factor</v>
      </c>
      <c r="F728" s="1527"/>
      <c r="G728" s="1527"/>
      <c r="H728" s="343" t="str">
        <f>EUconst_tCO2pTJ</f>
        <v>t CO2 / TJ</v>
      </c>
      <c r="I728" s="437" t="str">
        <f>IF($I709="","",IF(INDEX(F_ProductBM!I:I,MATCH($P728,F_ProductBM!$P:$P,0))="","",INDEX(F_ProductBM!I:I,MATCH($P728,F_ProductBM!$P:$P,0))))</f>
        <v/>
      </c>
      <c r="J728" s="437" t="str">
        <f>IF($I709="","",IF(INDEX(F_ProductBM!J:J,MATCH($P728,F_ProductBM!$P:$P,0))="","",INDEX(F_ProductBM!J:J,MATCH($P728,F_ProductBM!$P:$P,0))))</f>
        <v/>
      </c>
      <c r="K728" s="437" t="str">
        <f>IF($I709="","",IF(INDEX(F_ProductBM!K:K,MATCH($P728,F_ProductBM!$P:$P,0))="","",INDEX(F_ProductBM!K:K,MATCH($P728,F_ProductBM!$P:$P,0))))</f>
        <v/>
      </c>
      <c r="L728" s="437" t="str">
        <f>IF($I709="","",IF(INDEX(F_ProductBM!L:L,MATCH($P728,F_ProductBM!$P:$P,0))="","",INDEX(F_ProductBM!L:L,MATCH($P728,F_ProductBM!$P:$P,0))))</f>
        <v/>
      </c>
      <c r="M728" s="437" t="str">
        <f>IF($I709="","",IF(INDEX(F_ProductBM!M:M,MATCH($P728,F_ProductBM!$P:$P,0))="","",INDEX(F_ProductBM!M:M,MATCH($P728,F_ProductBM!$P:$P,0))))</f>
        <v/>
      </c>
      <c r="N728" s="342"/>
      <c r="O728" s="17"/>
      <c r="P728" s="116" t="str">
        <f>EUconst_CNTR_FuelEF &amp; I709</f>
        <v>FuelEF_</v>
      </c>
      <c r="T728" s="9"/>
    </row>
    <row r="729" spans="2:20" ht="5.0999999999999996" customHeight="1" x14ac:dyDescent="0.25">
      <c r="B729" s="17"/>
      <c r="C729" s="17"/>
      <c r="D729" s="276"/>
      <c r="E729" s="193"/>
      <c r="F729" s="342"/>
      <c r="G729" s="342"/>
      <c r="H729" s="342"/>
      <c r="I729" s="438"/>
      <c r="J729" s="438"/>
      <c r="K729" s="438"/>
      <c r="L729" s="438"/>
      <c r="M729" s="438"/>
      <c r="N729" s="342"/>
      <c r="O729" s="17"/>
      <c r="T729" s="9"/>
    </row>
    <row r="730" spans="2:20" ht="12.75" customHeight="1" x14ac:dyDescent="0.25">
      <c r="B730" s="17"/>
      <c r="C730" s="17"/>
      <c r="D730" s="276"/>
      <c r="E730" s="1528" t="str">
        <f>Translations!$B$687</f>
        <v>Direct emissions</v>
      </c>
      <c r="F730" s="1528"/>
      <c r="G730" s="1528"/>
      <c r="H730" s="154" t="str">
        <f>EUconst_tCO2pa</f>
        <v>t CO2 / year</v>
      </c>
      <c r="I730" s="439" t="str">
        <f>IF($I709="","",IF(INDEX(F_ProductBM!I:I,MATCH($P730,F_ProductBM!$P:$P,0))="","",INDEX(F_ProductBM!I:I,MATCH($P730,F_ProductBM!$P:$P,0))))</f>
        <v/>
      </c>
      <c r="J730" s="439" t="str">
        <f>IF($I709="","",IF(INDEX(F_ProductBM!J:J,MATCH($P730,F_ProductBM!$P:$P,0))="","",INDEX(F_ProductBM!J:J,MATCH($P730,F_ProductBM!$P:$P,0))))</f>
        <v/>
      </c>
      <c r="K730" s="439" t="str">
        <f>IF($I709="","",IF(INDEX(F_ProductBM!K:K,MATCH($P730,F_ProductBM!$P:$P,0))="","",INDEX(F_ProductBM!K:K,MATCH($P730,F_ProductBM!$P:$P,0))))</f>
        <v/>
      </c>
      <c r="L730" s="439" t="str">
        <f>IF($I709="","",IF(INDEX(F_ProductBM!L:L,MATCH($P730,F_ProductBM!$P:$P,0))="","",INDEX(F_ProductBM!L:L,MATCH($P730,F_ProductBM!$P:$P,0))))</f>
        <v/>
      </c>
      <c r="M730" s="439" t="str">
        <f>IF($I709="","",IF(INDEX(F_ProductBM!M:M,MATCH($P730,F_ProductBM!$P:$P,0))="","",INDEX(F_ProductBM!M:M,MATCH($P730,F_ProductBM!$P:$P,0))))</f>
        <v/>
      </c>
      <c r="N730" s="342"/>
      <c r="O730" s="17"/>
      <c r="P730" s="116" t="str">
        <f>EUconst_CNTR_Emissions &amp; I709</f>
        <v>DirEmissions_</v>
      </c>
      <c r="T730" s="9"/>
    </row>
    <row r="731" spans="2:20" x14ac:dyDescent="0.25">
      <c r="B731" s="17"/>
      <c r="C731" s="17"/>
      <c r="D731" s="276"/>
      <c r="E731" s="1528" t="str">
        <f>Translations!$B$742</f>
        <v>Further source streams - 1</v>
      </c>
      <c r="F731" s="1528"/>
      <c r="G731" s="1528"/>
      <c r="H731" s="154" t="str">
        <f>EUconst_tCO2pa</f>
        <v>t CO2 / year</v>
      </c>
      <c r="I731" s="439" t="str">
        <f>IF($I709="","",IF(INDEX(F_ProductBM!I:I,MATCH($P731,F_ProductBM!$P:$P,0))="","",INDEX(F_ProductBM!I:I,MATCH($P731,F_ProductBM!$P:$P,0))))</f>
        <v/>
      </c>
      <c r="J731" s="439" t="str">
        <f>IF($I709="","",IF(INDEX(F_ProductBM!J:J,MATCH($P731,F_ProductBM!$P:$P,0))="","",INDEX(F_ProductBM!J:J,MATCH($P731,F_ProductBM!$P:$P,0))))</f>
        <v/>
      </c>
      <c r="K731" s="439" t="str">
        <f>IF($I709="","",IF(INDEX(F_ProductBM!K:K,MATCH($P731,F_ProductBM!$P:$P,0))="","",INDEX(F_ProductBM!K:K,MATCH($P731,F_ProductBM!$P:$P,0))))</f>
        <v/>
      </c>
      <c r="L731" s="439" t="str">
        <f>IF($I709="","",IF(INDEX(F_ProductBM!L:L,MATCH($P731,F_ProductBM!$P:$P,0))="","",INDEX(F_ProductBM!L:L,MATCH($P731,F_ProductBM!$P:$P,0))))</f>
        <v/>
      </c>
      <c r="M731" s="439" t="str">
        <f>IF($I709="","",IF(INDEX(F_ProductBM!M:M,MATCH($P731,F_ProductBM!$P:$P,0))="","",INDEX(F_ProductBM!M:M,MATCH($P731,F_ProductBM!$P:$P,0))))</f>
        <v/>
      </c>
      <c r="N731" s="342"/>
      <c r="O731" s="17"/>
      <c r="P731" s="116" t="str">
        <f>EUconst_CNTR_EmissionsIntSource1 &amp; I709</f>
        <v>EmInternalSource1_</v>
      </c>
      <c r="T731" s="9"/>
    </row>
    <row r="732" spans="2:20" x14ac:dyDescent="0.25">
      <c r="B732" s="17"/>
      <c r="C732" s="17"/>
      <c r="D732" s="276"/>
      <c r="E732" s="1528" t="str">
        <f>Translations!$B$752</f>
        <v>Further source streams - 2</v>
      </c>
      <c r="F732" s="1528"/>
      <c r="G732" s="1528"/>
      <c r="H732" s="154" t="str">
        <f>EUconst_tCO2pa</f>
        <v>t CO2 / year</v>
      </c>
      <c r="I732" s="439" t="str">
        <f>IF($I709="","",IF(INDEX(F_ProductBM!I:I,MATCH($P732,F_ProductBM!$P:$P,0))="","",INDEX(F_ProductBM!I:I,MATCH($P732,F_ProductBM!$P:$P,0))))</f>
        <v/>
      </c>
      <c r="J732" s="439" t="str">
        <f>IF($I709="","",IF(INDEX(F_ProductBM!J:J,MATCH($P732,F_ProductBM!$P:$P,0))="","",INDEX(F_ProductBM!J:J,MATCH($P732,F_ProductBM!$P:$P,0))))</f>
        <v/>
      </c>
      <c r="K732" s="439" t="str">
        <f>IF($I709="","",IF(INDEX(F_ProductBM!K:K,MATCH($P732,F_ProductBM!$P:$P,0))="","",INDEX(F_ProductBM!K:K,MATCH($P732,F_ProductBM!$P:$P,0))))</f>
        <v/>
      </c>
      <c r="L732" s="439" t="str">
        <f>IF($I709="","",IF(INDEX(F_ProductBM!L:L,MATCH($P732,F_ProductBM!$P:$P,0))="","",INDEX(F_ProductBM!L:L,MATCH($P732,F_ProductBM!$P:$P,0))))</f>
        <v/>
      </c>
      <c r="M732" s="439" t="str">
        <f>IF($I709="","",IF(INDEX(F_ProductBM!M:M,MATCH($P732,F_ProductBM!$P:$P,0))="","",INDEX(F_ProductBM!M:M,MATCH($P732,F_ProductBM!$P:$P,0))))</f>
        <v/>
      </c>
      <c r="N732" s="342"/>
      <c r="O732" s="17"/>
      <c r="P732" s="116" t="str">
        <f>EUconst_CNTR_EmissionsIntSource2 &amp; I709</f>
        <v>EmInternalSource2_</v>
      </c>
      <c r="T732" s="9"/>
    </row>
    <row r="733" spans="2:20" x14ac:dyDescent="0.25">
      <c r="B733" s="17"/>
      <c r="C733" s="17"/>
      <c r="D733" s="17"/>
      <c r="E733" s="1528" t="str">
        <f>Translations!$B$756</f>
        <v>GHG imported or exported</v>
      </c>
      <c r="F733" s="1528"/>
      <c r="G733" s="1528"/>
      <c r="H733" s="154" t="str">
        <f>EUconst_tCO2epa</f>
        <v>t CO2e/year</v>
      </c>
      <c r="I733" s="439" t="str">
        <f>IF($I709="","",IF(INDEX(F_ProductBM!I:I,MATCH($P733,F_ProductBM!$P:$P,0))="","",INDEX(F_ProductBM!I:I,MATCH($P733,F_ProductBM!$P:$P,0))))</f>
        <v/>
      </c>
      <c r="J733" s="439" t="str">
        <f>IF($I709="","",IF(INDEX(F_ProductBM!J:J,MATCH($P733,F_ProductBM!$P:$P,0))="","",INDEX(F_ProductBM!J:J,MATCH($P733,F_ProductBM!$P:$P,0))))</f>
        <v/>
      </c>
      <c r="K733" s="439" t="str">
        <f>IF($I709="","",IF(INDEX(F_ProductBM!K:K,MATCH($P733,F_ProductBM!$P:$P,0))="","",INDEX(F_ProductBM!K:K,MATCH($P733,F_ProductBM!$P:$P,0))))</f>
        <v/>
      </c>
      <c r="L733" s="439" t="str">
        <f>IF($I709="","",IF(INDEX(F_ProductBM!L:L,MATCH($P733,F_ProductBM!$P:$P,0))="","",INDEX(F_ProductBM!L:L,MATCH($P733,F_ProductBM!$P:$P,0))))</f>
        <v/>
      </c>
      <c r="M733" s="439" t="str">
        <f>IF($I709="","",IF(INDEX(F_ProductBM!M:M,MATCH($P733,F_ProductBM!$P:$P,0))="","",INDEX(F_ProductBM!M:M,MATCH($P733,F_ProductBM!$P:$P,0))))</f>
        <v/>
      </c>
      <c r="N733" s="342"/>
      <c r="O733" s="17"/>
      <c r="P733" s="116" t="str">
        <f>EUconst_CNTR_CO2Feedstock &amp; I709</f>
        <v>EmCO2Feedstock_</v>
      </c>
      <c r="T733" s="9"/>
    </row>
    <row r="734" spans="2:20" ht="5.0999999999999996" customHeight="1" x14ac:dyDescent="0.25">
      <c r="B734" s="17"/>
      <c r="C734" s="17"/>
      <c r="D734" s="17"/>
      <c r="E734" s="342"/>
      <c r="F734" s="342"/>
      <c r="G734" s="342"/>
      <c r="H734" s="342"/>
      <c r="I734" s="438"/>
      <c r="J734" s="438"/>
      <c r="K734" s="438"/>
      <c r="L734" s="438"/>
      <c r="M734" s="438"/>
      <c r="N734" s="342"/>
      <c r="O734" s="17"/>
      <c r="T734" s="9"/>
    </row>
    <row r="735" spans="2:20" x14ac:dyDescent="0.25">
      <c r="B735" s="17"/>
      <c r="C735" s="17"/>
      <c r="D735" s="17"/>
      <c r="E735" s="1526" t="str">
        <f>Translations!$B$764</f>
        <v>Net heat imported</v>
      </c>
      <c r="F735" s="1526"/>
      <c r="G735" s="1526"/>
      <c r="H735" s="939" t="str">
        <f>EUconst_TJpa</f>
        <v>TJ / year</v>
      </c>
      <c r="I735" s="436" t="str">
        <f>IF($I709="","",IF(INDEX(F_ProductBM!I:I,MATCH($P735,F_ProductBM!$P:$P,0))="","",INDEX(F_ProductBM!I:I,MATCH($P735,F_ProductBM!$P:$P,0))))</f>
        <v/>
      </c>
      <c r="J735" s="436" t="str">
        <f>IF($I709="","",IF(INDEX(F_ProductBM!J:J,MATCH($P735,F_ProductBM!$P:$P,0))="","",INDEX(F_ProductBM!J:J,MATCH($P735,F_ProductBM!$P:$P,0))))</f>
        <v/>
      </c>
      <c r="K735" s="436" t="str">
        <f>IF($I709="","",IF(INDEX(F_ProductBM!K:K,MATCH($P735,F_ProductBM!$P:$P,0))="","",INDEX(F_ProductBM!K:K,MATCH($P735,F_ProductBM!$P:$P,0))))</f>
        <v/>
      </c>
      <c r="L735" s="436" t="str">
        <f>IF($I709="","",IF(INDEX(F_ProductBM!L:L,MATCH($P735,F_ProductBM!$P:$P,0))="","",INDEX(F_ProductBM!L:L,MATCH($P735,F_ProductBM!$P:$P,0))))</f>
        <v/>
      </c>
      <c r="M735" s="436" t="str">
        <f>IF($I709="","",IF(INDEX(F_ProductBM!M:M,MATCH($P735,F_ProductBM!$P:$P,0))="","",INDEX(F_ProductBM!M:M,MATCH($P735,F_ProductBM!$P:$P,0))))</f>
        <v/>
      </c>
      <c r="N735" s="342"/>
      <c r="O735" s="17"/>
      <c r="P735" s="116" t="str">
        <f>EUconst_CNTR_HeatImport &amp; I709</f>
        <v>HeatIm_</v>
      </c>
      <c r="T735" s="9"/>
    </row>
    <row r="736" spans="2:20" x14ac:dyDescent="0.25">
      <c r="B736" s="17"/>
      <c r="C736" s="17"/>
      <c r="D736" s="17"/>
      <c r="E736" s="1527" t="str">
        <f>Translations!$B$765</f>
        <v>Specific EF (imported heat)</v>
      </c>
      <c r="F736" s="1527"/>
      <c r="G736" s="1527"/>
      <c r="H736" s="343" t="str">
        <f>EUconst_tCO2pTJ</f>
        <v>t CO2 / TJ</v>
      </c>
      <c r="I736" s="437" t="str">
        <f>IF($I709="","",IF(INDEX(F_ProductBM!I:I,MATCH($P736,F_ProductBM!$P:$P,0))="","",INDEX(F_ProductBM!I:I,MATCH($P736,F_ProductBM!$P:$P,0))))</f>
        <v/>
      </c>
      <c r="J736" s="437" t="str">
        <f>IF($I709="","",IF(INDEX(F_ProductBM!J:J,MATCH($P736,F_ProductBM!$P:$P,0))="","",INDEX(F_ProductBM!J:J,MATCH($P736,F_ProductBM!$P:$P,0))))</f>
        <v/>
      </c>
      <c r="K736" s="437" t="str">
        <f>IF($I709="","",IF(INDEX(F_ProductBM!K:K,MATCH($P736,F_ProductBM!$P:$P,0))="","",INDEX(F_ProductBM!K:K,MATCH($P736,F_ProductBM!$P:$P,0))))</f>
        <v/>
      </c>
      <c r="L736" s="437" t="str">
        <f>IF($I709="","",IF(INDEX(F_ProductBM!L:L,MATCH($P736,F_ProductBM!$P:$P,0))="","",INDEX(F_ProductBM!L:L,MATCH($P736,F_ProductBM!$P:$P,0))))</f>
        <v/>
      </c>
      <c r="M736" s="437" t="str">
        <f>IF($I709="","",IF(INDEX(F_ProductBM!M:M,MATCH($P736,F_ProductBM!$P:$P,0))="","",INDEX(F_ProductBM!M:M,MATCH($P736,F_ProductBM!$P:$P,0))))</f>
        <v/>
      </c>
      <c r="N736" s="342"/>
      <c r="O736" s="17"/>
      <c r="P736" s="116" t="str">
        <f>EUconst_CNTR_HeatImportEF &amp; I709</f>
        <v>HeatImEF_</v>
      </c>
      <c r="T736" s="9"/>
    </row>
    <row r="737" spans="2:20" ht="5.0999999999999996" customHeight="1" x14ac:dyDescent="0.25">
      <c r="B737" s="17"/>
      <c r="C737" s="17"/>
      <c r="D737" s="17"/>
      <c r="E737" s="193"/>
      <c r="F737" s="342"/>
      <c r="G737" s="342"/>
      <c r="H737" s="342"/>
      <c r="I737" s="438"/>
      <c r="J737" s="438"/>
      <c r="K737" s="438"/>
      <c r="L737" s="438"/>
      <c r="M737" s="438"/>
      <c r="N737" s="342"/>
      <c r="O737" s="17"/>
      <c r="P737" s="9"/>
      <c r="T737" s="9"/>
    </row>
    <row r="738" spans="2:20" x14ac:dyDescent="0.25">
      <c r="B738" s="17"/>
      <c r="C738" s="17"/>
      <c r="D738" s="17"/>
      <c r="E738" s="1528" t="str">
        <f>Translations!$B$820</f>
        <v>Net heat imported from pulp</v>
      </c>
      <c r="F738" s="1528"/>
      <c r="G738" s="1528"/>
      <c r="H738" s="154" t="str">
        <f>EUconst_TJpa</f>
        <v>TJ / year</v>
      </c>
      <c r="I738" s="439" t="str">
        <f>IF($I709="","",IF(INDEX(F_ProductBM!I:I,MATCH($P738,F_ProductBM!$P:$P,0))="","",INDEX(F_ProductBM!I:I,MATCH($P738,F_ProductBM!$P:$P,0))))</f>
        <v/>
      </c>
      <c r="J738" s="439" t="str">
        <f>IF($I709="","",IF(INDEX(F_ProductBM!J:J,MATCH($P738,F_ProductBM!$P:$P,0))="","",INDEX(F_ProductBM!J:J,MATCH($P738,F_ProductBM!$P:$P,0))))</f>
        <v/>
      </c>
      <c r="K738" s="439" t="str">
        <f>IF($I709="","",IF(INDEX(F_ProductBM!K:K,MATCH($P738,F_ProductBM!$P:$P,0))="","",INDEX(F_ProductBM!K:K,MATCH($P738,F_ProductBM!$P:$P,0))))</f>
        <v/>
      </c>
      <c r="L738" s="439" t="str">
        <f>IF($I709="","",IF(INDEX(F_ProductBM!L:L,MATCH($P738,F_ProductBM!$P:$P,0))="","",INDEX(F_ProductBM!L:L,MATCH($P738,F_ProductBM!$P:$P,0))))</f>
        <v/>
      </c>
      <c r="M738" s="439" t="str">
        <f>IF($I709="","",IF(INDEX(F_ProductBM!M:M,MATCH($P738,F_ProductBM!$P:$P,0))="","",INDEX(F_ProductBM!M:M,MATCH($P738,F_ProductBM!$P:$P,0))))</f>
        <v/>
      </c>
      <c r="N738" s="342"/>
      <c r="O738" s="17"/>
      <c r="P738" s="116" t="str">
        <f>EUconst_CNTR_HeatImportPulp &amp; I709</f>
        <v>HeatImPulp_</v>
      </c>
      <c r="T738" s="9"/>
    </row>
    <row r="739" spans="2:20" x14ac:dyDescent="0.25">
      <c r="B739" s="17"/>
      <c r="C739" s="17"/>
      <c r="D739" s="17"/>
      <c r="E739" s="1528" t="str">
        <f>Translations!$B$768</f>
        <v>Net heat imported from nitric acid sub-installation</v>
      </c>
      <c r="F739" s="1528"/>
      <c r="G739" s="1528"/>
      <c r="H739" s="154" t="str">
        <f>EUconst_TJpa</f>
        <v>TJ / year</v>
      </c>
      <c r="I739" s="439" t="str">
        <f>IF($I709="","",IF(INDEX(F_ProductBM!I:I,MATCH($P739,F_ProductBM!$P:$P,0))="","",INDEX(F_ProductBM!I:I,MATCH($P739,F_ProductBM!$P:$P,0))))</f>
        <v/>
      </c>
      <c r="J739" s="439" t="str">
        <f>IF($I709="","",IF(INDEX(F_ProductBM!J:J,MATCH($P739,F_ProductBM!$P:$P,0))="","",INDEX(F_ProductBM!J:J,MATCH($P739,F_ProductBM!$P:$P,0))))</f>
        <v/>
      </c>
      <c r="K739" s="439" t="str">
        <f>IF($I709="","",IF(INDEX(F_ProductBM!K:K,MATCH($P739,F_ProductBM!$P:$P,0))="","",INDEX(F_ProductBM!K:K,MATCH($P739,F_ProductBM!$P:$P,0))))</f>
        <v/>
      </c>
      <c r="L739" s="439" t="str">
        <f>IF($I709="","",IF(INDEX(F_ProductBM!L:L,MATCH($P739,F_ProductBM!$P:$P,0))="","",INDEX(F_ProductBM!L:L,MATCH($P739,F_ProductBM!$P:$P,0))))</f>
        <v/>
      </c>
      <c r="M739" s="439" t="str">
        <f>IF($I709="","",IF(INDEX(F_ProductBM!M:M,MATCH($P739,F_ProductBM!$P:$P,0))="","",INDEX(F_ProductBM!M:M,MATCH($P739,F_ProductBM!$P:$P,0))))</f>
        <v/>
      </c>
      <c r="N739" s="342"/>
      <c r="O739" s="17"/>
      <c r="P739" s="116" t="str">
        <f>EUconst_CNTR_HeatImportNitric &amp; I709</f>
        <v>HeatImNitric_</v>
      </c>
      <c r="T739" s="9"/>
    </row>
    <row r="740" spans="2:20" ht="5.0999999999999996" customHeight="1" x14ac:dyDescent="0.25">
      <c r="B740" s="17"/>
      <c r="C740" s="17"/>
      <c r="D740" s="17"/>
      <c r="E740" s="193"/>
      <c r="F740" s="193"/>
      <c r="G740" s="193"/>
      <c r="H740" s="193"/>
      <c r="I740" s="438"/>
      <c r="J740" s="438"/>
      <c r="K740" s="438"/>
      <c r="L740" s="438"/>
      <c r="M740" s="438"/>
      <c r="N740" s="342"/>
      <c r="O740" s="17"/>
      <c r="P740" s="9"/>
      <c r="T740" s="9"/>
    </row>
    <row r="741" spans="2:20" x14ac:dyDescent="0.25">
      <c r="B741" s="17"/>
      <c r="C741" s="17"/>
      <c r="D741" s="17"/>
      <c r="E741" s="1526" t="str">
        <f>Translations!$B$770</f>
        <v>Net heat exported</v>
      </c>
      <c r="F741" s="1526"/>
      <c r="G741" s="1526"/>
      <c r="H741" s="939" t="str">
        <f>EUconst_TJpa</f>
        <v>TJ / year</v>
      </c>
      <c r="I741" s="436" t="str">
        <f>IF($I709="","",IF(INDEX(F_ProductBM!I:I,MATCH($P741,F_ProductBM!$P:$P,0))="","",INDEX(F_ProductBM!I:I,MATCH($P741,F_ProductBM!$P:$P,0))))</f>
        <v/>
      </c>
      <c r="J741" s="436" t="str">
        <f>IF($I709="","",IF(INDEX(F_ProductBM!J:J,MATCH($P741,F_ProductBM!$P:$P,0))="","",INDEX(F_ProductBM!J:J,MATCH($P741,F_ProductBM!$P:$P,0))))</f>
        <v/>
      </c>
      <c r="K741" s="436" t="str">
        <f>IF($I709="","",IF(INDEX(F_ProductBM!K:K,MATCH($P741,F_ProductBM!$P:$P,0))="","",INDEX(F_ProductBM!K:K,MATCH($P741,F_ProductBM!$P:$P,0))))</f>
        <v/>
      </c>
      <c r="L741" s="436" t="str">
        <f>IF($I709="","",IF(INDEX(F_ProductBM!L:L,MATCH($P741,F_ProductBM!$P:$P,0))="","",INDEX(F_ProductBM!L:L,MATCH($P741,F_ProductBM!$P:$P,0))))</f>
        <v/>
      </c>
      <c r="M741" s="436" t="str">
        <f>IF($I709="","",IF(INDEX(F_ProductBM!M:M,MATCH($P741,F_ProductBM!$P:$P,0))="","",INDEX(F_ProductBM!M:M,MATCH($P741,F_ProductBM!$P:$P,0))))</f>
        <v/>
      </c>
      <c r="N741" s="342"/>
      <c r="O741" s="17"/>
      <c r="P741" s="116" t="str">
        <f>EUconst_CNTR_HeatExport &amp; I709</f>
        <v>HeatEx_</v>
      </c>
      <c r="T741" s="9"/>
    </row>
    <row r="742" spans="2:20" x14ac:dyDescent="0.25">
      <c r="B742" s="17"/>
      <c r="C742" s="17"/>
      <c r="D742" s="17"/>
      <c r="E742" s="1527" t="str">
        <f>Translations!$B$771</f>
        <v>Specific EF (exported heat)</v>
      </c>
      <c r="F742" s="1527"/>
      <c r="G742" s="1527"/>
      <c r="H742" s="343" t="str">
        <f>EUconst_tCO2pTJ</f>
        <v>t CO2 / TJ</v>
      </c>
      <c r="I742" s="437" t="str">
        <f>IF($I709="","",IF(INDEX(F_ProductBM!I:I,MATCH($P742,F_ProductBM!$P:$P,0))="","",INDEX(F_ProductBM!I:I,MATCH($P742,F_ProductBM!$P:$P,0))))</f>
        <v/>
      </c>
      <c r="J742" s="437" t="str">
        <f>IF($I709="","",IF(INDEX(F_ProductBM!J:J,MATCH($P742,F_ProductBM!$P:$P,0))="","",INDEX(F_ProductBM!J:J,MATCH($P742,F_ProductBM!$P:$P,0))))</f>
        <v/>
      </c>
      <c r="K742" s="437" t="str">
        <f>IF($I709="","",IF(INDEX(F_ProductBM!K:K,MATCH($P742,F_ProductBM!$P:$P,0))="","",INDEX(F_ProductBM!K:K,MATCH($P742,F_ProductBM!$P:$P,0))))</f>
        <v/>
      </c>
      <c r="L742" s="437" t="str">
        <f>IF($I709="","",IF(INDEX(F_ProductBM!L:L,MATCH($P742,F_ProductBM!$P:$P,0))="","",INDEX(F_ProductBM!L:L,MATCH($P742,F_ProductBM!$P:$P,0))))</f>
        <v/>
      </c>
      <c r="M742" s="437" t="str">
        <f>IF($I709="","",IF(INDEX(F_ProductBM!M:M,MATCH($P742,F_ProductBM!$P:$P,0))="","",INDEX(F_ProductBM!M:M,MATCH($P742,F_ProductBM!$P:$P,0))))</f>
        <v/>
      </c>
      <c r="N742" s="342"/>
      <c r="O742" s="17"/>
      <c r="P742" s="116" t="str">
        <f>EUconst_CNTR_HeatExportEF &amp; I709</f>
        <v>HeatExEF_</v>
      </c>
      <c r="T742" s="9"/>
    </row>
    <row r="743" spans="2:20" ht="5.0999999999999996" customHeight="1" x14ac:dyDescent="0.25">
      <c r="B743" s="17"/>
      <c r="C743" s="17"/>
      <c r="D743" s="17"/>
      <c r="E743" s="193"/>
      <c r="F743" s="193"/>
      <c r="G743" s="193"/>
      <c r="H743" s="193"/>
      <c r="I743" s="438"/>
      <c r="J743" s="438"/>
      <c r="K743" s="438"/>
      <c r="L743" s="438"/>
      <c r="M743" s="438"/>
      <c r="N743" s="342"/>
      <c r="O743" s="17"/>
      <c r="P743" s="9"/>
      <c r="T743" s="9"/>
    </row>
    <row r="744" spans="2:20" x14ac:dyDescent="0.25">
      <c r="B744" s="17"/>
      <c r="C744" s="17"/>
      <c r="D744" s="17"/>
      <c r="E744" s="1526" t="str">
        <f>Translations!$B$778</f>
        <v>Waste gas produced</v>
      </c>
      <c r="F744" s="1526"/>
      <c r="G744" s="1526"/>
      <c r="H744" s="939" t="str">
        <f>EUconst_TJpa</f>
        <v>TJ / year</v>
      </c>
      <c r="I744" s="436" t="str">
        <f>IF($I709="","",IF(INDEX(F_ProductBM!I:I,MATCH($P744,F_ProductBM!$P:$P,0))="","",INDEX(F_ProductBM!I:I,MATCH($P744,F_ProductBM!$P:$P,0))))</f>
        <v/>
      </c>
      <c r="J744" s="436" t="str">
        <f>IF($I709="","",IF(INDEX(F_ProductBM!J:J,MATCH($P744,F_ProductBM!$P:$P,0))="","",INDEX(F_ProductBM!J:J,MATCH($P744,F_ProductBM!$P:$P,0))))</f>
        <v/>
      </c>
      <c r="K744" s="436" t="str">
        <f>IF($I709="","",IF(INDEX(F_ProductBM!K:K,MATCH($P744,F_ProductBM!$P:$P,0))="","",INDEX(F_ProductBM!K:K,MATCH($P744,F_ProductBM!$P:$P,0))))</f>
        <v/>
      </c>
      <c r="L744" s="436" t="str">
        <f>IF($I709="","",IF(INDEX(F_ProductBM!L:L,MATCH($P744,F_ProductBM!$P:$P,0))="","",INDEX(F_ProductBM!L:L,MATCH($P744,F_ProductBM!$P:$P,0))))</f>
        <v/>
      </c>
      <c r="M744" s="436" t="str">
        <f>IF($I709="","",IF(INDEX(F_ProductBM!M:M,MATCH($P744,F_ProductBM!$P:$P,0))="","",INDEX(F_ProductBM!M:M,MATCH($P744,F_ProductBM!$P:$P,0))))</f>
        <v/>
      </c>
      <c r="N744" s="342"/>
      <c r="O744" s="17"/>
      <c r="P744" s="341" t="str">
        <f>EUconst_CNTR_WGProduced &amp; I709</f>
        <v>WasteGasProd_</v>
      </c>
      <c r="T744" s="9"/>
    </row>
    <row r="745" spans="2:20" x14ac:dyDescent="0.25">
      <c r="B745" s="17"/>
      <c r="C745" s="17"/>
      <c r="D745" s="17"/>
      <c r="E745" s="1527" t="str">
        <f>Translations!$B$779</f>
        <v>Specific EF (produced waste gas)</v>
      </c>
      <c r="F745" s="1527"/>
      <c r="G745" s="1527"/>
      <c r="H745" s="343" t="str">
        <f>EUconst_tCO2pTJ</f>
        <v>t CO2 / TJ</v>
      </c>
      <c r="I745" s="437" t="str">
        <f>IF($I709="","",IF(INDEX(F_ProductBM!I:I,MATCH($P745,F_ProductBM!$P:$P,0))="","",INDEX(F_ProductBM!I:I,MATCH($P745,F_ProductBM!$P:$P,0))))</f>
        <v/>
      </c>
      <c r="J745" s="437" t="str">
        <f>IF($I709="","",IF(INDEX(F_ProductBM!J:J,MATCH($P745,F_ProductBM!$P:$P,0))="","",INDEX(F_ProductBM!J:J,MATCH($P745,F_ProductBM!$P:$P,0))))</f>
        <v/>
      </c>
      <c r="K745" s="437" t="str">
        <f>IF($I709="","",IF(INDEX(F_ProductBM!K:K,MATCH($P745,F_ProductBM!$P:$P,0))="","",INDEX(F_ProductBM!K:K,MATCH($P745,F_ProductBM!$P:$P,0))))</f>
        <v/>
      </c>
      <c r="L745" s="437" t="str">
        <f>IF($I709="","",IF(INDEX(F_ProductBM!L:L,MATCH($P745,F_ProductBM!$P:$P,0))="","",INDEX(F_ProductBM!L:L,MATCH($P745,F_ProductBM!$P:$P,0))))</f>
        <v/>
      </c>
      <c r="M745" s="437" t="str">
        <f>IF($I709="","",IF(INDEX(F_ProductBM!M:M,MATCH($P745,F_ProductBM!$P:$P,0))="","",INDEX(F_ProductBM!M:M,MATCH($P745,F_ProductBM!$P:$P,0))))</f>
        <v/>
      </c>
      <c r="N745" s="342"/>
      <c r="O745" s="17"/>
      <c r="P745" s="116" t="str">
        <f>EUconst_CNTR_WGProducedEF &amp; I709</f>
        <v>WasteGasProdEF_</v>
      </c>
      <c r="T745" s="9"/>
    </row>
    <row r="746" spans="2:20" x14ac:dyDescent="0.25">
      <c r="B746" s="17"/>
      <c r="C746" s="17"/>
      <c r="D746" s="17"/>
      <c r="E746" s="1526" t="str">
        <f>Translations!$B$783</f>
        <v>Waste gas consumed</v>
      </c>
      <c r="F746" s="1526"/>
      <c r="G746" s="1526"/>
      <c r="H746" s="939" t="str">
        <f>EUconst_TJpa</f>
        <v>TJ / year</v>
      </c>
      <c r="I746" s="436" t="str">
        <f>IF($I709="","",IF(INDEX(F_ProductBM!I:I,MATCH($P746,F_ProductBM!$P:$P,0))="","",INDEX(F_ProductBM!I:I,MATCH($P746,F_ProductBM!$P:$P,0))))</f>
        <v/>
      </c>
      <c r="J746" s="436" t="str">
        <f>IF($I709="","",IF(INDEX(F_ProductBM!J:J,MATCH($P746,F_ProductBM!$P:$P,0))="","",INDEX(F_ProductBM!J:J,MATCH($P746,F_ProductBM!$P:$P,0))))</f>
        <v/>
      </c>
      <c r="K746" s="436" t="str">
        <f>IF($I709="","",IF(INDEX(F_ProductBM!K:K,MATCH($P746,F_ProductBM!$P:$P,0))="","",INDEX(F_ProductBM!K:K,MATCH($P746,F_ProductBM!$P:$P,0))))</f>
        <v/>
      </c>
      <c r="L746" s="436" t="str">
        <f>IF($I709="","",IF(INDEX(F_ProductBM!L:L,MATCH($P746,F_ProductBM!$P:$P,0))="","",INDEX(F_ProductBM!L:L,MATCH($P746,F_ProductBM!$P:$P,0))))</f>
        <v/>
      </c>
      <c r="M746" s="436" t="str">
        <f>IF($I709="","",IF(INDEX(F_ProductBM!M:M,MATCH($P746,F_ProductBM!$P:$P,0))="","",INDEX(F_ProductBM!M:M,MATCH($P746,F_ProductBM!$P:$P,0))))</f>
        <v/>
      </c>
      <c r="N746" s="342"/>
      <c r="O746" s="17"/>
      <c r="P746" s="116" t="str">
        <f>EUconst_CNTR_WGConsumed &amp; I709</f>
        <v>WasteGasCons_</v>
      </c>
      <c r="T746" s="9"/>
    </row>
    <row r="747" spans="2:20" x14ac:dyDescent="0.25">
      <c r="B747" s="17"/>
      <c r="C747" s="17"/>
      <c r="D747" s="17"/>
      <c r="E747" s="1527" t="str">
        <f>Translations!$B$784</f>
        <v>Specific EF (consumed waste gas)</v>
      </c>
      <c r="F747" s="1527"/>
      <c r="G747" s="1527"/>
      <c r="H747" s="343" t="str">
        <f>EUconst_tCO2pTJ</f>
        <v>t CO2 / TJ</v>
      </c>
      <c r="I747" s="437" t="str">
        <f>IF($I709="","",IF(INDEX(F_ProductBM!I:I,MATCH($P747,F_ProductBM!$P:$P,0))="","",INDEX(F_ProductBM!I:I,MATCH($P747,F_ProductBM!$P:$P,0))))</f>
        <v/>
      </c>
      <c r="J747" s="437" t="str">
        <f>IF($I709="","",IF(INDEX(F_ProductBM!J:J,MATCH($P747,F_ProductBM!$P:$P,0))="","",INDEX(F_ProductBM!J:J,MATCH($P747,F_ProductBM!$P:$P,0))))</f>
        <v/>
      </c>
      <c r="K747" s="437" t="str">
        <f>IF($I709="","",IF(INDEX(F_ProductBM!K:K,MATCH($P747,F_ProductBM!$P:$P,0))="","",INDEX(F_ProductBM!K:K,MATCH($P747,F_ProductBM!$P:$P,0))))</f>
        <v/>
      </c>
      <c r="L747" s="437" t="str">
        <f>IF($I709="","",IF(INDEX(F_ProductBM!L:L,MATCH($P747,F_ProductBM!$P:$P,0))="","",INDEX(F_ProductBM!L:L,MATCH($P747,F_ProductBM!$P:$P,0))))</f>
        <v/>
      </c>
      <c r="M747" s="437" t="str">
        <f>IF($I709="","",IF(INDEX(F_ProductBM!M:M,MATCH($P747,F_ProductBM!$P:$P,0))="","",INDEX(F_ProductBM!M:M,MATCH($P747,F_ProductBM!$P:$P,0))))</f>
        <v/>
      </c>
      <c r="N747" s="342"/>
      <c r="O747" s="17"/>
      <c r="P747" s="116" t="str">
        <f>EUconst_CNTR_WGConsumedEF &amp; I709</f>
        <v>WasteGasConsEF_</v>
      </c>
      <c r="T747" s="9"/>
    </row>
    <row r="748" spans="2:20" x14ac:dyDescent="0.25">
      <c r="B748" s="17"/>
      <c r="C748" s="17"/>
      <c r="D748" s="17"/>
      <c r="E748" s="1526" t="str">
        <f>Translations!$B$790</f>
        <v>Waste gas flared</v>
      </c>
      <c r="F748" s="1526"/>
      <c r="G748" s="1526"/>
      <c r="H748" s="939" t="str">
        <f>EUconst_TJpa</f>
        <v>TJ / year</v>
      </c>
      <c r="I748" s="436" t="str">
        <f>IF($I709="","",IF(INDEX(F_ProductBM!I:I,MATCH($P748,F_ProductBM!$P:$P,0))="","",INDEX(F_ProductBM!I:I,MATCH($P748,F_ProductBM!$P:$P,0))))</f>
        <v/>
      </c>
      <c r="J748" s="436" t="str">
        <f>IF($I709="","",IF(INDEX(F_ProductBM!J:J,MATCH($P748,F_ProductBM!$P:$P,0))="","",INDEX(F_ProductBM!J:J,MATCH($P748,F_ProductBM!$P:$P,0))))</f>
        <v/>
      </c>
      <c r="K748" s="436" t="str">
        <f>IF($I709="","",IF(INDEX(F_ProductBM!K:K,MATCH($P748,F_ProductBM!$P:$P,0))="","",INDEX(F_ProductBM!K:K,MATCH($P748,F_ProductBM!$P:$P,0))))</f>
        <v/>
      </c>
      <c r="L748" s="436" t="str">
        <f>IF($I709="","",IF(INDEX(F_ProductBM!L:L,MATCH($P748,F_ProductBM!$P:$P,0))="","",INDEX(F_ProductBM!L:L,MATCH($P748,F_ProductBM!$P:$P,0))))</f>
        <v/>
      </c>
      <c r="M748" s="436" t="str">
        <f>IF($I709="","",IF(INDEX(F_ProductBM!M:M,MATCH($P748,F_ProductBM!$P:$P,0))="","",INDEX(F_ProductBM!M:M,MATCH($P748,F_ProductBM!$P:$P,0))))</f>
        <v/>
      </c>
      <c r="N748" s="342"/>
      <c r="O748" s="17"/>
      <c r="P748" s="116" t="str">
        <f>EUconst_CNTR_WGFlared &amp; I709</f>
        <v>WasteGasFlare_</v>
      </c>
      <c r="T748" s="9"/>
    </row>
    <row r="749" spans="2:20" x14ac:dyDescent="0.25">
      <c r="B749" s="17"/>
      <c r="C749" s="17"/>
      <c r="D749" s="17"/>
      <c r="E749" s="1527" t="str">
        <f>Translations!$B$791</f>
        <v>Specific EF (flared waste gas)</v>
      </c>
      <c r="F749" s="1527"/>
      <c r="G749" s="1527"/>
      <c r="H749" s="343" t="str">
        <f>EUconst_tCO2pTJ</f>
        <v>t CO2 / TJ</v>
      </c>
      <c r="I749" s="437" t="str">
        <f>IF($I709="","",IF(INDEX(F_ProductBM!I:I,MATCH($P749,F_ProductBM!$P:$P,0))="","",INDEX(F_ProductBM!I:I,MATCH($P749,F_ProductBM!$P:$P,0))))</f>
        <v/>
      </c>
      <c r="J749" s="437" t="str">
        <f>IF($I709="","",IF(INDEX(F_ProductBM!J:J,MATCH($P749,F_ProductBM!$P:$P,0))="","",INDEX(F_ProductBM!J:J,MATCH($P749,F_ProductBM!$P:$P,0))))</f>
        <v/>
      </c>
      <c r="K749" s="437" t="str">
        <f>IF($I709="","",IF(INDEX(F_ProductBM!K:K,MATCH($P749,F_ProductBM!$P:$P,0))="","",INDEX(F_ProductBM!K:K,MATCH($P749,F_ProductBM!$P:$P,0))))</f>
        <v/>
      </c>
      <c r="L749" s="437" t="str">
        <f>IF($I709="","",IF(INDEX(F_ProductBM!L:L,MATCH($P749,F_ProductBM!$P:$P,0))="","",INDEX(F_ProductBM!L:L,MATCH($P749,F_ProductBM!$P:$P,0))))</f>
        <v/>
      </c>
      <c r="M749" s="437" t="str">
        <f>IF($I709="","",IF(INDEX(F_ProductBM!M:M,MATCH($P749,F_ProductBM!$P:$P,0))="","",INDEX(F_ProductBM!M:M,MATCH($P749,F_ProductBM!$P:$P,0))))</f>
        <v/>
      </c>
      <c r="N749" s="342"/>
      <c r="O749" s="17"/>
      <c r="P749" s="116" t="str">
        <f>EUconst_CNTR_WGFlaredEF &amp; I709</f>
        <v>WasteGasFlareEF_</v>
      </c>
      <c r="T749" s="9"/>
    </row>
    <row r="750" spans="2:20" x14ac:dyDescent="0.25">
      <c r="B750" s="17"/>
      <c r="C750" s="17"/>
      <c r="D750" s="17"/>
      <c r="E750" s="1526" t="str">
        <f>Translations!$B$796</f>
        <v>Waste gas imported</v>
      </c>
      <c r="F750" s="1526"/>
      <c r="G750" s="1526"/>
      <c r="H750" s="939" t="str">
        <f>EUconst_TJpa</f>
        <v>TJ / year</v>
      </c>
      <c r="I750" s="436" t="str">
        <f>IF($I709="","",IF(INDEX(F_ProductBM!I:I,MATCH($P750,F_ProductBM!$P:$P,0))="","",INDEX(F_ProductBM!I:I,MATCH($P750,F_ProductBM!$P:$P,0))))</f>
        <v/>
      </c>
      <c r="J750" s="436" t="str">
        <f>IF($I709="","",IF(INDEX(F_ProductBM!J:J,MATCH($P750,F_ProductBM!$P:$P,0))="","",INDEX(F_ProductBM!J:J,MATCH($P750,F_ProductBM!$P:$P,0))))</f>
        <v/>
      </c>
      <c r="K750" s="436" t="str">
        <f>IF($I709="","",IF(INDEX(F_ProductBM!K:K,MATCH($P750,F_ProductBM!$P:$P,0))="","",INDEX(F_ProductBM!K:K,MATCH($P750,F_ProductBM!$P:$P,0))))</f>
        <v/>
      </c>
      <c r="L750" s="436" t="str">
        <f>IF($I709="","",IF(INDEX(F_ProductBM!L:L,MATCH($P750,F_ProductBM!$P:$P,0))="","",INDEX(F_ProductBM!L:L,MATCH($P750,F_ProductBM!$P:$P,0))))</f>
        <v/>
      </c>
      <c r="M750" s="436" t="str">
        <f>IF($I709="","",IF(INDEX(F_ProductBM!M:M,MATCH($P750,F_ProductBM!$P:$P,0))="","",INDEX(F_ProductBM!M:M,MATCH($P750,F_ProductBM!$P:$P,0))))</f>
        <v/>
      </c>
      <c r="N750" s="342"/>
      <c r="O750" s="17"/>
      <c r="P750" s="116" t="str">
        <f>EUconst_CNTR_WGImport &amp; I709</f>
        <v>WasteGasIm_</v>
      </c>
      <c r="T750" s="9"/>
    </row>
    <row r="751" spans="2:20" x14ac:dyDescent="0.25">
      <c r="B751" s="17"/>
      <c r="C751" s="17"/>
      <c r="D751" s="17"/>
      <c r="E751" s="1527" t="str">
        <f>Translations!$B$797</f>
        <v>Specific EF (imported waste gas)</v>
      </c>
      <c r="F751" s="1527"/>
      <c r="G751" s="1527"/>
      <c r="H751" s="343" t="str">
        <f>EUconst_tCO2pTJ</f>
        <v>t CO2 / TJ</v>
      </c>
      <c r="I751" s="437" t="str">
        <f>IF($I709="","",IF(INDEX(F_ProductBM!I:I,MATCH($P751,F_ProductBM!$P:$P,0))="","",INDEX(F_ProductBM!I:I,MATCH($P751,F_ProductBM!$P:$P,0))))</f>
        <v/>
      </c>
      <c r="J751" s="437" t="str">
        <f>IF($I709="","",IF(INDEX(F_ProductBM!J:J,MATCH($P751,F_ProductBM!$P:$P,0))="","",INDEX(F_ProductBM!J:J,MATCH($P751,F_ProductBM!$P:$P,0))))</f>
        <v/>
      </c>
      <c r="K751" s="437" t="str">
        <f>IF($I709="","",IF(INDEX(F_ProductBM!K:K,MATCH($P751,F_ProductBM!$P:$P,0))="","",INDEX(F_ProductBM!K:K,MATCH($P751,F_ProductBM!$P:$P,0))))</f>
        <v/>
      </c>
      <c r="L751" s="437" t="str">
        <f>IF($I709="","",IF(INDEX(F_ProductBM!L:L,MATCH($P751,F_ProductBM!$P:$P,0))="","",INDEX(F_ProductBM!L:L,MATCH($P751,F_ProductBM!$P:$P,0))))</f>
        <v/>
      </c>
      <c r="M751" s="437" t="str">
        <f>IF($I709="","",IF(INDEX(F_ProductBM!M:M,MATCH($P751,F_ProductBM!$P:$P,0))="","",INDEX(F_ProductBM!M:M,MATCH($P751,F_ProductBM!$P:$P,0))))</f>
        <v/>
      </c>
      <c r="N751" s="342"/>
      <c r="O751" s="17"/>
      <c r="P751" s="116" t="str">
        <f>EUconst_CNTR_WGImportEF &amp; I709</f>
        <v>WasteGasImEF_</v>
      </c>
      <c r="T751" s="9"/>
    </row>
    <row r="752" spans="2:20" x14ac:dyDescent="0.25">
      <c r="B752" s="17"/>
      <c r="C752" s="17"/>
      <c r="D752" s="17"/>
      <c r="E752" s="1526" t="str">
        <f>Translations!$B$801</f>
        <v>Waste gas exported</v>
      </c>
      <c r="F752" s="1526"/>
      <c r="G752" s="1526"/>
      <c r="H752" s="939" t="str">
        <f>EUconst_TJpa</f>
        <v>TJ / year</v>
      </c>
      <c r="I752" s="436" t="str">
        <f>IF($I709="","",IF(INDEX(F_ProductBM!I:I,MATCH($P752,F_ProductBM!$P:$P,0))="","",INDEX(F_ProductBM!I:I,MATCH($P752,F_ProductBM!$P:$P,0))))</f>
        <v/>
      </c>
      <c r="J752" s="436" t="str">
        <f>IF($I709="","",IF(INDEX(F_ProductBM!J:J,MATCH($P752,F_ProductBM!$P:$P,0))="","",INDEX(F_ProductBM!J:J,MATCH($P752,F_ProductBM!$P:$P,0))))</f>
        <v/>
      </c>
      <c r="K752" s="436" t="str">
        <f>IF($I709="","",IF(INDEX(F_ProductBM!K:K,MATCH($P752,F_ProductBM!$P:$P,0))="","",INDEX(F_ProductBM!K:K,MATCH($P752,F_ProductBM!$P:$P,0))))</f>
        <v/>
      </c>
      <c r="L752" s="436" t="str">
        <f>IF($I709="","",IF(INDEX(F_ProductBM!L:L,MATCH($P752,F_ProductBM!$P:$P,0))="","",INDEX(F_ProductBM!L:L,MATCH($P752,F_ProductBM!$P:$P,0))))</f>
        <v/>
      </c>
      <c r="M752" s="436" t="str">
        <f>IF($I709="","",IF(INDEX(F_ProductBM!M:M,MATCH($P752,F_ProductBM!$P:$P,0))="","",INDEX(F_ProductBM!M:M,MATCH($P752,F_ProductBM!$P:$P,0))))</f>
        <v/>
      </c>
      <c r="N752" s="342"/>
      <c r="O752" s="17"/>
      <c r="P752" s="116" t="str">
        <f>EUconst_CNTR_WGExport &amp; I709</f>
        <v>WasteGasEx_</v>
      </c>
      <c r="T752" s="9"/>
    </row>
    <row r="753" spans="2:20" x14ac:dyDescent="0.25">
      <c r="B753" s="17"/>
      <c r="C753" s="17"/>
      <c r="D753" s="17"/>
      <c r="E753" s="1527" t="str">
        <f>Translations!$B$802</f>
        <v>Specific EF (exported waste gas)</v>
      </c>
      <c r="F753" s="1527"/>
      <c r="G753" s="1527"/>
      <c r="H753" s="343" t="str">
        <f>EUconst_tCO2pTJ</f>
        <v>t CO2 / TJ</v>
      </c>
      <c r="I753" s="437" t="str">
        <f>IF($I709="","",IF(INDEX(F_ProductBM!I:I,MATCH($P753,F_ProductBM!$P:$P,0))="","",INDEX(F_ProductBM!I:I,MATCH($P753,F_ProductBM!$P:$P,0))))</f>
        <v/>
      </c>
      <c r="J753" s="437" t="str">
        <f>IF($I709="","",IF(INDEX(F_ProductBM!J:J,MATCH($P753,F_ProductBM!$P:$P,0))="","",INDEX(F_ProductBM!J:J,MATCH($P753,F_ProductBM!$P:$P,0))))</f>
        <v/>
      </c>
      <c r="K753" s="437" t="str">
        <f>IF($I709="","",IF(INDEX(F_ProductBM!K:K,MATCH($P753,F_ProductBM!$P:$P,0))="","",INDEX(F_ProductBM!K:K,MATCH($P753,F_ProductBM!$P:$P,0))))</f>
        <v/>
      </c>
      <c r="L753" s="437" t="str">
        <f>IF($I709="","",IF(INDEX(F_ProductBM!L:L,MATCH($P753,F_ProductBM!$P:$P,0))="","",INDEX(F_ProductBM!L:L,MATCH($P753,F_ProductBM!$P:$P,0))))</f>
        <v/>
      </c>
      <c r="M753" s="437" t="str">
        <f>IF($I709="","",IF(INDEX(F_ProductBM!M:M,MATCH($P753,F_ProductBM!$P:$P,0))="","",INDEX(F_ProductBM!M:M,MATCH($P753,F_ProductBM!$P:$P,0))))</f>
        <v/>
      </c>
      <c r="N753" s="342"/>
      <c r="O753" s="17"/>
      <c r="P753" s="116" t="str">
        <f>EUconst_CNTR_WGExportEF &amp; I709</f>
        <v>WasteGasExEF_</v>
      </c>
      <c r="T753" s="9"/>
    </row>
    <row r="754" spans="2:20" ht="5.0999999999999996" customHeight="1" x14ac:dyDescent="0.25">
      <c r="B754" s="17"/>
      <c r="C754" s="17"/>
      <c r="D754" s="17"/>
      <c r="E754" s="193"/>
      <c r="F754" s="193"/>
      <c r="G754" s="193"/>
      <c r="H754" s="193"/>
      <c r="I754" s="438"/>
      <c r="J754" s="438"/>
      <c r="K754" s="438"/>
      <c r="L754" s="438"/>
      <c r="M754" s="438"/>
      <c r="N754" s="342"/>
      <c r="O754" s="17"/>
      <c r="P754" s="9"/>
      <c r="T754" s="9"/>
    </row>
    <row r="755" spans="2:20" x14ac:dyDescent="0.25">
      <c r="B755" s="17"/>
      <c r="C755" s="17"/>
      <c r="D755" s="17"/>
      <c r="E755" s="1528" t="str">
        <f>Translations!$B$689</f>
        <v>Relevant electricity consumption</v>
      </c>
      <c r="F755" s="1528"/>
      <c r="G755" s="1528"/>
      <c r="H755" s="154" t="str">
        <f>EUconst_MWhpa</f>
        <v>MWh / year</v>
      </c>
      <c r="I755" s="439" t="str">
        <f>IF($I709="","",IF(INDEX(F_ProductBM!I:I,MATCH($P755,F_ProductBM!$Q:$Q,0))="","",INDEX(F_ProductBM!I:I,MATCH($P755,F_ProductBM!$Q:$Q,0))))</f>
        <v/>
      </c>
      <c r="J755" s="439" t="str">
        <f>IF($I709="","",IF(INDEX(F_ProductBM!J:J,MATCH($P755,F_ProductBM!$Q:$Q,0))="","",INDEX(F_ProductBM!J:J,MATCH($P755,F_ProductBM!$Q:$Q,0))))</f>
        <v/>
      </c>
      <c r="K755" s="439" t="str">
        <f>IF($I709="","",IF(INDEX(F_ProductBM!K:K,MATCH($P755,F_ProductBM!$Q:$Q,0))="","",INDEX(F_ProductBM!K:K,MATCH($P755,F_ProductBM!$Q:$Q,0))))</f>
        <v/>
      </c>
      <c r="L755" s="439" t="str">
        <f>IF($I709="","",IF(INDEX(F_ProductBM!L:L,MATCH($P755,F_ProductBM!$Q:$Q,0))="","",INDEX(F_ProductBM!L:L,MATCH($P755,F_ProductBM!$Q:$Q,0))))</f>
        <v/>
      </c>
      <c r="M755" s="439" t="str">
        <f>IF($I709="","",IF(INDEX(F_ProductBM!M:M,MATCH($P755,F_ProductBM!$Q:$Q,0))="","",INDEX(F_ProductBM!M:M,MATCH($P755,F_ProductBM!$Q:$Q,0))))</f>
        <v/>
      </c>
      <c r="N755" s="342"/>
      <c r="O755" s="17"/>
      <c r="P755" s="63" t="str">
        <f>EUconst_CNTR_HAL&amp;EUconst_CNTR_ELEXCH &amp; I709</f>
        <v>HAL_ELEXCH_</v>
      </c>
      <c r="T755" s="9"/>
    </row>
    <row r="756" spans="2:20" x14ac:dyDescent="0.25">
      <c r="B756" s="17"/>
      <c r="C756" s="17"/>
      <c r="D756" s="17"/>
      <c r="E756" s="1528" t="str">
        <f>Translations!$B$805</f>
        <v>Electricity produced</v>
      </c>
      <c r="F756" s="1528"/>
      <c r="G756" s="1528"/>
      <c r="H756" s="154" t="str">
        <f>EUconst_MWhpa</f>
        <v>MWh / year</v>
      </c>
      <c r="I756" s="439" t="str">
        <f>IF($I709="","",IF(INDEX(F_ProductBM!I:I,MATCH($P756,F_ProductBM!$P:$P,0))="","",INDEX(F_ProductBM!I:I,MATCH($P756,F_ProductBM!$P:$P,0))))</f>
        <v/>
      </c>
      <c r="J756" s="439" t="str">
        <f>IF($I709="","",IF(INDEX(F_ProductBM!J:J,MATCH($P756,F_ProductBM!$P:$P,0))="","",INDEX(F_ProductBM!J:J,MATCH($P756,F_ProductBM!$P:$P,0))))</f>
        <v/>
      </c>
      <c r="K756" s="439" t="str">
        <f>IF($I709="","",IF(INDEX(F_ProductBM!K:K,MATCH($P756,F_ProductBM!$P:$P,0))="","",INDEX(F_ProductBM!K:K,MATCH($P756,F_ProductBM!$P:$P,0))))</f>
        <v/>
      </c>
      <c r="L756" s="439" t="str">
        <f>IF($I709="","",IF(INDEX(F_ProductBM!L:L,MATCH($P756,F_ProductBM!$P:$P,0))="","",INDEX(F_ProductBM!L:L,MATCH($P756,F_ProductBM!$P:$P,0))))</f>
        <v/>
      </c>
      <c r="M756" s="439" t="str">
        <f>IF($I709="","",IF(INDEX(F_ProductBM!M:M,MATCH($P756,F_ProductBM!$P:$P,0))="","",INDEX(F_ProductBM!M:M,MATCH($P756,F_ProductBM!$P:$P,0))))</f>
        <v/>
      </c>
      <c r="N756" s="342"/>
      <c r="O756" s="17"/>
      <c r="P756" s="116" t="str">
        <f>EUconst_CNTR_ElectricityExported &amp; I709</f>
        <v>ElecEx_</v>
      </c>
      <c r="T756" s="9"/>
    </row>
    <row r="757" spans="2:20" ht="5.0999999999999996" customHeight="1" x14ac:dyDescent="0.25">
      <c r="B757" s="17"/>
      <c r="C757" s="17"/>
      <c r="D757" s="17"/>
      <c r="E757" s="193"/>
      <c r="F757" s="193"/>
      <c r="G757" s="193"/>
      <c r="H757" s="193"/>
      <c r="I757" s="438"/>
      <c r="J757" s="438"/>
      <c r="K757" s="438"/>
      <c r="L757" s="438"/>
      <c r="M757" s="438"/>
      <c r="N757" s="342"/>
      <c r="O757" s="17"/>
      <c r="P757" s="9"/>
      <c r="T757" s="9"/>
    </row>
    <row r="758" spans="2:20" x14ac:dyDescent="0.25">
      <c r="B758" s="17"/>
      <c r="C758" s="17"/>
      <c r="D758" s="17"/>
      <c r="E758" s="1528" t="str">
        <f>Translations!$B$806</f>
        <v>Total amount of pulp produced</v>
      </c>
      <c r="F758" s="1528"/>
      <c r="G758" s="1528"/>
      <c r="H758" s="154" t="str">
        <f>EUconst_Tons</f>
        <v>tonnes</v>
      </c>
      <c r="I758" s="439" t="str">
        <f>IF($I709="","",IF(INDEX(F_ProductBM!I:I,MATCH($P758,F_ProductBM!$P:$P,0))="","",INDEX(F_ProductBM!I:I,MATCH($P758,F_ProductBM!$P:$P,0))))</f>
        <v/>
      </c>
      <c r="J758" s="439" t="str">
        <f>IF($I709="","",IF(INDEX(F_ProductBM!J:J,MATCH($P758,F_ProductBM!$P:$P,0))="","",INDEX(F_ProductBM!J:J,MATCH($P758,F_ProductBM!$P:$P,0))))</f>
        <v/>
      </c>
      <c r="K758" s="439" t="str">
        <f>IF($I709="","",IF(INDEX(F_ProductBM!K:K,MATCH($P758,F_ProductBM!$P:$P,0))="","",INDEX(F_ProductBM!K:K,MATCH($P758,F_ProductBM!$P:$P,0))))</f>
        <v/>
      </c>
      <c r="L758" s="439" t="str">
        <f>IF($I709="","",IF(INDEX(F_ProductBM!L:L,MATCH($P758,F_ProductBM!$P:$P,0))="","",INDEX(F_ProductBM!L:L,MATCH($P758,F_ProductBM!$P:$P,0))))</f>
        <v/>
      </c>
      <c r="M758" s="439" t="str">
        <f>IF($I709="","",IF(INDEX(F_ProductBM!M:M,MATCH($P758,F_ProductBM!$P:$P,0))="","",INDEX(F_ProductBM!M:M,MATCH($P758,F_ProductBM!$P:$P,0))))</f>
        <v/>
      </c>
      <c r="N758" s="342"/>
      <c r="O758" s="17"/>
      <c r="P758" s="116" t="str">
        <f>EUconst_CNTR_HALPulpTotal &amp; I709</f>
        <v>HALPulpTotal_</v>
      </c>
      <c r="T758" s="9"/>
    </row>
    <row r="759" spans="2:20" ht="5.0999999999999996" customHeight="1" x14ac:dyDescent="0.25">
      <c r="B759" s="17"/>
      <c r="C759" s="17"/>
      <c r="D759" s="17"/>
      <c r="E759" s="193"/>
      <c r="F759" s="193"/>
      <c r="G759" s="193"/>
      <c r="H759" s="193"/>
      <c r="I759" s="438"/>
      <c r="J759" s="438"/>
      <c r="K759" s="438"/>
      <c r="L759" s="438"/>
      <c r="M759" s="438"/>
      <c r="N759" s="342"/>
      <c r="O759" s="17"/>
      <c r="P759" s="9"/>
      <c r="T759" s="9"/>
    </row>
    <row r="760" spans="2:20" x14ac:dyDescent="0.25">
      <c r="B760" s="17"/>
      <c r="C760" s="17"/>
      <c r="D760" s="17"/>
      <c r="E760" s="605" t="str">
        <f>Translations!$B$1239</f>
        <v>Intermediate import:</v>
      </c>
      <c r="F760" s="193"/>
      <c r="G760" s="193"/>
      <c r="H760" s="193"/>
      <c r="I760" s="438"/>
      <c r="J760" s="438"/>
      <c r="K760" s="438"/>
      <c r="L760" s="438"/>
      <c r="M760" s="438"/>
      <c r="N760" s="342"/>
      <c r="O760" s="17"/>
      <c r="P760" s="9"/>
      <c r="T760" s="9"/>
    </row>
    <row r="761" spans="2:20" x14ac:dyDescent="0.25">
      <c r="B761" s="17"/>
      <c r="C761" s="17"/>
      <c r="D761" s="17"/>
      <c r="E761" s="1510" t="str">
        <f>IF($I709="","",IF(INDEX(F_ProductBM!E:E,MATCH($P761,F_ProductBM!$P:$P,0))="","",INDEX(F_ProductBM!E:E,MATCH($P761,F_ProductBM!$P:$P,0))))</f>
        <v/>
      </c>
      <c r="F761" s="1510"/>
      <c r="G761" s="1510"/>
      <c r="H761" s="154" t="str">
        <f>EUconst_Tons</f>
        <v>tonnes</v>
      </c>
      <c r="I761" s="439" t="str">
        <f>IF($I709="","",IF(INDEX(F_ProductBM!I:I,MATCH($P761,F_ProductBM!$P:$P,0))="","",INDEX(F_ProductBM!I:I,MATCH($P761,F_ProductBM!$P:$P,0))))</f>
        <v/>
      </c>
      <c r="J761" s="439" t="str">
        <f>IF($I709="","",IF(INDEX(F_ProductBM!J:J,MATCH($P761,F_ProductBM!$P:$P,0))="","",INDEX(F_ProductBM!J:J,MATCH($P761,F_ProductBM!$P:$P,0))))</f>
        <v/>
      </c>
      <c r="K761" s="439" t="str">
        <f>IF($I709="","",IF(INDEX(F_ProductBM!K:K,MATCH($P761,F_ProductBM!$P:$P,0))="","",INDEX(F_ProductBM!K:K,MATCH($P761,F_ProductBM!$P:$P,0))))</f>
        <v/>
      </c>
      <c r="L761" s="439" t="str">
        <f>IF($I709="","",IF(INDEX(F_ProductBM!L:L,MATCH($P761,F_ProductBM!$P:$P,0))="","",INDEX(F_ProductBM!L:L,MATCH($P761,F_ProductBM!$P:$P,0))))</f>
        <v/>
      </c>
      <c r="M761" s="439" t="str">
        <f>IF($I709="","",IF(INDEX(F_ProductBM!M:M,MATCH($P761,F_ProductBM!$P:$P,0))="","",INDEX(F_ProductBM!M:M,MATCH($P761,F_ProductBM!$P:$P,0))))</f>
        <v/>
      </c>
      <c r="N761" s="342"/>
      <c r="O761" s="17"/>
      <c r="P761" s="116" t="str">
        <f>EUconst_CNTR_IntermediateImport &amp; R761 &amp; "_" &amp; I709</f>
        <v>IntImp_1_</v>
      </c>
      <c r="R761" s="372">
        <v>1</v>
      </c>
      <c r="T761" s="9"/>
    </row>
    <row r="762" spans="2:20" x14ac:dyDescent="0.25">
      <c r="B762" s="17"/>
      <c r="C762" s="17"/>
      <c r="D762" s="17"/>
      <c r="E762" s="1510" t="str">
        <f>IF($I709="","",IF(INDEX(F_ProductBM!E:E,MATCH($P762,F_ProductBM!$P:$P,0))="","",INDEX(F_ProductBM!E:E,MATCH($P762,F_ProductBM!$P:$P,0))))</f>
        <v/>
      </c>
      <c r="F762" s="1510"/>
      <c r="G762" s="1510"/>
      <c r="H762" s="154" t="str">
        <f>EUconst_Tons</f>
        <v>tonnes</v>
      </c>
      <c r="I762" s="439" t="str">
        <f>IF($I709="","",IF(INDEX(F_ProductBM!I:I,MATCH($P762,F_ProductBM!$P:$P,0))="","",INDEX(F_ProductBM!I:I,MATCH($P762,F_ProductBM!$P:$P,0))))</f>
        <v/>
      </c>
      <c r="J762" s="439" t="str">
        <f>IF($I709="","",IF(INDEX(F_ProductBM!J:J,MATCH($P762,F_ProductBM!$P:$P,0))="","",INDEX(F_ProductBM!J:J,MATCH($P762,F_ProductBM!$P:$P,0))))</f>
        <v/>
      </c>
      <c r="K762" s="439" t="str">
        <f>IF($I709="","",IF(INDEX(F_ProductBM!K:K,MATCH($P762,F_ProductBM!$P:$P,0))="","",INDEX(F_ProductBM!K:K,MATCH($P762,F_ProductBM!$P:$P,0))))</f>
        <v/>
      </c>
      <c r="L762" s="439" t="str">
        <f>IF($I709="","",IF(INDEX(F_ProductBM!L:L,MATCH($P762,F_ProductBM!$P:$P,0))="","",INDEX(F_ProductBM!L:L,MATCH($P762,F_ProductBM!$P:$P,0))))</f>
        <v/>
      </c>
      <c r="M762" s="439" t="str">
        <f>IF($I709="","",IF(INDEX(F_ProductBM!M:M,MATCH($P762,F_ProductBM!$P:$P,0))="","",INDEX(F_ProductBM!M:M,MATCH($P762,F_ProductBM!$P:$P,0))))</f>
        <v/>
      </c>
      <c r="N762" s="342"/>
      <c r="O762" s="17"/>
      <c r="P762" s="116" t="str">
        <f>EUconst_CNTR_IntermediateImport &amp; R762 &amp; "_" &amp; I709</f>
        <v>IntImp_2_</v>
      </c>
      <c r="R762" s="372">
        <v>2</v>
      </c>
      <c r="T762" s="9"/>
    </row>
    <row r="763" spans="2:20" x14ac:dyDescent="0.25">
      <c r="B763" s="17"/>
      <c r="C763" s="17"/>
      <c r="D763" s="17"/>
      <c r="E763" s="605" t="str">
        <f>Translations!$B$1240</f>
        <v>Intermediate export:</v>
      </c>
      <c r="F763" s="193"/>
      <c r="G763" s="193"/>
      <c r="H763" s="193"/>
      <c r="I763" s="438"/>
      <c r="J763" s="438"/>
      <c r="K763" s="438"/>
      <c r="L763" s="438"/>
      <c r="M763" s="438"/>
      <c r="N763" s="342"/>
      <c r="O763" s="17"/>
      <c r="P763" s="9"/>
      <c r="T763" s="9"/>
    </row>
    <row r="764" spans="2:20" x14ac:dyDescent="0.25">
      <c r="B764" s="17"/>
      <c r="C764" s="17"/>
      <c r="D764" s="17"/>
      <c r="E764" s="1510" t="str">
        <f>IF($I709="","",IF(INDEX(F_ProductBM!E:E,MATCH($P764,F_ProductBM!$P:$P,0))="","",INDEX(F_ProductBM!E:E,MATCH($P764,F_ProductBM!$P:$P,0))))</f>
        <v/>
      </c>
      <c r="F764" s="1510"/>
      <c r="G764" s="1510"/>
      <c r="H764" s="154" t="str">
        <f>EUconst_Tons</f>
        <v>tonnes</v>
      </c>
      <c r="I764" s="439" t="str">
        <f>IF($I709="","",IF(INDEX(F_ProductBM!I:I,MATCH($P764,F_ProductBM!$P:$P,0))="","",INDEX(F_ProductBM!I:I,MATCH($P764,F_ProductBM!$P:$P,0))))</f>
        <v/>
      </c>
      <c r="J764" s="439" t="str">
        <f>IF($I709="","",IF(INDEX(F_ProductBM!J:J,MATCH($P764,F_ProductBM!$P:$P,0))="","",INDEX(F_ProductBM!J:J,MATCH($P764,F_ProductBM!$P:$P,0))))</f>
        <v/>
      </c>
      <c r="K764" s="439" t="str">
        <f>IF($I709="","",IF(INDEX(F_ProductBM!K:K,MATCH($P764,F_ProductBM!$P:$P,0))="","",INDEX(F_ProductBM!K:K,MATCH($P764,F_ProductBM!$P:$P,0))))</f>
        <v/>
      </c>
      <c r="L764" s="439" t="str">
        <f>IF($I709="","",IF(INDEX(F_ProductBM!L:L,MATCH($P764,F_ProductBM!$P:$P,0))="","",INDEX(F_ProductBM!L:L,MATCH($P764,F_ProductBM!$P:$P,0))))</f>
        <v/>
      </c>
      <c r="M764" s="439" t="str">
        <f>IF($I709="","",IF(INDEX(F_ProductBM!M:M,MATCH($P764,F_ProductBM!$P:$P,0))="","",INDEX(F_ProductBM!M:M,MATCH($P764,F_ProductBM!$P:$P,0))))</f>
        <v/>
      </c>
      <c r="N764" s="342"/>
      <c r="O764" s="17"/>
      <c r="P764" s="116" t="str">
        <f>EUconst_CNTR_IntermediateExport &amp; R761 &amp; "_" &amp; I709</f>
        <v>IntExp_1_</v>
      </c>
      <c r="R764" s="372">
        <v>1</v>
      </c>
      <c r="T764" s="9"/>
    </row>
    <row r="765" spans="2:20" x14ac:dyDescent="0.25">
      <c r="B765" s="17"/>
      <c r="C765" s="17"/>
      <c r="D765" s="17"/>
      <c r="E765" s="1510" t="str">
        <f>IF($I709="","",IF(INDEX(F_ProductBM!E:E,MATCH($P765,F_ProductBM!$P:$P,0))="","",INDEX(F_ProductBM!E:E,MATCH($P765,F_ProductBM!$P:$P,0))))</f>
        <v/>
      </c>
      <c r="F765" s="1510"/>
      <c r="G765" s="1510"/>
      <c r="H765" s="154" t="str">
        <f>EUconst_Tons</f>
        <v>tonnes</v>
      </c>
      <c r="I765" s="439" t="str">
        <f>IF($I709="","",IF(INDEX(F_ProductBM!I:I,MATCH($P765,F_ProductBM!$P:$P,0))="","",INDEX(F_ProductBM!I:I,MATCH($P765,F_ProductBM!$P:$P,0))))</f>
        <v/>
      </c>
      <c r="J765" s="439" t="str">
        <f>IF($I709="","",IF(INDEX(F_ProductBM!J:J,MATCH($P765,F_ProductBM!$P:$P,0))="","",INDEX(F_ProductBM!J:J,MATCH($P765,F_ProductBM!$P:$P,0))))</f>
        <v/>
      </c>
      <c r="K765" s="439" t="str">
        <f>IF($I709="","",IF(INDEX(F_ProductBM!K:K,MATCH($P765,F_ProductBM!$P:$P,0))="","",INDEX(F_ProductBM!K:K,MATCH($P765,F_ProductBM!$P:$P,0))))</f>
        <v/>
      </c>
      <c r="L765" s="439" t="str">
        <f>IF($I709="","",IF(INDEX(F_ProductBM!L:L,MATCH($P765,F_ProductBM!$P:$P,0))="","",INDEX(F_ProductBM!L:L,MATCH($P765,F_ProductBM!$P:$P,0))))</f>
        <v/>
      </c>
      <c r="M765" s="439" t="str">
        <f>IF($I709="","",IF(INDEX(F_ProductBM!M:M,MATCH($P765,F_ProductBM!$P:$P,0))="","",INDEX(F_ProductBM!M:M,MATCH($P765,F_ProductBM!$P:$P,0))))</f>
        <v/>
      </c>
      <c r="N765" s="342"/>
      <c r="O765" s="17"/>
      <c r="P765" s="116" t="str">
        <f>EUconst_CNTR_IntermediateExport &amp; R765 &amp; "_" &amp; I709</f>
        <v>IntExp_2_</v>
      </c>
      <c r="R765" s="372">
        <v>2</v>
      </c>
      <c r="T765" s="9"/>
    </row>
    <row r="766" spans="2:20" ht="12.75" customHeight="1" x14ac:dyDescent="0.25">
      <c r="B766" s="17"/>
      <c r="C766" s="17"/>
      <c r="D766" s="17"/>
      <c r="E766" s="193"/>
      <c r="F766" s="193"/>
      <c r="G766" s="193"/>
      <c r="H766" s="193"/>
      <c r="I766" s="342"/>
      <c r="J766" s="342"/>
      <c r="K766" s="342"/>
      <c r="L766" s="342"/>
      <c r="M766" s="342"/>
      <c r="N766" s="342"/>
      <c r="O766" s="17"/>
      <c r="P766" s="9"/>
      <c r="T766" s="9"/>
    </row>
    <row r="767" spans="2:20" ht="5.0999999999999996" customHeight="1" thickBot="1" x14ac:dyDescent="0.3">
      <c r="B767" s="17"/>
      <c r="C767" s="17"/>
      <c r="D767" s="17"/>
      <c r="E767" s="445"/>
      <c r="F767" s="276"/>
      <c r="G767" s="276"/>
      <c r="H767" s="276"/>
      <c r="I767" s="276"/>
      <c r="J767" s="276"/>
      <c r="K767" s="276"/>
      <c r="L767" s="276"/>
      <c r="M767" s="276"/>
      <c r="N767" s="276"/>
      <c r="O767" s="17"/>
      <c r="T767" s="9"/>
    </row>
    <row r="768" spans="2:20" ht="5.0999999999999996" customHeight="1" thickBot="1" x14ac:dyDescent="0.3">
      <c r="B768" s="8"/>
      <c r="C768" s="906"/>
      <c r="D768" s="906"/>
      <c r="E768" s="906"/>
      <c r="F768" s="906"/>
      <c r="G768" s="906"/>
      <c r="H768" s="906"/>
      <c r="I768" s="906"/>
      <c r="J768" s="906"/>
      <c r="K768" s="906"/>
      <c r="L768" s="906"/>
      <c r="M768" s="906"/>
      <c r="N768" s="906"/>
      <c r="O768" s="17"/>
      <c r="T768" s="9" t="s">
        <v>644</v>
      </c>
    </row>
    <row r="769" spans="2:20" ht="15" customHeight="1" thickBot="1" x14ac:dyDescent="0.3">
      <c r="B769" s="17"/>
      <c r="C769" s="19">
        <f>C709+1</f>
        <v>6</v>
      </c>
      <c r="D769" s="1234" t="str">
        <f>CONCATENATE(EUconst_BMSubinst," ",C769, ":")</f>
        <v>Sub-installation with product benchmark 6:</v>
      </c>
      <c r="E769" s="1234"/>
      <c r="F769" s="1234"/>
      <c r="G769" s="1234"/>
      <c r="H769" s="1704"/>
      <c r="I769" s="1550" t="str">
        <f>IF(INDEX(CNTR_SubInstListIsProdBM,$C769),INDEX(CNTR_SubInstListNames,$C769),"")</f>
        <v/>
      </c>
      <c r="J769" s="1705"/>
      <c r="K769" s="1705"/>
      <c r="L769" s="1705"/>
      <c r="M769" s="1705"/>
      <c r="N769" s="1706"/>
      <c r="O769" s="17"/>
      <c r="Q769" s="427">
        <f>C769</f>
        <v>6</v>
      </c>
      <c r="R769" s="424" t="str">
        <f>I769</f>
        <v/>
      </c>
      <c r="S769" s="426" t="str">
        <f>H772</f>
        <v>N.A.</v>
      </c>
      <c r="T769" s="425" t="str">
        <f>IF(M781="","",IF(S772=0,0,SUM(M781)/S772))</f>
        <v/>
      </c>
    </row>
    <row r="770" spans="2:20" ht="5.0999999999999996" customHeight="1" thickBot="1" x14ac:dyDescent="0.3">
      <c r="B770" s="17"/>
      <c r="C770" s="17"/>
      <c r="D770" s="17"/>
      <c r="E770" s="17"/>
      <c r="F770" s="17"/>
      <c r="G770" s="17"/>
      <c r="H770" s="17"/>
      <c r="I770" s="17"/>
      <c r="J770" s="17"/>
      <c r="K770" s="17"/>
      <c r="L770" s="17"/>
      <c r="M770" s="17"/>
      <c r="N770" s="17"/>
      <c r="O770" s="17"/>
      <c r="T770" s="9"/>
    </row>
    <row r="771" spans="2:20" x14ac:dyDescent="0.25">
      <c r="B771" s="17"/>
      <c r="C771" s="17"/>
      <c r="D771" s="17"/>
      <c r="E771" s="17"/>
      <c r="F771" s="17"/>
      <c r="G771" s="17"/>
      <c r="H771" s="253" t="str">
        <f>Translations!$B$1204</f>
        <v>CL-exposed</v>
      </c>
      <c r="I771" s="254" t="s">
        <v>629</v>
      </c>
      <c r="J771" s="254" t="str">
        <f>Translations!$B$1208</f>
        <v>Started</v>
      </c>
      <c r="K771" s="254" t="str">
        <f>Translations!$B$1206</f>
        <v>No. of BM</v>
      </c>
      <c r="L771" s="329" t="str">
        <f>Translations!$B$1212</f>
        <v>15(7).3?</v>
      </c>
      <c r="M771" s="468" t="str">
        <f>Translations!$B$1234</f>
        <v>BM value (min/max/actual)</v>
      </c>
      <c r="N771" s="469"/>
      <c r="O771" s="17"/>
      <c r="T771" s="9"/>
    </row>
    <row r="772" spans="2:20" x14ac:dyDescent="0.25">
      <c r="B772" s="17"/>
      <c r="C772" s="17"/>
      <c r="D772" s="17"/>
      <c r="E772" s="255" t="str">
        <f>I769</f>
        <v/>
      </c>
      <c r="F772" s="256"/>
      <c r="G772" s="230"/>
      <c r="H772" s="257" t="str">
        <f>IF(K772=EUconst_NA,EUconst_NA,INDEX(EUconst_BMlistCLstatus,K772))</f>
        <v>N.A.</v>
      </c>
      <c r="I772" s="258" t="str">
        <f>IF(E772="","",INDEX(EUconst_BMlistElExchangability,K772))</f>
        <v/>
      </c>
      <c r="J772" s="355" t="str">
        <f>IF($I769="",EUconst_NA,INDEX(CNTR_SubInstStartDate,MATCH(E772,CNTR_SubInstListNames,0)))</f>
        <v>N.A.</v>
      </c>
      <c r="K772" s="203" t="str">
        <f>IF($I769="",EUconst_NA,MATCH(E772,EUconst_BMlistNames,0))</f>
        <v>N.A.</v>
      </c>
      <c r="L772" s="467" t="str">
        <f>IF(E772="","",INDEX(CNTR_SubInstLess1Year,MATCH(E772,CNTR_SubInstListNames,0)))</f>
        <v/>
      </c>
      <c r="M772" s="470" t="str">
        <f>IF(I769="",EUconst_NA,INDEX(EUconst_BMlistBMvaluesMatrix,K772,2))</f>
        <v>N.A.</v>
      </c>
      <c r="N772" s="471" t="str">
        <f>EUconst_EUA &amp; "/" &amp; H777</f>
        <v>UKA/tonnes</v>
      </c>
      <c r="O772" s="17"/>
      <c r="R772" s="288" t="s">
        <v>639</v>
      </c>
      <c r="S772" s="335" t="str">
        <f>IF(H772=EUconst_NA,"",IF(H772,1,INDEX(EUconst_CLEFYears,1)))</f>
        <v/>
      </c>
      <c r="T772" s="9"/>
    </row>
    <row r="773" spans="2:20" x14ac:dyDescent="0.25">
      <c r="B773" s="17"/>
      <c r="C773" s="17"/>
      <c r="D773" s="17"/>
      <c r="E773" s="276"/>
      <c r="F773" s="276"/>
      <c r="G773" s="254" t="str">
        <f>Translations!$B$1218</f>
        <v>non-ETS heat</v>
      </c>
      <c r="H773" s="329" t="str">
        <f>Translations!$B$1220</f>
        <v>WGflare</v>
      </c>
      <c r="I773" s="254" t="s">
        <v>630</v>
      </c>
      <c r="J773" s="254" t="s">
        <v>631</v>
      </c>
      <c r="K773" s="254" t="s">
        <v>632</v>
      </c>
      <c r="L773" s="329" t="str">
        <f>Translations!$B$1214</f>
        <v>15(7).3 HAL</v>
      </c>
      <c r="M773" s="470" t="str">
        <f>IF(I769="",EUconst_NA,INDEX(EUconst_BMlistBMvaluesMatrix,K772,1))</f>
        <v>N.A.</v>
      </c>
      <c r="N773" s="471" t="str">
        <f>EUconst_EUA &amp; "/" &amp; H777</f>
        <v>UKA/tonnes</v>
      </c>
      <c r="O773" s="17"/>
      <c r="R773" s="288"/>
      <c r="S773" s="368"/>
      <c r="T773" s="9"/>
    </row>
    <row r="774" spans="2:20" ht="13.8" thickBot="1" x14ac:dyDescent="0.3">
      <c r="B774" s="17"/>
      <c r="C774" s="17"/>
      <c r="D774" s="17"/>
      <c r="E774" s="370" t="str">
        <f>Translations!$B$1235</f>
        <v>Special factors:</v>
      </c>
      <c r="F774" s="371"/>
      <c r="G774" s="203" t="str">
        <f>IF($I769="","",SUMIF(F_ProductBM!$P:$P,EUconst_CNTR_HEAT&amp;$I769,F_ProductBM!$Q:$Q))</f>
        <v/>
      </c>
      <c r="H774" s="353" t="str">
        <f>IF(OR($I769="",CNTR_BaselinePeriod&lt;&gt;2),"",SUMIF(F_ProductBM!$P:$P,EUconst_CNTR_WGFlaredEF &amp; I769,F_ProductBM!$R:$R))</f>
        <v/>
      </c>
      <c r="I774" s="334">
        <f>IF(AND($I769&lt;&gt;"",$I772=TRUE),IF(ISNUMBER(INDEX(F_ProductBM!$Q:$Q,MATCH(EUconst_CNTR_ELEXCH&amp;$I769,F_ProductBM!$P:$P,0))),INDEX(F_ProductBM!$Q:$Q,MATCH(EUconst_CNTR_ELEXCH&amp;$I769,F_ProductBM!$P:$P,0)),1),1)</f>
        <v>1</v>
      </c>
      <c r="J774" s="203" t="str">
        <f>IF($I769="","",IF($K772=42,SUMIF(H_SpecialBM!$P$9:$P$384,EUconst_CNTR_HVC,H_SpecialBM!$I$9:$I$384),0))</f>
        <v/>
      </c>
      <c r="K774" s="369" t="str">
        <f>IF($I769="","",IF($K772=47,IF(ISNUMBER(INDEX(H_SpecialBM!$Q$9:$Q$384,MATCH(EUconst_CNTR_VCM,H_SpecialBM!$P$9:$P$384,0))),INDEX(H_SpecialBM!$Q$9:$Q$384,MATCH(EUconst_CNTR_VCM,H_SpecialBM!$P$9:$P$384,0)),1),1))</f>
        <v/>
      </c>
      <c r="L774" s="353" t="str">
        <f>IF($L772=TRUE,SUMIF(F_ProductBM!$P$11:$P$2192,EUconst_CNTR_HAL&amp;$I769,F_ProductBM!$N$11:$N$2192),"")</f>
        <v/>
      </c>
      <c r="M774" s="472" t="str">
        <f>IF(I769="",EUconst_NA,IF(EUconst_StatusOfDataCollection,INDEX(EUconst_BMlistBMvaluesMatrix,K772,3),""))</f>
        <v>N.A.</v>
      </c>
      <c r="N774" s="473" t="str">
        <f>EUconst_EUA &amp; "/" &amp; H777</f>
        <v>UKA/tonnes</v>
      </c>
      <c r="O774" s="17"/>
      <c r="R774" s="288"/>
      <c r="S774" s="368"/>
      <c r="T774" s="9"/>
    </row>
    <row r="775" spans="2:20" ht="5.0999999999999996" customHeight="1" x14ac:dyDescent="0.25">
      <c r="B775" s="17"/>
      <c r="C775" s="17"/>
      <c r="D775" s="17"/>
      <c r="E775" s="17"/>
      <c r="F775" s="17"/>
      <c r="G775" s="17"/>
      <c r="H775" s="17"/>
      <c r="I775" s="17"/>
      <c r="J775" s="17"/>
      <c r="K775" s="17"/>
      <c r="L775" s="17"/>
      <c r="M775" s="17"/>
      <c r="N775" s="17"/>
      <c r="O775" s="17"/>
      <c r="T775" s="9"/>
    </row>
    <row r="776" spans="2:20" x14ac:dyDescent="0.25">
      <c r="B776" s="17"/>
      <c r="C776" s="17"/>
      <c r="D776" s="17"/>
      <c r="E776" s="78"/>
      <c r="F776" s="78"/>
      <c r="G776" s="259"/>
      <c r="H776" s="366" t="str">
        <f>EUconst_Unit</f>
        <v>Unit</v>
      </c>
      <c r="I776" s="149">
        <f>I$1397</f>
        <v>2019</v>
      </c>
      <c r="J776" s="149">
        <f>J$1397</f>
        <v>2020</v>
      </c>
      <c r="K776" s="149">
        <f>K$1397</f>
        <v>2021</v>
      </c>
      <c r="L776" s="149">
        <f>L$1397</f>
        <v>2022</v>
      </c>
      <c r="M776" s="149">
        <f>M$1397</f>
        <v>2023</v>
      </c>
      <c r="N776" s="17"/>
      <c r="O776" s="17"/>
      <c r="P776" s="63" t="s">
        <v>397</v>
      </c>
      <c r="T776" s="9"/>
    </row>
    <row r="777" spans="2:20" x14ac:dyDescent="0.25">
      <c r="B777" s="17"/>
      <c r="C777" s="17"/>
      <c r="D777" s="17"/>
      <c r="E777" s="260" t="str">
        <f>Translations!$B$1236</f>
        <v>HAL (Historic activity level) reported</v>
      </c>
      <c r="F777" s="261"/>
      <c r="G777" s="262"/>
      <c r="H777" s="257" t="str">
        <f>IF(ISNUMBER(K772),INDEX(EUconst_BMlistUnits,K772),EUconst_Tons)</f>
        <v>tonnes</v>
      </c>
      <c r="I777" s="203" t="str">
        <f>IF($I769="","",SUMIF(F_ProductBM!$P$11:$P$1876,$P777,F_ProductBM!I$11:I$1876))</f>
        <v/>
      </c>
      <c r="J777" s="203" t="str">
        <f>IF($I769="","",SUMIF(F_ProductBM!$P$11:$P$1876,$P777,F_ProductBM!J$11:J$1876))</f>
        <v/>
      </c>
      <c r="K777" s="203" t="str">
        <f>IF($I769="","",SUMIF(F_ProductBM!$P$11:$P$1876,$P777,F_ProductBM!K$11:K$1876))</f>
        <v/>
      </c>
      <c r="L777" s="203" t="str">
        <f>IF($I769="","",SUMIF(F_ProductBM!$P$11:$P$1876,$P777,F_ProductBM!L$11:L$1876))</f>
        <v/>
      </c>
      <c r="M777" s="203" t="str">
        <f>IF($I769="","",SUMIF(F_ProductBM!$P$11:$P$1876,$P777,F_ProductBM!M$11:M$1876))</f>
        <v/>
      </c>
      <c r="N777" s="254" t="str">
        <f>Translations!$B$1224</f>
        <v>Average</v>
      </c>
      <c r="O777" s="17"/>
      <c r="P777" s="63" t="str">
        <f>EUconst_CNTR_HAL&amp;I769</f>
        <v>HAL_</v>
      </c>
      <c r="T777" s="9"/>
    </row>
    <row r="778" spans="2:20" x14ac:dyDescent="0.25">
      <c r="B778" s="17"/>
      <c r="C778" s="17"/>
      <c r="D778" s="17"/>
      <c r="E778" s="260" t="str">
        <f>Translations!$B$1237</f>
        <v>Values used for HAL calculation:</v>
      </c>
      <c r="F778" s="261"/>
      <c r="G778" s="262"/>
      <c r="H778" s="257" t="str">
        <f>H777</f>
        <v>tonnes</v>
      </c>
      <c r="I778" s="203" t="str">
        <f>IF($I769="","",INDEX(F_ProductBM!S$11:S$1876,MATCH($P778,F_ProductBM!$P$11:$P$1876,0)))</f>
        <v/>
      </c>
      <c r="J778" s="203" t="str">
        <f>IF($I769="","",INDEX(F_ProductBM!T$11:T$1876,MATCH($P778,F_ProductBM!$P$11:$P$1876,0)))</f>
        <v/>
      </c>
      <c r="K778" s="203" t="str">
        <f>IF($I769="","",INDEX(F_ProductBM!U$11:U$1876,MATCH($P778,F_ProductBM!$P$11:$P$1876,0)))</f>
        <v/>
      </c>
      <c r="L778" s="203" t="str">
        <f>IF($I769="","",INDEX(F_ProductBM!V$11:V$1876,MATCH($P778,F_ProductBM!$P$11:$P$1876,0)))</f>
        <v/>
      </c>
      <c r="M778" s="203" t="str">
        <f>IF($I769="","",INDEX(F_ProductBM!W$11:W$1876,MATCH($P778,F_ProductBM!$P$11:$P$1876,0)))</f>
        <v/>
      </c>
      <c r="N778" s="203" t="str">
        <f>IF(OR($I769="",$L772=TRUE),"",IF(COUNT($I778:$M778)&gt;0,AVERAGE($I778:$M778),""))</f>
        <v/>
      </c>
      <c r="O778" s="17"/>
      <c r="P778" s="63" t="str">
        <f>EUconst_CNTR_HAL&amp;I769</f>
        <v>HAL_</v>
      </c>
      <c r="R778" s="442" t="s">
        <v>640</v>
      </c>
      <c r="S778" s="442" t="s">
        <v>641</v>
      </c>
      <c r="T778" s="442" t="s">
        <v>642</v>
      </c>
    </row>
    <row r="779" spans="2:20" ht="5.0999999999999996" customHeight="1" thickBot="1" x14ac:dyDescent="0.3">
      <c r="B779" s="17"/>
      <c r="C779" s="17"/>
      <c r="D779" s="17"/>
      <c r="E779" s="367"/>
      <c r="F779" s="367"/>
      <c r="G779" s="367"/>
      <c r="H779" s="367"/>
      <c r="I779" s="367"/>
      <c r="J779" s="367"/>
      <c r="K779" s="367"/>
      <c r="L779" s="367"/>
      <c r="M779" s="276"/>
      <c r="N779" s="276"/>
      <c r="O779" s="17"/>
      <c r="T779" s="9"/>
    </row>
    <row r="780" spans="2:20" ht="13.8" thickBot="1" x14ac:dyDescent="0.3">
      <c r="B780" s="17"/>
      <c r="C780" s="276"/>
      <c r="D780" s="17"/>
      <c r="E780" s="367"/>
      <c r="F780" s="336" t="s">
        <v>643</v>
      </c>
      <c r="G780" s="337"/>
      <c r="H780" s="276"/>
      <c r="I780" s="336" t="str">
        <f>Translations!$B$1226</f>
        <v>Prelim Alloc Year 1 (min)</v>
      </c>
      <c r="J780" s="337"/>
      <c r="K780" s="336" t="str">
        <f>Translations!$B$1229</f>
        <v>Prelim Alloc Year 1 (max)</v>
      </c>
      <c r="L780" s="337"/>
      <c r="M780" s="336" t="str">
        <f>Translations!$B$1231</f>
        <v>Prelim Alloc Year 1 (actual)</v>
      </c>
      <c r="N780" s="337"/>
      <c r="O780" s="17"/>
      <c r="P780" s="63" t="str">
        <f>EUconst_AllocPrelim&amp;I769</f>
        <v>AllocPrelim_</v>
      </c>
      <c r="R780" s="423" t="str">
        <f>IF(I781="","",IF(S772=0,0,SUM(I781)/S772))</f>
        <v/>
      </c>
      <c r="S780" s="423" t="str">
        <f>IF(K781="","",IF(S772=0,0,SUM(K781)/S772))</f>
        <v/>
      </c>
      <c r="T780" s="423" t="str">
        <f>T769</f>
        <v/>
      </c>
    </row>
    <row r="781" spans="2:20" ht="13.8" thickBot="1" x14ac:dyDescent="0.3">
      <c r="B781" s="17"/>
      <c r="C781" s="276"/>
      <c r="D781" s="276"/>
      <c r="E781" s="367"/>
      <c r="F781" s="264" t="str">
        <f>IF(I769="","",MAX(0, IF(L772=TRUE, SUM(L774), SUM(N778))))</f>
        <v/>
      </c>
      <c r="G781" s="265" t="str">
        <f>H777&amp;" / "&amp;EUconst_Year</f>
        <v>tonnes / year</v>
      </c>
      <c r="H781" s="276"/>
      <c r="I781" s="333" t="str">
        <f>IF(I769="","",ROUND((SUM(M772)*SUM(F781)*SUM(I774)*SUM(K774)-SUM(G774)-SUM(H774)+SUM(J774))*SUM(S772),0))</f>
        <v/>
      </c>
      <c r="J781" s="409" t="s">
        <v>645</v>
      </c>
      <c r="K781" s="333" t="str">
        <f>IF(I769="","",ROUND((SUM(M773)*SUM(F781)*SUM(I774)*SUM(K774)-SUM(G774)-SUM(H774)+SUM(J774))*SUM(S772),0))</f>
        <v/>
      </c>
      <c r="L781" s="409" t="s">
        <v>645</v>
      </c>
      <c r="M781" s="333" t="str">
        <f>IF(OR(I769="",M774=""),"",ROUND((SUM(M774)*SUM(F781)*SUM(I774)*SUM(K774)-SUM(G774)-SUM(H774)+SUM(J774))*SUM(S772),0))</f>
        <v/>
      </c>
      <c r="N781" s="409" t="s">
        <v>645</v>
      </c>
      <c r="O781" s="17"/>
      <c r="P781" s="63" t="str">
        <f>EUconst_HALsum &amp; I769</f>
        <v>HALsum_</v>
      </c>
      <c r="T781" s="9"/>
    </row>
    <row r="782" spans="2:20" ht="5.0999999999999996" customHeight="1" x14ac:dyDescent="0.25">
      <c r="B782" s="17"/>
      <c r="C782" s="17"/>
      <c r="D782" s="276"/>
      <c r="E782" s="113"/>
      <c r="F782" s="17"/>
      <c r="G782" s="17"/>
      <c r="H782" s="17"/>
      <c r="I782" s="17"/>
      <c r="J782" s="17"/>
      <c r="K782" s="17"/>
      <c r="L782" s="17"/>
      <c r="M782" s="17"/>
      <c r="N782" s="17"/>
      <c r="O782" s="17"/>
      <c r="T782" s="9"/>
    </row>
    <row r="783" spans="2:20" ht="12.75" customHeight="1" x14ac:dyDescent="0.25">
      <c r="B783" s="17"/>
      <c r="C783" s="17"/>
      <c r="D783" s="17"/>
      <c r="E783" s="193"/>
      <c r="F783" s="342"/>
      <c r="G783" s="342"/>
      <c r="H783" s="342"/>
      <c r="I783" s="342"/>
      <c r="J783" s="342"/>
      <c r="K783" s="342"/>
      <c r="L783" s="342"/>
      <c r="M783" s="342"/>
      <c r="N783" s="342"/>
      <c r="O783" s="17"/>
      <c r="T783" s="9"/>
    </row>
    <row r="784" spans="2:20" ht="13.8" thickBot="1" x14ac:dyDescent="0.3">
      <c r="B784" s="17"/>
      <c r="C784" s="17"/>
      <c r="D784" s="17"/>
      <c r="E784" s="193"/>
      <c r="F784" s="342"/>
      <c r="G784" s="342"/>
      <c r="H784" s="192" t="str">
        <f>EUconst_Unit</f>
        <v>Unit</v>
      </c>
      <c r="I784" s="441">
        <f>I$1397</f>
        <v>2019</v>
      </c>
      <c r="J784" s="153">
        <f>J$1397</f>
        <v>2020</v>
      </c>
      <c r="K784" s="153">
        <f>K$1397</f>
        <v>2021</v>
      </c>
      <c r="L784" s="153">
        <f>L$1397</f>
        <v>2022</v>
      </c>
      <c r="M784" s="153">
        <f>M$1397</f>
        <v>2023</v>
      </c>
      <c r="N784" s="342"/>
      <c r="O784" s="17"/>
      <c r="T784" s="9"/>
    </row>
    <row r="785" spans="2:20" ht="13.8" thickBot="1" x14ac:dyDescent="0.3">
      <c r="B785" s="17"/>
      <c r="C785" s="17"/>
      <c r="D785" s="17"/>
      <c r="E785" s="1610" t="str">
        <f>Translations!$B$1238</f>
        <v>Total attributed emissions</v>
      </c>
      <c r="F785" s="1610"/>
      <c r="G785" s="1610"/>
      <c r="H785" s="411" t="str">
        <f>EUconst_tCO2epa</f>
        <v>t CO2e/year</v>
      </c>
      <c r="I785" s="432" t="str">
        <f>INDEX(I$93:I$109,MATCH($I769,$E$93:$E$109,0))</f>
        <v/>
      </c>
      <c r="J785" s="433" t="str">
        <f>INDEX(J$93:J$109,MATCH($I769,$E$93:$E$109,0))</f>
        <v/>
      </c>
      <c r="K785" s="433" t="str">
        <f>INDEX(K$93:K$109,MATCH($I769,$E$93:$E$109,0))</f>
        <v/>
      </c>
      <c r="L785" s="433" t="str">
        <f>INDEX(L$93:L$109,MATCH($I769,$E$93:$E$109,0))</f>
        <v/>
      </c>
      <c r="M785" s="434" t="str">
        <f>INDEX(M$93:M$109,MATCH($I769,$E$93:$E$109,0))</f>
        <v/>
      </c>
      <c r="N785" s="342"/>
      <c r="O785" s="17"/>
      <c r="T785" s="9"/>
    </row>
    <row r="786" spans="2:20" ht="5.0999999999999996" customHeight="1" x14ac:dyDescent="0.25">
      <c r="B786" s="17"/>
      <c r="C786" s="17"/>
      <c r="D786" s="17"/>
      <c r="E786" s="193"/>
      <c r="F786" s="193"/>
      <c r="G786" s="193"/>
      <c r="H786" s="193"/>
      <c r="I786" s="435"/>
      <c r="J786" s="435"/>
      <c r="K786" s="435"/>
      <c r="L786" s="435"/>
      <c r="M786" s="435"/>
      <c r="N786" s="193"/>
      <c r="O786" s="17"/>
      <c r="T786" s="9"/>
    </row>
    <row r="787" spans="2:20" x14ac:dyDescent="0.25">
      <c r="B787" s="17"/>
      <c r="C787" s="17"/>
      <c r="D787" s="17"/>
      <c r="E787" s="1526" t="str">
        <f>Translations!$B$731</f>
        <v>Fuel input</v>
      </c>
      <c r="F787" s="1526"/>
      <c r="G787" s="1526"/>
      <c r="H787" s="939" t="str">
        <f>EUconst_TJpa</f>
        <v>TJ / year</v>
      </c>
      <c r="I787" s="436" t="str">
        <f>IF($I769="","",IF(INDEX(F_ProductBM!I:I,MATCH($P787,F_ProductBM!$P:$P,0))="","",INDEX(F_ProductBM!I:I,MATCH($P787,F_ProductBM!$P:$P,0))))</f>
        <v/>
      </c>
      <c r="J787" s="436" t="str">
        <f>IF($I769="","",IF(INDEX(F_ProductBM!J:J,MATCH($P787,F_ProductBM!$P:$P,0))="","",INDEX(F_ProductBM!J:J,MATCH($P787,F_ProductBM!$P:$P,0))))</f>
        <v/>
      </c>
      <c r="K787" s="436" t="str">
        <f>IF($I769="","",IF(INDEX(F_ProductBM!K:K,MATCH($P787,F_ProductBM!$P:$P,0))="","",INDEX(F_ProductBM!K:K,MATCH($P787,F_ProductBM!$P:$P,0))))</f>
        <v/>
      </c>
      <c r="L787" s="436" t="str">
        <f>IF($I769="","",IF(INDEX(F_ProductBM!L:L,MATCH($P787,F_ProductBM!$P:$P,0))="","",INDEX(F_ProductBM!L:L,MATCH($P787,F_ProductBM!$P:$P,0))))</f>
        <v/>
      </c>
      <c r="M787" s="436" t="str">
        <f>IF($I769="","",IF(INDEX(F_ProductBM!M:M,MATCH($P787,F_ProductBM!$P:$P,0))="","",INDEX(F_ProductBM!M:M,MATCH($P787,F_ProductBM!$P:$P,0))))</f>
        <v/>
      </c>
      <c r="N787" s="342"/>
      <c r="O787" s="17"/>
      <c r="P787" s="341" t="str">
        <f>EUconst_CNTR_FuelInput &amp; I769</f>
        <v>FuelInput_</v>
      </c>
      <c r="T787" s="9"/>
    </row>
    <row r="788" spans="2:20" x14ac:dyDescent="0.25">
      <c r="B788" s="17"/>
      <c r="C788" s="17"/>
      <c r="D788" s="17"/>
      <c r="E788" s="1527" t="str">
        <f>Translations!$B$732</f>
        <v>Weighted emission factor</v>
      </c>
      <c r="F788" s="1527"/>
      <c r="G788" s="1527"/>
      <c r="H788" s="343" t="str">
        <f>EUconst_tCO2pTJ</f>
        <v>t CO2 / TJ</v>
      </c>
      <c r="I788" s="437" t="str">
        <f>IF($I769="","",IF(INDEX(F_ProductBM!I:I,MATCH($P788,F_ProductBM!$P:$P,0))="","",INDEX(F_ProductBM!I:I,MATCH($P788,F_ProductBM!$P:$P,0))))</f>
        <v/>
      </c>
      <c r="J788" s="437" t="str">
        <f>IF($I769="","",IF(INDEX(F_ProductBM!J:J,MATCH($P788,F_ProductBM!$P:$P,0))="","",INDEX(F_ProductBM!J:J,MATCH($P788,F_ProductBM!$P:$P,0))))</f>
        <v/>
      </c>
      <c r="K788" s="437" t="str">
        <f>IF($I769="","",IF(INDEX(F_ProductBM!K:K,MATCH($P788,F_ProductBM!$P:$P,0))="","",INDEX(F_ProductBM!K:K,MATCH($P788,F_ProductBM!$P:$P,0))))</f>
        <v/>
      </c>
      <c r="L788" s="437" t="str">
        <f>IF($I769="","",IF(INDEX(F_ProductBM!L:L,MATCH($P788,F_ProductBM!$P:$P,0))="","",INDEX(F_ProductBM!L:L,MATCH($P788,F_ProductBM!$P:$P,0))))</f>
        <v/>
      </c>
      <c r="M788" s="437" t="str">
        <f>IF($I769="","",IF(INDEX(F_ProductBM!M:M,MATCH($P788,F_ProductBM!$P:$P,0))="","",INDEX(F_ProductBM!M:M,MATCH($P788,F_ProductBM!$P:$P,0))))</f>
        <v/>
      </c>
      <c r="N788" s="342"/>
      <c r="O788" s="17"/>
      <c r="P788" s="116" t="str">
        <f>EUconst_CNTR_FuelEF &amp; I769</f>
        <v>FuelEF_</v>
      </c>
      <c r="T788" s="9"/>
    </row>
    <row r="789" spans="2:20" ht="5.0999999999999996" customHeight="1" x14ac:dyDescent="0.25">
      <c r="B789" s="17"/>
      <c r="C789" s="17"/>
      <c r="D789" s="276"/>
      <c r="E789" s="193"/>
      <c r="F789" s="342"/>
      <c r="G789" s="342"/>
      <c r="H789" s="342"/>
      <c r="I789" s="438"/>
      <c r="J789" s="438"/>
      <c r="K789" s="438"/>
      <c r="L789" s="438"/>
      <c r="M789" s="438"/>
      <c r="N789" s="342"/>
      <c r="O789" s="17"/>
      <c r="T789" s="9"/>
    </row>
    <row r="790" spans="2:20" ht="12.75" customHeight="1" x14ac:dyDescent="0.25">
      <c r="B790" s="17"/>
      <c r="C790" s="17"/>
      <c r="D790" s="276"/>
      <c r="E790" s="1528" t="str">
        <f>Translations!$B$687</f>
        <v>Direct emissions</v>
      </c>
      <c r="F790" s="1528"/>
      <c r="G790" s="1528"/>
      <c r="H790" s="154" t="str">
        <f>EUconst_tCO2pa</f>
        <v>t CO2 / year</v>
      </c>
      <c r="I790" s="439" t="str">
        <f>IF($I769="","",IF(INDEX(F_ProductBM!I:I,MATCH($P790,F_ProductBM!$P:$P,0))="","",INDEX(F_ProductBM!I:I,MATCH($P790,F_ProductBM!$P:$P,0))))</f>
        <v/>
      </c>
      <c r="J790" s="439" t="str">
        <f>IF($I769="","",IF(INDEX(F_ProductBM!J:J,MATCH($P790,F_ProductBM!$P:$P,0))="","",INDEX(F_ProductBM!J:J,MATCH($P790,F_ProductBM!$P:$P,0))))</f>
        <v/>
      </c>
      <c r="K790" s="439" t="str">
        <f>IF($I769="","",IF(INDEX(F_ProductBM!K:K,MATCH($P790,F_ProductBM!$P:$P,0))="","",INDEX(F_ProductBM!K:K,MATCH($P790,F_ProductBM!$P:$P,0))))</f>
        <v/>
      </c>
      <c r="L790" s="439" t="str">
        <f>IF($I769="","",IF(INDEX(F_ProductBM!L:L,MATCH($P790,F_ProductBM!$P:$P,0))="","",INDEX(F_ProductBM!L:L,MATCH($P790,F_ProductBM!$P:$P,0))))</f>
        <v/>
      </c>
      <c r="M790" s="439" t="str">
        <f>IF($I769="","",IF(INDEX(F_ProductBM!M:M,MATCH($P790,F_ProductBM!$P:$P,0))="","",INDEX(F_ProductBM!M:M,MATCH($P790,F_ProductBM!$P:$P,0))))</f>
        <v/>
      </c>
      <c r="N790" s="342"/>
      <c r="O790" s="17"/>
      <c r="P790" s="116" t="str">
        <f>EUconst_CNTR_Emissions &amp; I769</f>
        <v>DirEmissions_</v>
      </c>
      <c r="T790" s="9"/>
    </row>
    <row r="791" spans="2:20" x14ac:dyDescent="0.25">
      <c r="B791" s="17"/>
      <c r="C791" s="17"/>
      <c r="D791" s="276"/>
      <c r="E791" s="1528" t="str">
        <f>Translations!$B$742</f>
        <v>Further source streams - 1</v>
      </c>
      <c r="F791" s="1528"/>
      <c r="G791" s="1528"/>
      <c r="H791" s="154" t="str">
        <f>EUconst_tCO2pa</f>
        <v>t CO2 / year</v>
      </c>
      <c r="I791" s="439" t="str">
        <f>IF($I769="","",IF(INDEX(F_ProductBM!I:I,MATCH($P791,F_ProductBM!$P:$P,0))="","",INDEX(F_ProductBM!I:I,MATCH($P791,F_ProductBM!$P:$P,0))))</f>
        <v/>
      </c>
      <c r="J791" s="439" t="str">
        <f>IF($I769="","",IF(INDEX(F_ProductBM!J:J,MATCH($P791,F_ProductBM!$P:$P,0))="","",INDEX(F_ProductBM!J:J,MATCH($P791,F_ProductBM!$P:$P,0))))</f>
        <v/>
      </c>
      <c r="K791" s="439" t="str">
        <f>IF($I769="","",IF(INDEX(F_ProductBM!K:K,MATCH($P791,F_ProductBM!$P:$P,0))="","",INDEX(F_ProductBM!K:K,MATCH($P791,F_ProductBM!$P:$P,0))))</f>
        <v/>
      </c>
      <c r="L791" s="439" t="str">
        <f>IF($I769="","",IF(INDEX(F_ProductBM!L:L,MATCH($P791,F_ProductBM!$P:$P,0))="","",INDEX(F_ProductBM!L:L,MATCH($P791,F_ProductBM!$P:$P,0))))</f>
        <v/>
      </c>
      <c r="M791" s="439" t="str">
        <f>IF($I769="","",IF(INDEX(F_ProductBM!M:M,MATCH($P791,F_ProductBM!$P:$P,0))="","",INDEX(F_ProductBM!M:M,MATCH($P791,F_ProductBM!$P:$P,0))))</f>
        <v/>
      </c>
      <c r="N791" s="342"/>
      <c r="O791" s="17"/>
      <c r="P791" s="116" t="str">
        <f>EUconst_CNTR_EmissionsIntSource1 &amp; I769</f>
        <v>EmInternalSource1_</v>
      </c>
      <c r="T791" s="9"/>
    </row>
    <row r="792" spans="2:20" x14ac:dyDescent="0.25">
      <c r="B792" s="17"/>
      <c r="C792" s="17"/>
      <c r="D792" s="276"/>
      <c r="E792" s="1528" t="str">
        <f>Translations!$B$752</f>
        <v>Further source streams - 2</v>
      </c>
      <c r="F792" s="1528"/>
      <c r="G792" s="1528"/>
      <c r="H792" s="154" t="str">
        <f>EUconst_tCO2pa</f>
        <v>t CO2 / year</v>
      </c>
      <c r="I792" s="439" t="str">
        <f>IF($I769="","",IF(INDEX(F_ProductBM!I:I,MATCH($P792,F_ProductBM!$P:$P,0))="","",INDEX(F_ProductBM!I:I,MATCH($P792,F_ProductBM!$P:$P,0))))</f>
        <v/>
      </c>
      <c r="J792" s="439" t="str">
        <f>IF($I769="","",IF(INDEX(F_ProductBM!J:J,MATCH($P792,F_ProductBM!$P:$P,0))="","",INDEX(F_ProductBM!J:J,MATCH($P792,F_ProductBM!$P:$P,0))))</f>
        <v/>
      </c>
      <c r="K792" s="439" t="str">
        <f>IF($I769="","",IF(INDEX(F_ProductBM!K:K,MATCH($P792,F_ProductBM!$P:$P,0))="","",INDEX(F_ProductBM!K:K,MATCH($P792,F_ProductBM!$P:$P,0))))</f>
        <v/>
      </c>
      <c r="L792" s="439" t="str">
        <f>IF($I769="","",IF(INDEX(F_ProductBM!L:L,MATCH($P792,F_ProductBM!$P:$P,0))="","",INDEX(F_ProductBM!L:L,MATCH($P792,F_ProductBM!$P:$P,0))))</f>
        <v/>
      </c>
      <c r="M792" s="439" t="str">
        <f>IF($I769="","",IF(INDEX(F_ProductBM!M:M,MATCH($P792,F_ProductBM!$P:$P,0))="","",INDEX(F_ProductBM!M:M,MATCH($P792,F_ProductBM!$P:$P,0))))</f>
        <v/>
      </c>
      <c r="N792" s="342"/>
      <c r="O792" s="17"/>
      <c r="P792" s="116" t="str">
        <f>EUconst_CNTR_EmissionsIntSource2 &amp; I769</f>
        <v>EmInternalSource2_</v>
      </c>
      <c r="T792" s="9"/>
    </row>
    <row r="793" spans="2:20" x14ac:dyDescent="0.25">
      <c r="B793" s="17"/>
      <c r="C793" s="17"/>
      <c r="D793" s="17"/>
      <c r="E793" s="1528" t="str">
        <f>Translations!$B$756</f>
        <v>GHG imported or exported</v>
      </c>
      <c r="F793" s="1528"/>
      <c r="G793" s="1528"/>
      <c r="H793" s="154" t="str">
        <f>EUconst_tCO2epa</f>
        <v>t CO2e/year</v>
      </c>
      <c r="I793" s="439" t="str">
        <f>IF($I769="","",IF(INDEX(F_ProductBM!I:I,MATCH($P793,F_ProductBM!$P:$P,0))="","",INDEX(F_ProductBM!I:I,MATCH($P793,F_ProductBM!$P:$P,0))))</f>
        <v/>
      </c>
      <c r="J793" s="439" t="str">
        <f>IF($I769="","",IF(INDEX(F_ProductBM!J:J,MATCH($P793,F_ProductBM!$P:$P,0))="","",INDEX(F_ProductBM!J:J,MATCH($P793,F_ProductBM!$P:$P,0))))</f>
        <v/>
      </c>
      <c r="K793" s="439" t="str">
        <f>IF($I769="","",IF(INDEX(F_ProductBM!K:K,MATCH($P793,F_ProductBM!$P:$P,0))="","",INDEX(F_ProductBM!K:K,MATCH($P793,F_ProductBM!$P:$P,0))))</f>
        <v/>
      </c>
      <c r="L793" s="439" t="str">
        <f>IF($I769="","",IF(INDEX(F_ProductBM!L:L,MATCH($P793,F_ProductBM!$P:$P,0))="","",INDEX(F_ProductBM!L:L,MATCH($P793,F_ProductBM!$P:$P,0))))</f>
        <v/>
      </c>
      <c r="M793" s="439" t="str">
        <f>IF($I769="","",IF(INDEX(F_ProductBM!M:M,MATCH($P793,F_ProductBM!$P:$P,0))="","",INDEX(F_ProductBM!M:M,MATCH($P793,F_ProductBM!$P:$P,0))))</f>
        <v/>
      </c>
      <c r="N793" s="342"/>
      <c r="O793" s="17"/>
      <c r="P793" s="116" t="str">
        <f>EUconst_CNTR_CO2Feedstock &amp; I769</f>
        <v>EmCO2Feedstock_</v>
      </c>
      <c r="T793" s="9"/>
    </row>
    <row r="794" spans="2:20" ht="5.0999999999999996" customHeight="1" x14ac:dyDescent="0.25">
      <c r="B794" s="17"/>
      <c r="C794" s="17"/>
      <c r="D794" s="17"/>
      <c r="E794" s="342"/>
      <c r="F794" s="342"/>
      <c r="G794" s="342"/>
      <c r="H794" s="342"/>
      <c r="I794" s="438"/>
      <c r="J794" s="438"/>
      <c r="K794" s="438"/>
      <c r="L794" s="438"/>
      <c r="M794" s="438"/>
      <c r="N794" s="342"/>
      <c r="O794" s="17"/>
      <c r="T794" s="9"/>
    </row>
    <row r="795" spans="2:20" x14ac:dyDescent="0.25">
      <c r="B795" s="17"/>
      <c r="C795" s="17"/>
      <c r="D795" s="17"/>
      <c r="E795" s="1526" t="str">
        <f>Translations!$B$764</f>
        <v>Net heat imported</v>
      </c>
      <c r="F795" s="1526"/>
      <c r="G795" s="1526"/>
      <c r="H795" s="939" t="str">
        <f>EUconst_TJpa</f>
        <v>TJ / year</v>
      </c>
      <c r="I795" s="436" t="str">
        <f>IF($I769="","",IF(INDEX(F_ProductBM!I:I,MATCH($P795,F_ProductBM!$P:$P,0))="","",INDEX(F_ProductBM!I:I,MATCH($P795,F_ProductBM!$P:$P,0))))</f>
        <v/>
      </c>
      <c r="J795" s="436" t="str">
        <f>IF($I769="","",IF(INDEX(F_ProductBM!J:J,MATCH($P795,F_ProductBM!$P:$P,0))="","",INDEX(F_ProductBM!J:J,MATCH($P795,F_ProductBM!$P:$P,0))))</f>
        <v/>
      </c>
      <c r="K795" s="436" t="str">
        <f>IF($I769="","",IF(INDEX(F_ProductBM!K:K,MATCH($P795,F_ProductBM!$P:$P,0))="","",INDEX(F_ProductBM!K:K,MATCH($P795,F_ProductBM!$P:$P,0))))</f>
        <v/>
      </c>
      <c r="L795" s="436" t="str">
        <f>IF($I769="","",IF(INDEX(F_ProductBM!L:L,MATCH($P795,F_ProductBM!$P:$P,0))="","",INDEX(F_ProductBM!L:L,MATCH($P795,F_ProductBM!$P:$P,0))))</f>
        <v/>
      </c>
      <c r="M795" s="436" t="str">
        <f>IF($I769="","",IF(INDEX(F_ProductBM!M:M,MATCH($P795,F_ProductBM!$P:$P,0))="","",INDEX(F_ProductBM!M:M,MATCH($P795,F_ProductBM!$P:$P,0))))</f>
        <v/>
      </c>
      <c r="N795" s="342"/>
      <c r="O795" s="17"/>
      <c r="P795" s="116" t="str">
        <f>EUconst_CNTR_HeatImport &amp; I769</f>
        <v>HeatIm_</v>
      </c>
      <c r="T795" s="9"/>
    </row>
    <row r="796" spans="2:20" x14ac:dyDescent="0.25">
      <c r="B796" s="17"/>
      <c r="C796" s="17"/>
      <c r="D796" s="17"/>
      <c r="E796" s="1527" t="str">
        <f>Translations!$B$765</f>
        <v>Specific EF (imported heat)</v>
      </c>
      <c r="F796" s="1527"/>
      <c r="G796" s="1527"/>
      <c r="H796" s="343" t="str">
        <f>EUconst_tCO2pTJ</f>
        <v>t CO2 / TJ</v>
      </c>
      <c r="I796" s="437" t="str">
        <f>IF($I769="","",IF(INDEX(F_ProductBM!I:I,MATCH($P796,F_ProductBM!$P:$P,0))="","",INDEX(F_ProductBM!I:I,MATCH($P796,F_ProductBM!$P:$P,0))))</f>
        <v/>
      </c>
      <c r="J796" s="437" t="str">
        <f>IF($I769="","",IF(INDEX(F_ProductBM!J:J,MATCH($P796,F_ProductBM!$P:$P,0))="","",INDEX(F_ProductBM!J:J,MATCH($P796,F_ProductBM!$P:$P,0))))</f>
        <v/>
      </c>
      <c r="K796" s="437" t="str">
        <f>IF($I769="","",IF(INDEX(F_ProductBM!K:K,MATCH($P796,F_ProductBM!$P:$P,0))="","",INDEX(F_ProductBM!K:K,MATCH($P796,F_ProductBM!$P:$P,0))))</f>
        <v/>
      </c>
      <c r="L796" s="437" t="str">
        <f>IF($I769="","",IF(INDEX(F_ProductBM!L:L,MATCH($P796,F_ProductBM!$P:$P,0))="","",INDEX(F_ProductBM!L:L,MATCH($P796,F_ProductBM!$P:$P,0))))</f>
        <v/>
      </c>
      <c r="M796" s="437" t="str">
        <f>IF($I769="","",IF(INDEX(F_ProductBM!M:M,MATCH($P796,F_ProductBM!$P:$P,0))="","",INDEX(F_ProductBM!M:M,MATCH($P796,F_ProductBM!$P:$P,0))))</f>
        <v/>
      </c>
      <c r="N796" s="342"/>
      <c r="O796" s="17"/>
      <c r="P796" s="116" t="str">
        <f>EUconst_CNTR_HeatImportEF &amp; I769</f>
        <v>HeatImEF_</v>
      </c>
      <c r="T796" s="9"/>
    </row>
    <row r="797" spans="2:20" ht="5.0999999999999996" customHeight="1" x14ac:dyDescent="0.25">
      <c r="B797" s="17"/>
      <c r="C797" s="17"/>
      <c r="D797" s="17"/>
      <c r="E797" s="193"/>
      <c r="F797" s="342"/>
      <c r="G797" s="342"/>
      <c r="H797" s="342"/>
      <c r="I797" s="438"/>
      <c r="J797" s="438"/>
      <c r="K797" s="438"/>
      <c r="L797" s="438"/>
      <c r="M797" s="438"/>
      <c r="N797" s="342"/>
      <c r="O797" s="17"/>
      <c r="P797" s="9"/>
      <c r="T797" s="9"/>
    </row>
    <row r="798" spans="2:20" x14ac:dyDescent="0.25">
      <c r="B798" s="17"/>
      <c r="C798" s="17"/>
      <c r="D798" s="17"/>
      <c r="E798" s="1528" t="str">
        <f>Translations!$B$820</f>
        <v>Net heat imported from pulp</v>
      </c>
      <c r="F798" s="1528"/>
      <c r="G798" s="1528"/>
      <c r="H798" s="154" t="str">
        <f>EUconst_TJpa</f>
        <v>TJ / year</v>
      </c>
      <c r="I798" s="439" t="str">
        <f>IF($I769="","",IF(INDEX(F_ProductBM!I:I,MATCH($P798,F_ProductBM!$P:$P,0))="","",INDEX(F_ProductBM!I:I,MATCH($P798,F_ProductBM!$P:$P,0))))</f>
        <v/>
      </c>
      <c r="J798" s="439" t="str">
        <f>IF($I769="","",IF(INDEX(F_ProductBM!J:J,MATCH($P798,F_ProductBM!$P:$P,0))="","",INDEX(F_ProductBM!J:J,MATCH($P798,F_ProductBM!$P:$P,0))))</f>
        <v/>
      </c>
      <c r="K798" s="439" t="str">
        <f>IF($I769="","",IF(INDEX(F_ProductBM!K:K,MATCH($P798,F_ProductBM!$P:$P,0))="","",INDEX(F_ProductBM!K:K,MATCH($P798,F_ProductBM!$P:$P,0))))</f>
        <v/>
      </c>
      <c r="L798" s="439" t="str">
        <f>IF($I769="","",IF(INDEX(F_ProductBM!L:L,MATCH($P798,F_ProductBM!$P:$P,0))="","",INDEX(F_ProductBM!L:L,MATCH($P798,F_ProductBM!$P:$P,0))))</f>
        <v/>
      </c>
      <c r="M798" s="439" t="str">
        <f>IF($I769="","",IF(INDEX(F_ProductBM!M:M,MATCH($P798,F_ProductBM!$P:$P,0))="","",INDEX(F_ProductBM!M:M,MATCH($P798,F_ProductBM!$P:$P,0))))</f>
        <v/>
      </c>
      <c r="N798" s="342"/>
      <c r="O798" s="17"/>
      <c r="P798" s="116" t="str">
        <f>EUconst_CNTR_HeatImportPulp &amp; I769</f>
        <v>HeatImPulp_</v>
      </c>
      <c r="T798" s="9"/>
    </row>
    <row r="799" spans="2:20" x14ac:dyDescent="0.25">
      <c r="B799" s="17"/>
      <c r="C799" s="17"/>
      <c r="D799" s="17"/>
      <c r="E799" s="1528" t="str">
        <f>Translations!$B$768</f>
        <v>Net heat imported from nitric acid sub-installation</v>
      </c>
      <c r="F799" s="1528"/>
      <c r="G799" s="1528"/>
      <c r="H799" s="154" t="str">
        <f>EUconst_TJpa</f>
        <v>TJ / year</v>
      </c>
      <c r="I799" s="439" t="str">
        <f>IF($I769="","",IF(INDEX(F_ProductBM!I:I,MATCH($P799,F_ProductBM!$P:$P,0))="","",INDEX(F_ProductBM!I:I,MATCH($P799,F_ProductBM!$P:$P,0))))</f>
        <v/>
      </c>
      <c r="J799" s="439" t="str">
        <f>IF($I769="","",IF(INDEX(F_ProductBM!J:J,MATCH($P799,F_ProductBM!$P:$P,0))="","",INDEX(F_ProductBM!J:J,MATCH($P799,F_ProductBM!$P:$P,0))))</f>
        <v/>
      </c>
      <c r="K799" s="439" t="str">
        <f>IF($I769="","",IF(INDEX(F_ProductBM!K:K,MATCH($P799,F_ProductBM!$P:$P,0))="","",INDEX(F_ProductBM!K:K,MATCH($P799,F_ProductBM!$P:$P,0))))</f>
        <v/>
      </c>
      <c r="L799" s="439" t="str">
        <f>IF($I769="","",IF(INDEX(F_ProductBM!L:L,MATCH($P799,F_ProductBM!$P:$P,0))="","",INDEX(F_ProductBM!L:L,MATCH($P799,F_ProductBM!$P:$P,0))))</f>
        <v/>
      </c>
      <c r="M799" s="439" t="str">
        <f>IF($I769="","",IF(INDEX(F_ProductBM!M:M,MATCH($P799,F_ProductBM!$P:$P,0))="","",INDEX(F_ProductBM!M:M,MATCH($P799,F_ProductBM!$P:$P,0))))</f>
        <v/>
      </c>
      <c r="N799" s="342"/>
      <c r="O799" s="17"/>
      <c r="P799" s="116" t="str">
        <f>EUconst_CNTR_HeatImportNitric &amp; I769</f>
        <v>HeatImNitric_</v>
      </c>
      <c r="T799" s="9"/>
    </row>
    <row r="800" spans="2:20" ht="5.0999999999999996" customHeight="1" x14ac:dyDescent="0.25">
      <c r="B800" s="17"/>
      <c r="C800" s="17"/>
      <c r="D800" s="17"/>
      <c r="E800" s="193"/>
      <c r="F800" s="193"/>
      <c r="G800" s="193"/>
      <c r="H800" s="193"/>
      <c r="I800" s="438"/>
      <c r="J800" s="438"/>
      <c r="K800" s="438"/>
      <c r="L800" s="438"/>
      <c r="M800" s="438"/>
      <c r="N800" s="342"/>
      <c r="O800" s="17"/>
      <c r="P800" s="9"/>
      <c r="T800" s="9"/>
    </row>
    <row r="801" spans="2:20" x14ac:dyDescent="0.25">
      <c r="B801" s="17"/>
      <c r="C801" s="17"/>
      <c r="D801" s="17"/>
      <c r="E801" s="1526" t="str">
        <f>Translations!$B$770</f>
        <v>Net heat exported</v>
      </c>
      <c r="F801" s="1526"/>
      <c r="G801" s="1526"/>
      <c r="H801" s="939" t="str">
        <f>EUconst_TJpa</f>
        <v>TJ / year</v>
      </c>
      <c r="I801" s="436" t="str">
        <f>IF($I769="","",IF(INDEX(F_ProductBM!I:I,MATCH($P801,F_ProductBM!$P:$P,0))="","",INDEX(F_ProductBM!I:I,MATCH($P801,F_ProductBM!$P:$P,0))))</f>
        <v/>
      </c>
      <c r="J801" s="436" t="str">
        <f>IF($I769="","",IF(INDEX(F_ProductBM!J:J,MATCH($P801,F_ProductBM!$P:$P,0))="","",INDEX(F_ProductBM!J:J,MATCH($P801,F_ProductBM!$P:$P,0))))</f>
        <v/>
      </c>
      <c r="K801" s="436" t="str">
        <f>IF($I769="","",IF(INDEX(F_ProductBM!K:K,MATCH($P801,F_ProductBM!$P:$P,0))="","",INDEX(F_ProductBM!K:K,MATCH($P801,F_ProductBM!$P:$P,0))))</f>
        <v/>
      </c>
      <c r="L801" s="436" t="str">
        <f>IF($I769="","",IF(INDEX(F_ProductBM!L:L,MATCH($P801,F_ProductBM!$P:$P,0))="","",INDEX(F_ProductBM!L:L,MATCH($P801,F_ProductBM!$P:$P,0))))</f>
        <v/>
      </c>
      <c r="M801" s="436" t="str">
        <f>IF($I769="","",IF(INDEX(F_ProductBM!M:M,MATCH($P801,F_ProductBM!$P:$P,0))="","",INDEX(F_ProductBM!M:M,MATCH($P801,F_ProductBM!$P:$P,0))))</f>
        <v/>
      </c>
      <c r="N801" s="342"/>
      <c r="O801" s="17"/>
      <c r="P801" s="116" t="str">
        <f>EUconst_CNTR_HeatExport &amp; I769</f>
        <v>HeatEx_</v>
      </c>
      <c r="T801" s="9"/>
    </row>
    <row r="802" spans="2:20" x14ac:dyDescent="0.25">
      <c r="B802" s="17"/>
      <c r="C802" s="17"/>
      <c r="D802" s="17"/>
      <c r="E802" s="1527" t="str">
        <f>Translations!$B$771</f>
        <v>Specific EF (exported heat)</v>
      </c>
      <c r="F802" s="1527"/>
      <c r="G802" s="1527"/>
      <c r="H802" s="343" t="str">
        <f>EUconst_tCO2pTJ</f>
        <v>t CO2 / TJ</v>
      </c>
      <c r="I802" s="437" t="str">
        <f>IF($I769="","",IF(INDEX(F_ProductBM!I:I,MATCH($P802,F_ProductBM!$P:$P,0))="","",INDEX(F_ProductBM!I:I,MATCH($P802,F_ProductBM!$P:$P,0))))</f>
        <v/>
      </c>
      <c r="J802" s="437" t="str">
        <f>IF($I769="","",IF(INDEX(F_ProductBM!J:J,MATCH($P802,F_ProductBM!$P:$P,0))="","",INDEX(F_ProductBM!J:J,MATCH($P802,F_ProductBM!$P:$P,0))))</f>
        <v/>
      </c>
      <c r="K802" s="437" t="str">
        <f>IF($I769="","",IF(INDEX(F_ProductBM!K:K,MATCH($P802,F_ProductBM!$P:$P,0))="","",INDEX(F_ProductBM!K:K,MATCH($P802,F_ProductBM!$P:$P,0))))</f>
        <v/>
      </c>
      <c r="L802" s="437" t="str">
        <f>IF($I769="","",IF(INDEX(F_ProductBM!L:L,MATCH($P802,F_ProductBM!$P:$P,0))="","",INDEX(F_ProductBM!L:L,MATCH($P802,F_ProductBM!$P:$P,0))))</f>
        <v/>
      </c>
      <c r="M802" s="437" t="str">
        <f>IF($I769="","",IF(INDEX(F_ProductBM!M:M,MATCH($P802,F_ProductBM!$P:$P,0))="","",INDEX(F_ProductBM!M:M,MATCH($P802,F_ProductBM!$P:$P,0))))</f>
        <v/>
      </c>
      <c r="N802" s="342"/>
      <c r="O802" s="17"/>
      <c r="P802" s="116" t="str">
        <f>EUconst_CNTR_HeatExportEF &amp; I769</f>
        <v>HeatExEF_</v>
      </c>
      <c r="T802" s="9"/>
    </row>
    <row r="803" spans="2:20" ht="5.0999999999999996" customHeight="1" x14ac:dyDescent="0.25">
      <c r="B803" s="17"/>
      <c r="C803" s="17"/>
      <c r="D803" s="17"/>
      <c r="E803" s="193"/>
      <c r="F803" s="193"/>
      <c r="G803" s="193"/>
      <c r="H803" s="193"/>
      <c r="I803" s="438"/>
      <c r="J803" s="438"/>
      <c r="K803" s="438"/>
      <c r="L803" s="438"/>
      <c r="M803" s="438"/>
      <c r="N803" s="342"/>
      <c r="O803" s="17"/>
      <c r="P803" s="9"/>
      <c r="T803" s="9"/>
    </row>
    <row r="804" spans="2:20" x14ac:dyDescent="0.25">
      <c r="B804" s="17"/>
      <c r="C804" s="17"/>
      <c r="D804" s="17"/>
      <c r="E804" s="1526" t="str">
        <f>Translations!$B$778</f>
        <v>Waste gas produced</v>
      </c>
      <c r="F804" s="1526"/>
      <c r="G804" s="1526"/>
      <c r="H804" s="939" t="str">
        <f>EUconst_TJpa</f>
        <v>TJ / year</v>
      </c>
      <c r="I804" s="436" t="str">
        <f>IF($I769="","",IF(INDEX(F_ProductBM!I:I,MATCH($P804,F_ProductBM!$P:$P,0))="","",INDEX(F_ProductBM!I:I,MATCH($P804,F_ProductBM!$P:$P,0))))</f>
        <v/>
      </c>
      <c r="J804" s="436" t="str">
        <f>IF($I769="","",IF(INDEX(F_ProductBM!J:J,MATCH($P804,F_ProductBM!$P:$P,0))="","",INDEX(F_ProductBM!J:J,MATCH($P804,F_ProductBM!$P:$P,0))))</f>
        <v/>
      </c>
      <c r="K804" s="436" t="str">
        <f>IF($I769="","",IF(INDEX(F_ProductBM!K:K,MATCH($P804,F_ProductBM!$P:$P,0))="","",INDEX(F_ProductBM!K:K,MATCH($P804,F_ProductBM!$P:$P,0))))</f>
        <v/>
      </c>
      <c r="L804" s="436" t="str">
        <f>IF($I769="","",IF(INDEX(F_ProductBM!L:L,MATCH($P804,F_ProductBM!$P:$P,0))="","",INDEX(F_ProductBM!L:L,MATCH($P804,F_ProductBM!$P:$P,0))))</f>
        <v/>
      </c>
      <c r="M804" s="436" t="str">
        <f>IF($I769="","",IF(INDEX(F_ProductBM!M:M,MATCH($P804,F_ProductBM!$P:$P,0))="","",INDEX(F_ProductBM!M:M,MATCH($P804,F_ProductBM!$P:$P,0))))</f>
        <v/>
      </c>
      <c r="N804" s="342"/>
      <c r="O804" s="17"/>
      <c r="P804" s="341" t="str">
        <f>EUconst_CNTR_WGProduced &amp; I769</f>
        <v>WasteGasProd_</v>
      </c>
      <c r="T804" s="9"/>
    </row>
    <row r="805" spans="2:20" x14ac:dyDescent="0.25">
      <c r="B805" s="17"/>
      <c r="C805" s="17"/>
      <c r="D805" s="17"/>
      <c r="E805" s="1527" t="str">
        <f>Translations!$B$779</f>
        <v>Specific EF (produced waste gas)</v>
      </c>
      <c r="F805" s="1527"/>
      <c r="G805" s="1527"/>
      <c r="H805" s="343" t="str">
        <f>EUconst_tCO2pTJ</f>
        <v>t CO2 / TJ</v>
      </c>
      <c r="I805" s="437" t="str">
        <f>IF($I769="","",IF(INDEX(F_ProductBM!I:I,MATCH($P805,F_ProductBM!$P:$P,0))="","",INDEX(F_ProductBM!I:I,MATCH($P805,F_ProductBM!$P:$P,0))))</f>
        <v/>
      </c>
      <c r="J805" s="437" t="str">
        <f>IF($I769="","",IF(INDEX(F_ProductBM!J:J,MATCH($P805,F_ProductBM!$P:$P,0))="","",INDEX(F_ProductBM!J:J,MATCH($P805,F_ProductBM!$P:$P,0))))</f>
        <v/>
      </c>
      <c r="K805" s="437" t="str">
        <f>IF($I769="","",IF(INDEX(F_ProductBM!K:K,MATCH($P805,F_ProductBM!$P:$P,0))="","",INDEX(F_ProductBM!K:K,MATCH($P805,F_ProductBM!$P:$P,0))))</f>
        <v/>
      </c>
      <c r="L805" s="437" t="str">
        <f>IF($I769="","",IF(INDEX(F_ProductBM!L:L,MATCH($P805,F_ProductBM!$P:$P,0))="","",INDEX(F_ProductBM!L:L,MATCH($P805,F_ProductBM!$P:$P,0))))</f>
        <v/>
      </c>
      <c r="M805" s="437" t="str">
        <f>IF($I769="","",IF(INDEX(F_ProductBM!M:M,MATCH($P805,F_ProductBM!$P:$P,0))="","",INDEX(F_ProductBM!M:M,MATCH($P805,F_ProductBM!$P:$P,0))))</f>
        <v/>
      </c>
      <c r="N805" s="342"/>
      <c r="O805" s="17"/>
      <c r="P805" s="116" t="str">
        <f>EUconst_CNTR_WGProducedEF &amp; I769</f>
        <v>WasteGasProdEF_</v>
      </c>
      <c r="T805" s="9"/>
    </row>
    <row r="806" spans="2:20" x14ac:dyDescent="0.25">
      <c r="B806" s="17"/>
      <c r="C806" s="17"/>
      <c r="D806" s="17"/>
      <c r="E806" s="1526" t="str">
        <f>Translations!$B$783</f>
        <v>Waste gas consumed</v>
      </c>
      <c r="F806" s="1526"/>
      <c r="G806" s="1526"/>
      <c r="H806" s="939" t="str">
        <f>EUconst_TJpa</f>
        <v>TJ / year</v>
      </c>
      <c r="I806" s="436" t="str">
        <f>IF($I769="","",IF(INDEX(F_ProductBM!I:I,MATCH($P806,F_ProductBM!$P:$P,0))="","",INDEX(F_ProductBM!I:I,MATCH($P806,F_ProductBM!$P:$P,0))))</f>
        <v/>
      </c>
      <c r="J806" s="436" t="str">
        <f>IF($I769="","",IF(INDEX(F_ProductBM!J:J,MATCH($P806,F_ProductBM!$P:$P,0))="","",INDEX(F_ProductBM!J:J,MATCH($P806,F_ProductBM!$P:$P,0))))</f>
        <v/>
      </c>
      <c r="K806" s="436" t="str">
        <f>IF($I769="","",IF(INDEX(F_ProductBM!K:K,MATCH($P806,F_ProductBM!$P:$P,0))="","",INDEX(F_ProductBM!K:K,MATCH($P806,F_ProductBM!$P:$P,0))))</f>
        <v/>
      </c>
      <c r="L806" s="436" t="str">
        <f>IF($I769="","",IF(INDEX(F_ProductBM!L:L,MATCH($P806,F_ProductBM!$P:$P,0))="","",INDEX(F_ProductBM!L:L,MATCH($P806,F_ProductBM!$P:$P,0))))</f>
        <v/>
      </c>
      <c r="M806" s="436" t="str">
        <f>IF($I769="","",IF(INDEX(F_ProductBM!M:M,MATCH($P806,F_ProductBM!$P:$P,0))="","",INDEX(F_ProductBM!M:M,MATCH($P806,F_ProductBM!$P:$P,0))))</f>
        <v/>
      </c>
      <c r="N806" s="342"/>
      <c r="O806" s="17"/>
      <c r="P806" s="116" t="str">
        <f>EUconst_CNTR_WGConsumed &amp; I769</f>
        <v>WasteGasCons_</v>
      </c>
      <c r="T806" s="9"/>
    </row>
    <row r="807" spans="2:20" x14ac:dyDescent="0.25">
      <c r="B807" s="17"/>
      <c r="C807" s="17"/>
      <c r="D807" s="17"/>
      <c r="E807" s="1527" t="str">
        <f>Translations!$B$784</f>
        <v>Specific EF (consumed waste gas)</v>
      </c>
      <c r="F807" s="1527"/>
      <c r="G807" s="1527"/>
      <c r="H807" s="343" t="str">
        <f>EUconst_tCO2pTJ</f>
        <v>t CO2 / TJ</v>
      </c>
      <c r="I807" s="437" t="str">
        <f>IF($I769="","",IF(INDEX(F_ProductBM!I:I,MATCH($P807,F_ProductBM!$P:$P,0))="","",INDEX(F_ProductBM!I:I,MATCH($P807,F_ProductBM!$P:$P,0))))</f>
        <v/>
      </c>
      <c r="J807" s="437" t="str">
        <f>IF($I769="","",IF(INDEX(F_ProductBM!J:J,MATCH($P807,F_ProductBM!$P:$P,0))="","",INDEX(F_ProductBM!J:J,MATCH($P807,F_ProductBM!$P:$P,0))))</f>
        <v/>
      </c>
      <c r="K807" s="437" t="str">
        <f>IF($I769="","",IF(INDEX(F_ProductBM!K:K,MATCH($P807,F_ProductBM!$P:$P,0))="","",INDEX(F_ProductBM!K:K,MATCH($P807,F_ProductBM!$P:$P,0))))</f>
        <v/>
      </c>
      <c r="L807" s="437" t="str">
        <f>IF($I769="","",IF(INDEX(F_ProductBM!L:L,MATCH($P807,F_ProductBM!$P:$P,0))="","",INDEX(F_ProductBM!L:L,MATCH($P807,F_ProductBM!$P:$P,0))))</f>
        <v/>
      </c>
      <c r="M807" s="437" t="str">
        <f>IF($I769="","",IF(INDEX(F_ProductBM!M:M,MATCH($P807,F_ProductBM!$P:$P,0))="","",INDEX(F_ProductBM!M:M,MATCH($P807,F_ProductBM!$P:$P,0))))</f>
        <v/>
      </c>
      <c r="N807" s="342"/>
      <c r="O807" s="17"/>
      <c r="P807" s="116" t="str">
        <f>EUconst_CNTR_WGConsumedEF &amp; I769</f>
        <v>WasteGasConsEF_</v>
      </c>
      <c r="T807" s="9"/>
    </row>
    <row r="808" spans="2:20" x14ac:dyDescent="0.25">
      <c r="B808" s="17"/>
      <c r="C808" s="17"/>
      <c r="D808" s="17"/>
      <c r="E808" s="1526" t="str">
        <f>Translations!$B$790</f>
        <v>Waste gas flared</v>
      </c>
      <c r="F808" s="1526"/>
      <c r="G808" s="1526"/>
      <c r="H808" s="939" t="str">
        <f>EUconst_TJpa</f>
        <v>TJ / year</v>
      </c>
      <c r="I808" s="436" t="str">
        <f>IF($I769="","",IF(INDEX(F_ProductBM!I:I,MATCH($P808,F_ProductBM!$P:$P,0))="","",INDEX(F_ProductBM!I:I,MATCH($P808,F_ProductBM!$P:$P,0))))</f>
        <v/>
      </c>
      <c r="J808" s="436" t="str">
        <f>IF($I769="","",IF(INDEX(F_ProductBM!J:J,MATCH($P808,F_ProductBM!$P:$P,0))="","",INDEX(F_ProductBM!J:J,MATCH($P808,F_ProductBM!$P:$P,0))))</f>
        <v/>
      </c>
      <c r="K808" s="436" t="str">
        <f>IF($I769="","",IF(INDEX(F_ProductBM!K:K,MATCH($P808,F_ProductBM!$P:$P,0))="","",INDEX(F_ProductBM!K:K,MATCH($P808,F_ProductBM!$P:$P,0))))</f>
        <v/>
      </c>
      <c r="L808" s="436" t="str">
        <f>IF($I769="","",IF(INDEX(F_ProductBM!L:L,MATCH($P808,F_ProductBM!$P:$P,0))="","",INDEX(F_ProductBM!L:L,MATCH($P808,F_ProductBM!$P:$P,0))))</f>
        <v/>
      </c>
      <c r="M808" s="436" t="str">
        <f>IF($I769="","",IF(INDEX(F_ProductBM!M:M,MATCH($P808,F_ProductBM!$P:$P,0))="","",INDEX(F_ProductBM!M:M,MATCH($P808,F_ProductBM!$P:$P,0))))</f>
        <v/>
      </c>
      <c r="N808" s="342"/>
      <c r="O808" s="17"/>
      <c r="P808" s="116" t="str">
        <f>EUconst_CNTR_WGFlared &amp; I769</f>
        <v>WasteGasFlare_</v>
      </c>
      <c r="T808" s="9"/>
    </row>
    <row r="809" spans="2:20" x14ac:dyDescent="0.25">
      <c r="B809" s="17"/>
      <c r="C809" s="17"/>
      <c r="D809" s="17"/>
      <c r="E809" s="1527" t="str">
        <f>Translations!$B$791</f>
        <v>Specific EF (flared waste gas)</v>
      </c>
      <c r="F809" s="1527"/>
      <c r="G809" s="1527"/>
      <c r="H809" s="343" t="str">
        <f>EUconst_tCO2pTJ</f>
        <v>t CO2 / TJ</v>
      </c>
      <c r="I809" s="437" t="str">
        <f>IF($I769="","",IF(INDEX(F_ProductBM!I:I,MATCH($P809,F_ProductBM!$P:$P,0))="","",INDEX(F_ProductBM!I:I,MATCH($P809,F_ProductBM!$P:$P,0))))</f>
        <v/>
      </c>
      <c r="J809" s="437" t="str">
        <f>IF($I769="","",IF(INDEX(F_ProductBM!J:J,MATCH($P809,F_ProductBM!$P:$P,0))="","",INDEX(F_ProductBM!J:J,MATCH($P809,F_ProductBM!$P:$P,0))))</f>
        <v/>
      </c>
      <c r="K809" s="437" t="str">
        <f>IF($I769="","",IF(INDEX(F_ProductBM!K:K,MATCH($P809,F_ProductBM!$P:$P,0))="","",INDEX(F_ProductBM!K:K,MATCH($P809,F_ProductBM!$P:$P,0))))</f>
        <v/>
      </c>
      <c r="L809" s="437" t="str">
        <f>IF($I769="","",IF(INDEX(F_ProductBM!L:L,MATCH($P809,F_ProductBM!$P:$P,0))="","",INDEX(F_ProductBM!L:L,MATCH($P809,F_ProductBM!$P:$P,0))))</f>
        <v/>
      </c>
      <c r="M809" s="437" t="str">
        <f>IF($I769="","",IF(INDEX(F_ProductBM!M:M,MATCH($P809,F_ProductBM!$P:$P,0))="","",INDEX(F_ProductBM!M:M,MATCH($P809,F_ProductBM!$P:$P,0))))</f>
        <v/>
      </c>
      <c r="N809" s="342"/>
      <c r="O809" s="17"/>
      <c r="P809" s="116" t="str">
        <f>EUconst_CNTR_WGFlaredEF &amp; I769</f>
        <v>WasteGasFlareEF_</v>
      </c>
      <c r="T809" s="9"/>
    </row>
    <row r="810" spans="2:20" x14ac:dyDescent="0.25">
      <c r="B810" s="17"/>
      <c r="C810" s="17"/>
      <c r="D810" s="17"/>
      <c r="E810" s="1526" t="str">
        <f>Translations!$B$796</f>
        <v>Waste gas imported</v>
      </c>
      <c r="F810" s="1526"/>
      <c r="G810" s="1526"/>
      <c r="H810" s="939" t="str">
        <f>EUconst_TJpa</f>
        <v>TJ / year</v>
      </c>
      <c r="I810" s="436" t="str">
        <f>IF($I769="","",IF(INDEX(F_ProductBM!I:I,MATCH($P810,F_ProductBM!$P:$P,0))="","",INDEX(F_ProductBM!I:I,MATCH($P810,F_ProductBM!$P:$P,0))))</f>
        <v/>
      </c>
      <c r="J810" s="436" t="str">
        <f>IF($I769="","",IF(INDEX(F_ProductBM!J:J,MATCH($P810,F_ProductBM!$P:$P,0))="","",INDEX(F_ProductBM!J:J,MATCH($P810,F_ProductBM!$P:$P,0))))</f>
        <v/>
      </c>
      <c r="K810" s="436" t="str">
        <f>IF($I769="","",IF(INDEX(F_ProductBM!K:K,MATCH($P810,F_ProductBM!$P:$P,0))="","",INDEX(F_ProductBM!K:K,MATCH($P810,F_ProductBM!$P:$P,0))))</f>
        <v/>
      </c>
      <c r="L810" s="436" t="str">
        <f>IF($I769="","",IF(INDEX(F_ProductBM!L:L,MATCH($P810,F_ProductBM!$P:$P,0))="","",INDEX(F_ProductBM!L:L,MATCH($P810,F_ProductBM!$P:$P,0))))</f>
        <v/>
      </c>
      <c r="M810" s="436" t="str">
        <f>IF($I769="","",IF(INDEX(F_ProductBM!M:M,MATCH($P810,F_ProductBM!$P:$P,0))="","",INDEX(F_ProductBM!M:M,MATCH($P810,F_ProductBM!$P:$P,0))))</f>
        <v/>
      </c>
      <c r="N810" s="342"/>
      <c r="O810" s="17"/>
      <c r="P810" s="116" t="str">
        <f>EUconst_CNTR_WGImport &amp; I769</f>
        <v>WasteGasIm_</v>
      </c>
      <c r="T810" s="9"/>
    </row>
    <row r="811" spans="2:20" x14ac:dyDescent="0.25">
      <c r="B811" s="17"/>
      <c r="C811" s="17"/>
      <c r="D811" s="17"/>
      <c r="E811" s="1527" t="str">
        <f>Translations!$B$797</f>
        <v>Specific EF (imported waste gas)</v>
      </c>
      <c r="F811" s="1527"/>
      <c r="G811" s="1527"/>
      <c r="H811" s="343" t="str">
        <f>EUconst_tCO2pTJ</f>
        <v>t CO2 / TJ</v>
      </c>
      <c r="I811" s="437" t="str">
        <f>IF($I769="","",IF(INDEX(F_ProductBM!I:I,MATCH($P811,F_ProductBM!$P:$P,0))="","",INDEX(F_ProductBM!I:I,MATCH($P811,F_ProductBM!$P:$P,0))))</f>
        <v/>
      </c>
      <c r="J811" s="437" t="str">
        <f>IF($I769="","",IF(INDEX(F_ProductBM!J:J,MATCH($P811,F_ProductBM!$P:$P,0))="","",INDEX(F_ProductBM!J:J,MATCH($P811,F_ProductBM!$P:$P,0))))</f>
        <v/>
      </c>
      <c r="K811" s="437" t="str">
        <f>IF($I769="","",IF(INDEX(F_ProductBM!K:K,MATCH($P811,F_ProductBM!$P:$P,0))="","",INDEX(F_ProductBM!K:K,MATCH($P811,F_ProductBM!$P:$P,0))))</f>
        <v/>
      </c>
      <c r="L811" s="437" t="str">
        <f>IF($I769="","",IF(INDEX(F_ProductBM!L:L,MATCH($P811,F_ProductBM!$P:$P,0))="","",INDEX(F_ProductBM!L:L,MATCH($P811,F_ProductBM!$P:$P,0))))</f>
        <v/>
      </c>
      <c r="M811" s="437" t="str">
        <f>IF($I769="","",IF(INDEX(F_ProductBM!M:M,MATCH($P811,F_ProductBM!$P:$P,0))="","",INDEX(F_ProductBM!M:M,MATCH($P811,F_ProductBM!$P:$P,0))))</f>
        <v/>
      </c>
      <c r="N811" s="342"/>
      <c r="O811" s="17"/>
      <c r="P811" s="116" t="str">
        <f>EUconst_CNTR_WGImportEF &amp; I769</f>
        <v>WasteGasImEF_</v>
      </c>
      <c r="T811" s="9"/>
    </row>
    <row r="812" spans="2:20" x14ac:dyDescent="0.25">
      <c r="B812" s="17"/>
      <c r="C812" s="17"/>
      <c r="D812" s="17"/>
      <c r="E812" s="1526" t="str">
        <f>Translations!$B$801</f>
        <v>Waste gas exported</v>
      </c>
      <c r="F812" s="1526"/>
      <c r="G812" s="1526"/>
      <c r="H812" s="939" t="str">
        <f>EUconst_TJpa</f>
        <v>TJ / year</v>
      </c>
      <c r="I812" s="436" t="str">
        <f>IF($I769="","",IF(INDEX(F_ProductBM!I:I,MATCH($P812,F_ProductBM!$P:$P,0))="","",INDEX(F_ProductBM!I:I,MATCH($P812,F_ProductBM!$P:$P,0))))</f>
        <v/>
      </c>
      <c r="J812" s="436" t="str">
        <f>IF($I769="","",IF(INDEX(F_ProductBM!J:J,MATCH($P812,F_ProductBM!$P:$P,0))="","",INDEX(F_ProductBM!J:J,MATCH($P812,F_ProductBM!$P:$P,0))))</f>
        <v/>
      </c>
      <c r="K812" s="436" t="str">
        <f>IF($I769="","",IF(INDEX(F_ProductBM!K:K,MATCH($P812,F_ProductBM!$P:$P,0))="","",INDEX(F_ProductBM!K:K,MATCH($P812,F_ProductBM!$P:$P,0))))</f>
        <v/>
      </c>
      <c r="L812" s="436" t="str">
        <f>IF($I769="","",IF(INDEX(F_ProductBM!L:L,MATCH($P812,F_ProductBM!$P:$P,0))="","",INDEX(F_ProductBM!L:L,MATCH($P812,F_ProductBM!$P:$P,0))))</f>
        <v/>
      </c>
      <c r="M812" s="436" t="str">
        <f>IF($I769="","",IF(INDEX(F_ProductBM!M:M,MATCH($P812,F_ProductBM!$P:$P,0))="","",INDEX(F_ProductBM!M:M,MATCH($P812,F_ProductBM!$P:$P,0))))</f>
        <v/>
      </c>
      <c r="N812" s="342"/>
      <c r="O812" s="17"/>
      <c r="P812" s="116" t="str">
        <f>EUconst_CNTR_WGExport &amp; I769</f>
        <v>WasteGasEx_</v>
      </c>
      <c r="T812" s="9"/>
    </row>
    <row r="813" spans="2:20" x14ac:dyDescent="0.25">
      <c r="B813" s="17"/>
      <c r="C813" s="17"/>
      <c r="D813" s="17"/>
      <c r="E813" s="1527" t="str">
        <f>Translations!$B$802</f>
        <v>Specific EF (exported waste gas)</v>
      </c>
      <c r="F813" s="1527"/>
      <c r="G813" s="1527"/>
      <c r="H813" s="343" t="str">
        <f>EUconst_tCO2pTJ</f>
        <v>t CO2 / TJ</v>
      </c>
      <c r="I813" s="437" t="str">
        <f>IF($I769="","",IF(INDEX(F_ProductBM!I:I,MATCH($P813,F_ProductBM!$P:$P,0))="","",INDEX(F_ProductBM!I:I,MATCH($P813,F_ProductBM!$P:$P,0))))</f>
        <v/>
      </c>
      <c r="J813" s="437" t="str">
        <f>IF($I769="","",IF(INDEX(F_ProductBM!J:J,MATCH($P813,F_ProductBM!$P:$P,0))="","",INDEX(F_ProductBM!J:J,MATCH($P813,F_ProductBM!$P:$P,0))))</f>
        <v/>
      </c>
      <c r="K813" s="437" t="str">
        <f>IF($I769="","",IF(INDEX(F_ProductBM!K:K,MATCH($P813,F_ProductBM!$P:$P,0))="","",INDEX(F_ProductBM!K:K,MATCH($P813,F_ProductBM!$P:$P,0))))</f>
        <v/>
      </c>
      <c r="L813" s="437" t="str">
        <f>IF($I769="","",IF(INDEX(F_ProductBM!L:L,MATCH($P813,F_ProductBM!$P:$P,0))="","",INDEX(F_ProductBM!L:L,MATCH($P813,F_ProductBM!$P:$P,0))))</f>
        <v/>
      </c>
      <c r="M813" s="437" t="str">
        <f>IF($I769="","",IF(INDEX(F_ProductBM!M:M,MATCH($P813,F_ProductBM!$P:$P,0))="","",INDEX(F_ProductBM!M:M,MATCH($P813,F_ProductBM!$P:$P,0))))</f>
        <v/>
      </c>
      <c r="N813" s="342"/>
      <c r="O813" s="17"/>
      <c r="P813" s="116" t="str">
        <f>EUconst_CNTR_WGExportEF &amp; I769</f>
        <v>WasteGasExEF_</v>
      </c>
      <c r="T813" s="9"/>
    </row>
    <row r="814" spans="2:20" ht="5.0999999999999996" customHeight="1" x14ac:dyDescent="0.25">
      <c r="B814" s="17"/>
      <c r="C814" s="17"/>
      <c r="D814" s="17"/>
      <c r="E814" s="193"/>
      <c r="F814" s="193"/>
      <c r="G814" s="193"/>
      <c r="H814" s="193"/>
      <c r="I814" s="438"/>
      <c r="J814" s="438"/>
      <c r="K814" s="438"/>
      <c r="L814" s="438"/>
      <c r="M814" s="438"/>
      <c r="N814" s="342"/>
      <c r="O814" s="17"/>
      <c r="P814" s="9"/>
      <c r="T814" s="9"/>
    </row>
    <row r="815" spans="2:20" x14ac:dyDescent="0.25">
      <c r="B815" s="17"/>
      <c r="C815" s="17"/>
      <c r="D815" s="17"/>
      <c r="E815" s="1528" t="str">
        <f>Translations!$B$689</f>
        <v>Relevant electricity consumption</v>
      </c>
      <c r="F815" s="1528"/>
      <c r="G815" s="1528"/>
      <c r="H815" s="154" t="str">
        <f>EUconst_MWhpa</f>
        <v>MWh / year</v>
      </c>
      <c r="I815" s="439" t="str">
        <f>IF($I769="","",IF(INDEX(F_ProductBM!I:I,MATCH($P815,F_ProductBM!$Q:$Q,0))="","",INDEX(F_ProductBM!I:I,MATCH($P815,F_ProductBM!$Q:$Q,0))))</f>
        <v/>
      </c>
      <c r="J815" s="439" t="str">
        <f>IF($I769="","",IF(INDEX(F_ProductBM!J:J,MATCH($P815,F_ProductBM!$Q:$Q,0))="","",INDEX(F_ProductBM!J:J,MATCH($P815,F_ProductBM!$Q:$Q,0))))</f>
        <v/>
      </c>
      <c r="K815" s="439" t="str">
        <f>IF($I769="","",IF(INDEX(F_ProductBM!K:K,MATCH($P815,F_ProductBM!$Q:$Q,0))="","",INDEX(F_ProductBM!K:K,MATCH($P815,F_ProductBM!$Q:$Q,0))))</f>
        <v/>
      </c>
      <c r="L815" s="439" t="str">
        <f>IF($I769="","",IF(INDEX(F_ProductBM!L:L,MATCH($P815,F_ProductBM!$Q:$Q,0))="","",INDEX(F_ProductBM!L:L,MATCH($P815,F_ProductBM!$Q:$Q,0))))</f>
        <v/>
      </c>
      <c r="M815" s="439" t="str">
        <f>IF($I769="","",IF(INDEX(F_ProductBM!M:M,MATCH($P815,F_ProductBM!$Q:$Q,0))="","",INDEX(F_ProductBM!M:M,MATCH($P815,F_ProductBM!$Q:$Q,0))))</f>
        <v/>
      </c>
      <c r="N815" s="342"/>
      <c r="O815" s="17"/>
      <c r="P815" s="63" t="str">
        <f>EUconst_CNTR_HAL&amp;EUconst_CNTR_ELEXCH &amp; I769</f>
        <v>HAL_ELEXCH_</v>
      </c>
      <c r="T815" s="9"/>
    </row>
    <row r="816" spans="2:20" x14ac:dyDescent="0.25">
      <c r="B816" s="17"/>
      <c r="C816" s="17"/>
      <c r="D816" s="17"/>
      <c r="E816" s="1528" t="str">
        <f>Translations!$B$805</f>
        <v>Electricity produced</v>
      </c>
      <c r="F816" s="1528"/>
      <c r="G816" s="1528"/>
      <c r="H816" s="154" t="str">
        <f>EUconst_MWhpa</f>
        <v>MWh / year</v>
      </c>
      <c r="I816" s="439" t="str">
        <f>IF($I769="","",IF(INDEX(F_ProductBM!I:I,MATCH($P816,F_ProductBM!$P:$P,0))="","",INDEX(F_ProductBM!I:I,MATCH($P816,F_ProductBM!$P:$P,0))))</f>
        <v/>
      </c>
      <c r="J816" s="439" t="str">
        <f>IF($I769="","",IF(INDEX(F_ProductBM!J:J,MATCH($P816,F_ProductBM!$P:$P,0))="","",INDEX(F_ProductBM!J:J,MATCH($P816,F_ProductBM!$P:$P,0))))</f>
        <v/>
      </c>
      <c r="K816" s="439" t="str">
        <f>IF($I769="","",IF(INDEX(F_ProductBM!K:K,MATCH($P816,F_ProductBM!$P:$P,0))="","",INDEX(F_ProductBM!K:K,MATCH($P816,F_ProductBM!$P:$P,0))))</f>
        <v/>
      </c>
      <c r="L816" s="439" t="str">
        <f>IF($I769="","",IF(INDEX(F_ProductBM!L:L,MATCH($P816,F_ProductBM!$P:$P,0))="","",INDEX(F_ProductBM!L:L,MATCH($P816,F_ProductBM!$P:$P,0))))</f>
        <v/>
      </c>
      <c r="M816" s="439" t="str">
        <f>IF($I769="","",IF(INDEX(F_ProductBM!M:M,MATCH($P816,F_ProductBM!$P:$P,0))="","",INDEX(F_ProductBM!M:M,MATCH($P816,F_ProductBM!$P:$P,0))))</f>
        <v/>
      </c>
      <c r="N816" s="342"/>
      <c r="O816" s="17"/>
      <c r="P816" s="116" t="str">
        <f>EUconst_CNTR_ElectricityExported &amp; I769</f>
        <v>ElecEx_</v>
      </c>
      <c r="T816" s="9"/>
    </row>
    <row r="817" spans="2:20" ht="5.0999999999999996" customHeight="1" x14ac:dyDescent="0.25">
      <c r="B817" s="17"/>
      <c r="C817" s="17"/>
      <c r="D817" s="17"/>
      <c r="E817" s="193"/>
      <c r="F817" s="193"/>
      <c r="G817" s="193"/>
      <c r="H817" s="193"/>
      <c r="I817" s="438"/>
      <c r="J817" s="438"/>
      <c r="K817" s="438"/>
      <c r="L817" s="438"/>
      <c r="M817" s="438"/>
      <c r="N817" s="342"/>
      <c r="O817" s="17"/>
      <c r="P817" s="9"/>
      <c r="T817" s="9"/>
    </row>
    <row r="818" spans="2:20" x14ac:dyDescent="0.25">
      <c r="B818" s="17"/>
      <c r="C818" s="17"/>
      <c r="D818" s="17"/>
      <c r="E818" s="1528" t="str">
        <f>Translations!$B$806</f>
        <v>Total amount of pulp produced</v>
      </c>
      <c r="F818" s="1528"/>
      <c r="G818" s="1528"/>
      <c r="H818" s="154" t="str">
        <f>EUconst_Tons</f>
        <v>tonnes</v>
      </c>
      <c r="I818" s="439" t="str">
        <f>IF($I769="","",IF(INDEX(F_ProductBM!I:I,MATCH($P818,F_ProductBM!$P:$P,0))="","",INDEX(F_ProductBM!I:I,MATCH($P818,F_ProductBM!$P:$P,0))))</f>
        <v/>
      </c>
      <c r="J818" s="439" t="str">
        <f>IF($I769="","",IF(INDEX(F_ProductBM!J:J,MATCH($P818,F_ProductBM!$P:$P,0))="","",INDEX(F_ProductBM!J:J,MATCH($P818,F_ProductBM!$P:$P,0))))</f>
        <v/>
      </c>
      <c r="K818" s="439" t="str">
        <f>IF($I769="","",IF(INDEX(F_ProductBM!K:K,MATCH($P818,F_ProductBM!$P:$P,0))="","",INDEX(F_ProductBM!K:K,MATCH($P818,F_ProductBM!$P:$P,0))))</f>
        <v/>
      </c>
      <c r="L818" s="439" t="str">
        <f>IF($I769="","",IF(INDEX(F_ProductBM!L:L,MATCH($P818,F_ProductBM!$P:$P,0))="","",INDEX(F_ProductBM!L:L,MATCH($P818,F_ProductBM!$P:$P,0))))</f>
        <v/>
      </c>
      <c r="M818" s="439" t="str">
        <f>IF($I769="","",IF(INDEX(F_ProductBM!M:M,MATCH($P818,F_ProductBM!$P:$P,0))="","",INDEX(F_ProductBM!M:M,MATCH($P818,F_ProductBM!$P:$P,0))))</f>
        <v/>
      </c>
      <c r="N818" s="342"/>
      <c r="O818" s="17"/>
      <c r="P818" s="116" t="str">
        <f>EUconst_CNTR_HALPulpTotal &amp; I769</f>
        <v>HALPulpTotal_</v>
      </c>
      <c r="T818" s="9"/>
    </row>
    <row r="819" spans="2:20" ht="5.0999999999999996" customHeight="1" x14ac:dyDescent="0.25">
      <c r="B819" s="17"/>
      <c r="C819" s="17"/>
      <c r="D819" s="17"/>
      <c r="E819" s="193"/>
      <c r="F819" s="193"/>
      <c r="G819" s="193"/>
      <c r="H819" s="193"/>
      <c r="I819" s="438"/>
      <c r="J819" s="438"/>
      <c r="K819" s="438"/>
      <c r="L819" s="438"/>
      <c r="M819" s="438"/>
      <c r="N819" s="342"/>
      <c r="O819" s="17"/>
      <c r="P819" s="9"/>
      <c r="T819" s="9"/>
    </row>
    <row r="820" spans="2:20" x14ac:dyDescent="0.25">
      <c r="B820" s="17"/>
      <c r="C820" s="17"/>
      <c r="D820" s="17"/>
      <c r="E820" s="605" t="str">
        <f>Translations!$B$1239</f>
        <v>Intermediate import:</v>
      </c>
      <c r="F820" s="193"/>
      <c r="G820" s="193"/>
      <c r="H820" s="193"/>
      <c r="I820" s="438"/>
      <c r="J820" s="438"/>
      <c r="K820" s="438"/>
      <c r="L820" s="438"/>
      <c r="M820" s="438"/>
      <c r="N820" s="342"/>
      <c r="O820" s="17"/>
      <c r="P820" s="9"/>
      <c r="T820" s="9"/>
    </row>
    <row r="821" spans="2:20" x14ac:dyDescent="0.25">
      <c r="B821" s="17"/>
      <c r="C821" s="17"/>
      <c r="D821" s="17"/>
      <c r="E821" s="1510" t="str">
        <f>IF($I769="","",IF(INDEX(F_ProductBM!E:E,MATCH($P821,F_ProductBM!$P:$P,0))="","",INDEX(F_ProductBM!E:E,MATCH($P821,F_ProductBM!$P:$P,0))))</f>
        <v/>
      </c>
      <c r="F821" s="1510"/>
      <c r="G821" s="1510"/>
      <c r="H821" s="154" t="str">
        <f>EUconst_Tons</f>
        <v>tonnes</v>
      </c>
      <c r="I821" s="439" t="str">
        <f>IF($I769="","",IF(INDEX(F_ProductBM!I:I,MATCH($P821,F_ProductBM!$P:$P,0))="","",INDEX(F_ProductBM!I:I,MATCH($P821,F_ProductBM!$P:$P,0))))</f>
        <v/>
      </c>
      <c r="J821" s="439" t="str">
        <f>IF($I769="","",IF(INDEX(F_ProductBM!J:J,MATCH($P821,F_ProductBM!$P:$P,0))="","",INDEX(F_ProductBM!J:J,MATCH($P821,F_ProductBM!$P:$P,0))))</f>
        <v/>
      </c>
      <c r="K821" s="439" t="str">
        <f>IF($I769="","",IF(INDEX(F_ProductBM!K:K,MATCH($P821,F_ProductBM!$P:$P,0))="","",INDEX(F_ProductBM!K:K,MATCH($P821,F_ProductBM!$P:$P,0))))</f>
        <v/>
      </c>
      <c r="L821" s="439" t="str">
        <f>IF($I769="","",IF(INDEX(F_ProductBM!L:L,MATCH($P821,F_ProductBM!$P:$P,0))="","",INDEX(F_ProductBM!L:L,MATCH($P821,F_ProductBM!$P:$P,0))))</f>
        <v/>
      </c>
      <c r="M821" s="439" t="str">
        <f>IF($I769="","",IF(INDEX(F_ProductBM!M:M,MATCH($P821,F_ProductBM!$P:$P,0))="","",INDEX(F_ProductBM!M:M,MATCH($P821,F_ProductBM!$P:$P,0))))</f>
        <v/>
      </c>
      <c r="N821" s="342"/>
      <c r="O821" s="17"/>
      <c r="P821" s="116" t="str">
        <f>EUconst_CNTR_IntermediateImport &amp; R821 &amp; "_" &amp; I769</f>
        <v>IntImp_1_</v>
      </c>
      <c r="R821" s="372">
        <v>1</v>
      </c>
      <c r="T821" s="9"/>
    </row>
    <row r="822" spans="2:20" x14ac:dyDescent="0.25">
      <c r="B822" s="17"/>
      <c r="C822" s="17"/>
      <c r="D822" s="17"/>
      <c r="E822" s="1510" t="str">
        <f>IF($I769="","",IF(INDEX(F_ProductBM!E:E,MATCH($P822,F_ProductBM!$P:$P,0))="","",INDEX(F_ProductBM!E:E,MATCH($P822,F_ProductBM!$P:$P,0))))</f>
        <v/>
      </c>
      <c r="F822" s="1510"/>
      <c r="G822" s="1510"/>
      <c r="H822" s="154" t="str">
        <f>EUconst_Tons</f>
        <v>tonnes</v>
      </c>
      <c r="I822" s="439" t="str">
        <f>IF($I769="","",IF(INDEX(F_ProductBM!I:I,MATCH($P822,F_ProductBM!$P:$P,0))="","",INDEX(F_ProductBM!I:I,MATCH($P822,F_ProductBM!$P:$P,0))))</f>
        <v/>
      </c>
      <c r="J822" s="439" t="str">
        <f>IF($I769="","",IF(INDEX(F_ProductBM!J:J,MATCH($P822,F_ProductBM!$P:$P,0))="","",INDEX(F_ProductBM!J:J,MATCH($P822,F_ProductBM!$P:$P,0))))</f>
        <v/>
      </c>
      <c r="K822" s="439" t="str">
        <f>IF($I769="","",IF(INDEX(F_ProductBM!K:K,MATCH($P822,F_ProductBM!$P:$P,0))="","",INDEX(F_ProductBM!K:K,MATCH($P822,F_ProductBM!$P:$P,0))))</f>
        <v/>
      </c>
      <c r="L822" s="439" t="str">
        <f>IF($I769="","",IF(INDEX(F_ProductBM!L:L,MATCH($P822,F_ProductBM!$P:$P,0))="","",INDEX(F_ProductBM!L:L,MATCH($P822,F_ProductBM!$P:$P,0))))</f>
        <v/>
      </c>
      <c r="M822" s="439" t="str">
        <f>IF($I769="","",IF(INDEX(F_ProductBM!M:M,MATCH($P822,F_ProductBM!$P:$P,0))="","",INDEX(F_ProductBM!M:M,MATCH($P822,F_ProductBM!$P:$P,0))))</f>
        <v/>
      </c>
      <c r="N822" s="342"/>
      <c r="O822" s="17"/>
      <c r="P822" s="116" t="str">
        <f>EUconst_CNTR_IntermediateImport &amp; R822 &amp; "_" &amp; I769</f>
        <v>IntImp_2_</v>
      </c>
      <c r="R822" s="372">
        <v>2</v>
      </c>
      <c r="T822" s="9"/>
    </row>
    <row r="823" spans="2:20" x14ac:dyDescent="0.25">
      <c r="B823" s="17"/>
      <c r="C823" s="17"/>
      <c r="D823" s="17"/>
      <c r="E823" s="605" t="str">
        <f>Translations!$B$1240</f>
        <v>Intermediate export:</v>
      </c>
      <c r="F823" s="193"/>
      <c r="G823" s="193"/>
      <c r="H823" s="193"/>
      <c r="I823" s="438"/>
      <c r="J823" s="438"/>
      <c r="K823" s="438"/>
      <c r="L823" s="438"/>
      <c r="M823" s="438"/>
      <c r="N823" s="342"/>
      <c r="O823" s="17"/>
      <c r="P823" s="9"/>
      <c r="T823" s="9"/>
    </row>
    <row r="824" spans="2:20" x14ac:dyDescent="0.25">
      <c r="B824" s="17"/>
      <c r="C824" s="17"/>
      <c r="D824" s="17"/>
      <c r="E824" s="1510" t="str">
        <f>IF($I769="","",IF(INDEX(F_ProductBM!E:E,MATCH($P824,F_ProductBM!$P:$P,0))="","",INDEX(F_ProductBM!E:E,MATCH($P824,F_ProductBM!$P:$P,0))))</f>
        <v/>
      </c>
      <c r="F824" s="1510"/>
      <c r="G824" s="1510"/>
      <c r="H824" s="154" t="str">
        <f>EUconst_Tons</f>
        <v>tonnes</v>
      </c>
      <c r="I824" s="439" t="str">
        <f>IF($I769="","",IF(INDEX(F_ProductBM!I:I,MATCH($P824,F_ProductBM!$P:$P,0))="","",INDEX(F_ProductBM!I:I,MATCH($P824,F_ProductBM!$P:$P,0))))</f>
        <v/>
      </c>
      <c r="J824" s="439" t="str">
        <f>IF($I769="","",IF(INDEX(F_ProductBM!J:J,MATCH($P824,F_ProductBM!$P:$P,0))="","",INDEX(F_ProductBM!J:J,MATCH($P824,F_ProductBM!$P:$P,0))))</f>
        <v/>
      </c>
      <c r="K824" s="439" t="str">
        <f>IF($I769="","",IF(INDEX(F_ProductBM!K:K,MATCH($P824,F_ProductBM!$P:$P,0))="","",INDEX(F_ProductBM!K:K,MATCH($P824,F_ProductBM!$P:$P,0))))</f>
        <v/>
      </c>
      <c r="L824" s="439" t="str">
        <f>IF($I769="","",IF(INDEX(F_ProductBM!L:L,MATCH($P824,F_ProductBM!$P:$P,0))="","",INDEX(F_ProductBM!L:L,MATCH($P824,F_ProductBM!$P:$P,0))))</f>
        <v/>
      </c>
      <c r="M824" s="439" t="str">
        <f>IF($I769="","",IF(INDEX(F_ProductBM!M:M,MATCH($P824,F_ProductBM!$P:$P,0))="","",INDEX(F_ProductBM!M:M,MATCH($P824,F_ProductBM!$P:$P,0))))</f>
        <v/>
      </c>
      <c r="N824" s="342"/>
      <c r="O824" s="17"/>
      <c r="P824" s="116" t="str">
        <f>EUconst_CNTR_IntermediateExport &amp; R821 &amp; "_" &amp; I769</f>
        <v>IntExp_1_</v>
      </c>
      <c r="R824" s="372">
        <v>1</v>
      </c>
      <c r="T824" s="9"/>
    </row>
    <row r="825" spans="2:20" x14ac:dyDescent="0.25">
      <c r="B825" s="17"/>
      <c r="C825" s="17"/>
      <c r="D825" s="17"/>
      <c r="E825" s="1510" t="str">
        <f>IF($I769="","",IF(INDEX(F_ProductBM!E:E,MATCH($P825,F_ProductBM!$P:$P,0))="","",INDEX(F_ProductBM!E:E,MATCH($P825,F_ProductBM!$P:$P,0))))</f>
        <v/>
      </c>
      <c r="F825" s="1510"/>
      <c r="G825" s="1510"/>
      <c r="H825" s="154" t="str">
        <f>EUconst_Tons</f>
        <v>tonnes</v>
      </c>
      <c r="I825" s="439" t="str">
        <f>IF($I769="","",IF(INDEX(F_ProductBM!I:I,MATCH($P825,F_ProductBM!$P:$P,0))="","",INDEX(F_ProductBM!I:I,MATCH($P825,F_ProductBM!$P:$P,0))))</f>
        <v/>
      </c>
      <c r="J825" s="439" t="str">
        <f>IF($I769="","",IF(INDEX(F_ProductBM!J:J,MATCH($P825,F_ProductBM!$P:$P,0))="","",INDEX(F_ProductBM!J:J,MATCH($P825,F_ProductBM!$P:$P,0))))</f>
        <v/>
      </c>
      <c r="K825" s="439" t="str">
        <f>IF($I769="","",IF(INDEX(F_ProductBM!K:K,MATCH($P825,F_ProductBM!$P:$P,0))="","",INDEX(F_ProductBM!K:K,MATCH($P825,F_ProductBM!$P:$P,0))))</f>
        <v/>
      </c>
      <c r="L825" s="439" t="str">
        <f>IF($I769="","",IF(INDEX(F_ProductBM!L:L,MATCH($P825,F_ProductBM!$P:$P,0))="","",INDEX(F_ProductBM!L:L,MATCH($P825,F_ProductBM!$P:$P,0))))</f>
        <v/>
      </c>
      <c r="M825" s="439" t="str">
        <f>IF($I769="","",IF(INDEX(F_ProductBM!M:M,MATCH($P825,F_ProductBM!$P:$P,0))="","",INDEX(F_ProductBM!M:M,MATCH($P825,F_ProductBM!$P:$P,0))))</f>
        <v/>
      </c>
      <c r="N825" s="342"/>
      <c r="O825" s="17"/>
      <c r="P825" s="116" t="str">
        <f>EUconst_CNTR_IntermediateExport &amp; R825 &amp; "_" &amp; I769</f>
        <v>IntExp_2_</v>
      </c>
      <c r="R825" s="372">
        <v>2</v>
      </c>
      <c r="T825" s="9"/>
    </row>
    <row r="826" spans="2:20" ht="12.75" customHeight="1" x14ac:dyDescent="0.25">
      <c r="B826" s="17"/>
      <c r="C826" s="17"/>
      <c r="D826" s="17"/>
      <c r="E826" s="193"/>
      <c r="F826" s="193"/>
      <c r="G826" s="193"/>
      <c r="H826" s="193"/>
      <c r="I826" s="342"/>
      <c r="J826" s="342"/>
      <c r="K826" s="342"/>
      <c r="L826" s="342"/>
      <c r="M826" s="342"/>
      <c r="N826" s="342"/>
      <c r="O826" s="17"/>
      <c r="P826" s="9"/>
      <c r="T826" s="9"/>
    </row>
    <row r="827" spans="2:20" ht="5.0999999999999996" customHeight="1" thickBot="1" x14ac:dyDescent="0.3">
      <c r="B827" s="17"/>
      <c r="C827" s="17"/>
      <c r="D827" s="17"/>
      <c r="E827" s="445"/>
      <c r="F827" s="276"/>
      <c r="G827" s="276"/>
      <c r="H827" s="276"/>
      <c r="I827" s="276"/>
      <c r="J827" s="276"/>
      <c r="K827" s="276"/>
      <c r="L827" s="276"/>
      <c r="M827" s="276"/>
      <c r="N827" s="276"/>
      <c r="O827" s="17"/>
      <c r="T827" s="9"/>
    </row>
    <row r="828" spans="2:20" ht="5.0999999999999996" customHeight="1" thickBot="1" x14ac:dyDescent="0.3">
      <c r="B828" s="8"/>
      <c r="C828" s="906"/>
      <c r="D828" s="906"/>
      <c r="E828" s="906"/>
      <c r="F828" s="906"/>
      <c r="G828" s="906"/>
      <c r="H828" s="906"/>
      <c r="I828" s="906"/>
      <c r="J828" s="906"/>
      <c r="K828" s="906"/>
      <c r="L828" s="906"/>
      <c r="M828" s="906"/>
      <c r="N828" s="906"/>
      <c r="O828" s="17"/>
      <c r="T828" s="9" t="s">
        <v>644</v>
      </c>
    </row>
    <row r="829" spans="2:20" ht="15" customHeight="1" thickBot="1" x14ac:dyDescent="0.3">
      <c r="B829" s="17"/>
      <c r="C829" s="19">
        <f>C769+1</f>
        <v>7</v>
      </c>
      <c r="D829" s="1234" t="str">
        <f>CONCATENATE(EUconst_BMSubinst," ",C829, ":")</f>
        <v>Sub-installation with product benchmark 7:</v>
      </c>
      <c r="E829" s="1234"/>
      <c r="F829" s="1234"/>
      <c r="G829" s="1234"/>
      <c r="H829" s="1704"/>
      <c r="I829" s="1550" t="str">
        <f>IF(INDEX(CNTR_SubInstListIsProdBM,$C829),INDEX(CNTR_SubInstListNames,$C829),"")</f>
        <v/>
      </c>
      <c r="J829" s="1705"/>
      <c r="K829" s="1705"/>
      <c r="L829" s="1705"/>
      <c r="M829" s="1705"/>
      <c r="N829" s="1706"/>
      <c r="O829" s="17"/>
      <c r="Q829" s="427">
        <f>C829</f>
        <v>7</v>
      </c>
      <c r="R829" s="424" t="str">
        <f>I829</f>
        <v/>
      </c>
      <c r="S829" s="426" t="str">
        <f>H832</f>
        <v>N.A.</v>
      </c>
      <c r="T829" s="425" t="str">
        <f>IF(M841="","",IF(S832=0,0,SUM(M841)/S832))</f>
        <v/>
      </c>
    </row>
    <row r="830" spans="2:20" ht="5.0999999999999996" customHeight="1" thickBot="1" x14ac:dyDescent="0.3">
      <c r="B830" s="17"/>
      <c r="C830" s="17"/>
      <c r="D830" s="17"/>
      <c r="E830" s="17"/>
      <c r="F830" s="17"/>
      <c r="G830" s="17"/>
      <c r="H830" s="17"/>
      <c r="I830" s="17"/>
      <c r="J830" s="17"/>
      <c r="K830" s="17"/>
      <c r="L830" s="17"/>
      <c r="M830" s="17"/>
      <c r="N830" s="17"/>
      <c r="O830" s="17"/>
      <c r="T830" s="9"/>
    </row>
    <row r="831" spans="2:20" x14ac:dyDescent="0.25">
      <c r="B831" s="17"/>
      <c r="C831" s="17"/>
      <c r="D831" s="17"/>
      <c r="E831" s="17"/>
      <c r="F831" s="17"/>
      <c r="G831" s="17"/>
      <c r="H831" s="253" t="str">
        <f>Translations!$B$1204</f>
        <v>CL-exposed</v>
      </c>
      <c r="I831" s="254" t="s">
        <v>629</v>
      </c>
      <c r="J831" s="254" t="str">
        <f>Translations!$B$1208</f>
        <v>Started</v>
      </c>
      <c r="K831" s="254" t="str">
        <f>Translations!$B$1206</f>
        <v>No. of BM</v>
      </c>
      <c r="L831" s="329" t="str">
        <f>Translations!$B$1212</f>
        <v>15(7).3?</v>
      </c>
      <c r="M831" s="468" t="str">
        <f>Translations!$B$1234</f>
        <v>BM value (min/max/actual)</v>
      </c>
      <c r="N831" s="469"/>
      <c r="O831" s="17"/>
      <c r="T831" s="9"/>
    </row>
    <row r="832" spans="2:20" x14ac:dyDescent="0.25">
      <c r="B832" s="17"/>
      <c r="C832" s="17"/>
      <c r="D832" s="17"/>
      <c r="E832" s="255" t="str">
        <f>I829</f>
        <v/>
      </c>
      <c r="F832" s="256"/>
      <c r="G832" s="230"/>
      <c r="H832" s="257" t="str">
        <f>IF(K832=EUconst_NA,EUconst_NA,INDEX(EUconst_BMlistCLstatus,K832))</f>
        <v>N.A.</v>
      </c>
      <c r="I832" s="258" t="str">
        <f>IF(E832="","",INDEX(EUconst_BMlistElExchangability,K832))</f>
        <v/>
      </c>
      <c r="J832" s="355" t="str">
        <f>IF($I829="",EUconst_NA,INDEX(CNTR_SubInstStartDate,MATCH(E832,CNTR_SubInstListNames,0)))</f>
        <v>N.A.</v>
      </c>
      <c r="K832" s="203" t="str">
        <f>IF($I829="",EUconst_NA,MATCH(E832,EUconst_BMlistNames,0))</f>
        <v>N.A.</v>
      </c>
      <c r="L832" s="467" t="str">
        <f>IF(E832="","",INDEX(CNTR_SubInstLess1Year,MATCH(E832,CNTR_SubInstListNames,0)))</f>
        <v/>
      </c>
      <c r="M832" s="470" t="str">
        <f>IF(I829="",EUconst_NA,INDEX(EUconst_BMlistBMvaluesMatrix,K832,2))</f>
        <v>N.A.</v>
      </c>
      <c r="N832" s="471" t="str">
        <f>EUconst_EUA &amp; "/" &amp; H837</f>
        <v>UKA/tonnes</v>
      </c>
      <c r="O832" s="17"/>
      <c r="R832" s="288" t="s">
        <v>639</v>
      </c>
      <c r="S832" s="335" t="str">
        <f>IF(H832=EUconst_NA,"",IF(H832,1,INDEX(EUconst_CLEFYears,1)))</f>
        <v/>
      </c>
      <c r="T832" s="9"/>
    </row>
    <row r="833" spans="2:20" x14ac:dyDescent="0.25">
      <c r="B833" s="17"/>
      <c r="C833" s="17"/>
      <c r="D833" s="17"/>
      <c r="E833" s="276"/>
      <c r="F833" s="276"/>
      <c r="G833" s="254" t="str">
        <f>Translations!$B$1218</f>
        <v>non-ETS heat</v>
      </c>
      <c r="H833" s="329" t="str">
        <f>Translations!$B$1220</f>
        <v>WGflare</v>
      </c>
      <c r="I833" s="254" t="s">
        <v>630</v>
      </c>
      <c r="J833" s="254" t="s">
        <v>631</v>
      </c>
      <c r="K833" s="254" t="s">
        <v>632</v>
      </c>
      <c r="L833" s="329" t="str">
        <f>Translations!$B$1214</f>
        <v>15(7).3 HAL</v>
      </c>
      <c r="M833" s="470" t="str">
        <f>IF(I829="",EUconst_NA,INDEX(EUconst_BMlistBMvaluesMatrix,K832,1))</f>
        <v>N.A.</v>
      </c>
      <c r="N833" s="471" t="str">
        <f>EUconst_EUA &amp; "/" &amp; H837</f>
        <v>UKA/tonnes</v>
      </c>
      <c r="O833" s="17"/>
      <c r="R833" s="288"/>
      <c r="S833" s="368"/>
      <c r="T833" s="9"/>
    </row>
    <row r="834" spans="2:20" ht="13.8" thickBot="1" x14ac:dyDescent="0.3">
      <c r="B834" s="17"/>
      <c r="C834" s="17"/>
      <c r="D834" s="17"/>
      <c r="E834" s="370" t="str">
        <f>Translations!$B$1235</f>
        <v>Special factors:</v>
      </c>
      <c r="F834" s="371"/>
      <c r="G834" s="203" t="str">
        <f>IF($I829="","",SUMIF(F_ProductBM!$P:$P,EUconst_CNTR_HEAT&amp;$I829,F_ProductBM!$Q:$Q))</f>
        <v/>
      </c>
      <c r="H834" s="353" t="str">
        <f>IF(OR($I829="",CNTR_BaselinePeriod&lt;&gt;2),"",SUMIF(F_ProductBM!$P:$P,EUconst_CNTR_WGFlaredEF &amp; I829,F_ProductBM!$R:$R))</f>
        <v/>
      </c>
      <c r="I834" s="334">
        <f>IF(AND($I829&lt;&gt;"",$I832=TRUE),IF(ISNUMBER(INDEX(F_ProductBM!$Q:$Q,MATCH(EUconst_CNTR_ELEXCH&amp;$I829,F_ProductBM!$P:$P,0))),INDEX(F_ProductBM!$Q:$Q,MATCH(EUconst_CNTR_ELEXCH&amp;$I829,F_ProductBM!$P:$P,0)),1),1)</f>
        <v>1</v>
      </c>
      <c r="J834" s="203" t="str">
        <f>IF($I829="","",IF($K832=42,SUMIF(H_SpecialBM!$P$9:$P$384,EUconst_CNTR_HVC,H_SpecialBM!$I$9:$I$384),0))</f>
        <v/>
      </c>
      <c r="K834" s="369" t="str">
        <f>IF($I829="","",IF($K832=47,IF(ISNUMBER(INDEX(H_SpecialBM!$Q$9:$Q$384,MATCH(EUconst_CNTR_VCM,H_SpecialBM!$P$9:$P$384,0))),INDEX(H_SpecialBM!$Q$9:$Q$384,MATCH(EUconst_CNTR_VCM,H_SpecialBM!$P$9:$P$384,0)),1),1))</f>
        <v/>
      </c>
      <c r="L834" s="353" t="str">
        <f>IF($L832=TRUE,SUMIF(F_ProductBM!$P$11:$P$2192,EUconst_CNTR_HAL&amp;$I829,F_ProductBM!$N$11:$N$2192),"")</f>
        <v/>
      </c>
      <c r="M834" s="472" t="str">
        <f>IF(I829="",EUconst_NA,IF(EUconst_StatusOfDataCollection,INDEX(EUconst_BMlistBMvaluesMatrix,K832,3),""))</f>
        <v>N.A.</v>
      </c>
      <c r="N834" s="473" t="str">
        <f>EUconst_EUA &amp; "/" &amp; H837</f>
        <v>UKA/tonnes</v>
      </c>
      <c r="O834" s="17"/>
      <c r="R834" s="288"/>
      <c r="S834" s="368"/>
      <c r="T834" s="9"/>
    </row>
    <row r="835" spans="2:20" ht="5.0999999999999996" customHeight="1" x14ac:dyDescent="0.25">
      <c r="B835" s="17"/>
      <c r="C835" s="17"/>
      <c r="D835" s="17"/>
      <c r="E835" s="17"/>
      <c r="F835" s="17"/>
      <c r="G835" s="17"/>
      <c r="H835" s="17"/>
      <c r="I835" s="17"/>
      <c r="J835" s="17"/>
      <c r="K835" s="17"/>
      <c r="L835" s="17"/>
      <c r="M835" s="17"/>
      <c r="N835" s="17"/>
      <c r="O835" s="17"/>
      <c r="T835" s="9"/>
    </row>
    <row r="836" spans="2:20" x14ac:dyDescent="0.25">
      <c r="B836" s="17"/>
      <c r="C836" s="17"/>
      <c r="D836" s="17"/>
      <c r="E836" s="78"/>
      <c r="F836" s="78"/>
      <c r="G836" s="259"/>
      <c r="H836" s="366" t="str">
        <f>EUconst_Unit</f>
        <v>Unit</v>
      </c>
      <c r="I836" s="149">
        <f>I$1397</f>
        <v>2019</v>
      </c>
      <c r="J836" s="149">
        <f>J$1397</f>
        <v>2020</v>
      </c>
      <c r="K836" s="149">
        <f>K$1397</f>
        <v>2021</v>
      </c>
      <c r="L836" s="149">
        <f>L$1397</f>
        <v>2022</v>
      </c>
      <c r="M836" s="149">
        <f>M$1397</f>
        <v>2023</v>
      </c>
      <c r="N836" s="17"/>
      <c r="O836" s="17"/>
      <c r="P836" s="63" t="s">
        <v>397</v>
      </c>
      <c r="T836" s="9"/>
    </row>
    <row r="837" spans="2:20" x14ac:dyDescent="0.25">
      <c r="B837" s="17"/>
      <c r="C837" s="17"/>
      <c r="D837" s="17"/>
      <c r="E837" s="260" t="str">
        <f>Translations!$B$1236</f>
        <v>HAL (Historic activity level) reported</v>
      </c>
      <c r="F837" s="261"/>
      <c r="G837" s="262"/>
      <c r="H837" s="257" t="str">
        <f>IF(ISNUMBER(K832),INDEX(EUconst_BMlistUnits,K832),EUconst_Tons)</f>
        <v>tonnes</v>
      </c>
      <c r="I837" s="203" t="str">
        <f>IF($I829="","",SUMIF(F_ProductBM!$P$11:$P$1876,$P837,F_ProductBM!I$11:I$1876))</f>
        <v/>
      </c>
      <c r="J837" s="203" t="str">
        <f>IF($I829="","",SUMIF(F_ProductBM!$P$11:$P$1876,$P837,F_ProductBM!J$11:J$1876))</f>
        <v/>
      </c>
      <c r="K837" s="203" t="str">
        <f>IF($I829="","",SUMIF(F_ProductBM!$P$11:$P$1876,$P837,F_ProductBM!K$11:K$1876))</f>
        <v/>
      </c>
      <c r="L837" s="203" t="str">
        <f>IF($I829="","",SUMIF(F_ProductBM!$P$11:$P$1876,$P837,F_ProductBM!L$11:L$1876))</f>
        <v/>
      </c>
      <c r="M837" s="203" t="str">
        <f>IF($I829="","",SUMIF(F_ProductBM!$P$11:$P$1876,$P837,F_ProductBM!M$11:M$1876))</f>
        <v/>
      </c>
      <c r="N837" s="254" t="str">
        <f>Translations!$B$1224</f>
        <v>Average</v>
      </c>
      <c r="O837" s="17"/>
      <c r="P837" s="63" t="str">
        <f>EUconst_CNTR_HAL&amp;I829</f>
        <v>HAL_</v>
      </c>
      <c r="T837" s="9"/>
    </row>
    <row r="838" spans="2:20" x14ac:dyDescent="0.25">
      <c r="B838" s="17"/>
      <c r="C838" s="17"/>
      <c r="D838" s="17"/>
      <c r="E838" s="260" t="str">
        <f>Translations!$B$1237</f>
        <v>Values used for HAL calculation:</v>
      </c>
      <c r="F838" s="261"/>
      <c r="G838" s="262"/>
      <c r="H838" s="257" t="str">
        <f>H837</f>
        <v>tonnes</v>
      </c>
      <c r="I838" s="203" t="str">
        <f>IF($I829="","",INDEX(F_ProductBM!S$11:S$1876,MATCH($P838,F_ProductBM!$P$11:$P$1876,0)))</f>
        <v/>
      </c>
      <c r="J838" s="203" t="str">
        <f>IF($I829="","",INDEX(F_ProductBM!T$11:T$1876,MATCH($P838,F_ProductBM!$P$11:$P$1876,0)))</f>
        <v/>
      </c>
      <c r="K838" s="203" t="str">
        <f>IF($I829="","",INDEX(F_ProductBM!U$11:U$1876,MATCH($P838,F_ProductBM!$P$11:$P$1876,0)))</f>
        <v/>
      </c>
      <c r="L838" s="203" t="str">
        <f>IF($I829="","",INDEX(F_ProductBM!V$11:V$1876,MATCH($P838,F_ProductBM!$P$11:$P$1876,0)))</f>
        <v/>
      </c>
      <c r="M838" s="203" t="str">
        <f>IF($I829="","",INDEX(F_ProductBM!W$11:W$1876,MATCH($P838,F_ProductBM!$P$11:$P$1876,0)))</f>
        <v/>
      </c>
      <c r="N838" s="203" t="str">
        <f>IF(OR($I829="",$L832=TRUE),"",IF(COUNT($I838:$M838)&gt;0,AVERAGE($I838:$M838),""))</f>
        <v/>
      </c>
      <c r="O838" s="17"/>
      <c r="P838" s="63" t="str">
        <f>EUconst_CNTR_HAL&amp;I829</f>
        <v>HAL_</v>
      </c>
      <c r="R838" s="442" t="s">
        <v>640</v>
      </c>
      <c r="S838" s="442" t="s">
        <v>641</v>
      </c>
      <c r="T838" s="442" t="s">
        <v>642</v>
      </c>
    </row>
    <row r="839" spans="2:20" ht="5.0999999999999996" customHeight="1" thickBot="1" x14ac:dyDescent="0.3">
      <c r="B839" s="17"/>
      <c r="C839" s="17"/>
      <c r="D839" s="17"/>
      <c r="E839" s="367"/>
      <c r="F839" s="367"/>
      <c r="G839" s="367"/>
      <c r="H839" s="367"/>
      <c r="I839" s="367"/>
      <c r="J839" s="367"/>
      <c r="K839" s="367"/>
      <c r="L839" s="367"/>
      <c r="M839" s="276"/>
      <c r="N839" s="276"/>
      <c r="O839" s="17"/>
      <c r="T839" s="9"/>
    </row>
    <row r="840" spans="2:20" ht="13.8" thickBot="1" x14ac:dyDescent="0.3">
      <c r="B840" s="17"/>
      <c r="C840" s="276"/>
      <c r="D840" s="17"/>
      <c r="E840" s="367"/>
      <c r="F840" s="336" t="s">
        <v>643</v>
      </c>
      <c r="G840" s="337"/>
      <c r="H840" s="276"/>
      <c r="I840" s="336" t="str">
        <f>Translations!$B$1226</f>
        <v>Prelim Alloc Year 1 (min)</v>
      </c>
      <c r="J840" s="337"/>
      <c r="K840" s="336" t="str">
        <f>Translations!$B$1229</f>
        <v>Prelim Alloc Year 1 (max)</v>
      </c>
      <c r="L840" s="337"/>
      <c r="M840" s="336" t="str">
        <f>Translations!$B$1231</f>
        <v>Prelim Alloc Year 1 (actual)</v>
      </c>
      <c r="N840" s="337"/>
      <c r="O840" s="17"/>
      <c r="P840" s="63" t="str">
        <f>EUconst_AllocPrelim&amp;I829</f>
        <v>AllocPrelim_</v>
      </c>
      <c r="R840" s="423" t="str">
        <f>IF(I841="","",IF(S832=0,0,SUM(I841)/S832))</f>
        <v/>
      </c>
      <c r="S840" s="423" t="str">
        <f>IF(K841="","",IF(S832=0,0,SUM(K841)/S832))</f>
        <v/>
      </c>
      <c r="T840" s="423" t="str">
        <f>T829</f>
        <v/>
      </c>
    </row>
    <row r="841" spans="2:20" ht="13.8" thickBot="1" x14ac:dyDescent="0.3">
      <c r="B841" s="17"/>
      <c r="C841" s="276"/>
      <c r="D841" s="276"/>
      <c r="E841" s="367"/>
      <c r="F841" s="264" t="str">
        <f>IF(I829="","",MAX(0, IF(L832=TRUE, SUM(L834), SUM(N838))))</f>
        <v/>
      </c>
      <c r="G841" s="265" t="str">
        <f>H837&amp;" / "&amp;EUconst_Year</f>
        <v>tonnes / year</v>
      </c>
      <c r="H841" s="276"/>
      <c r="I841" s="333" t="str">
        <f>IF(I829="","",ROUND((SUM(M832)*SUM(F841)*SUM(I834)*SUM(K834)-SUM(G834)-SUM(H834)+SUM(J834))*SUM(S832),0))</f>
        <v/>
      </c>
      <c r="J841" s="409" t="s">
        <v>645</v>
      </c>
      <c r="K841" s="333" t="str">
        <f>IF(I829="","",ROUND((SUM(M833)*SUM(F841)*SUM(I834)*SUM(K834)-SUM(G834)-SUM(H834)+SUM(J834))*SUM(S832),0))</f>
        <v/>
      </c>
      <c r="L841" s="409" t="s">
        <v>645</v>
      </c>
      <c r="M841" s="333" t="str">
        <f>IF(OR(I829="",M834=""),"",ROUND((SUM(M834)*SUM(F841)*SUM(I834)*SUM(K834)-SUM(G834)-SUM(H834)+SUM(J834))*SUM(S832),0))</f>
        <v/>
      </c>
      <c r="N841" s="409" t="s">
        <v>645</v>
      </c>
      <c r="O841" s="17"/>
      <c r="P841" s="63" t="str">
        <f>EUconst_HALsum &amp; I829</f>
        <v>HALsum_</v>
      </c>
      <c r="T841" s="9"/>
    </row>
    <row r="842" spans="2:20" ht="5.0999999999999996" customHeight="1" x14ac:dyDescent="0.25">
      <c r="B842" s="17"/>
      <c r="C842" s="17"/>
      <c r="D842" s="276"/>
      <c r="E842" s="113"/>
      <c r="F842" s="17"/>
      <c r="G842" s="17"/>
      <c r="H842" s="17"/>
      <c r="I842" s="17"/>
      <c r="J842" s="17"/>
      <c r="K842" s="17"/>
      <c r="L842" s="17"/>
      <c r="M842" s="17"/>
      <c r="N842" s="17"/>
      <c r="O842" s="17"/>
      <c r="T842" s="9"/>
    </row>
    <row r="843" spans="2:20" ht="12.75" customHeight="1" x14ac:dyDescent="0.25">
      <c r="B843" s="17"/>
      <c r="C843" s="17"/>
      <c r="D843" s="17"/>
      <c r="E843" s="193"/>
      <c r="F843" s="342"/>
      <c r="G843" s="342"/>
      <c r="H843" s="342"/>
      <c r="I843" s="342"/>
      <c r="J843" s="342"/>
      <c r="K843" s="342"/>
      <c r="L843" s="342"/>
      <c r="M843" s="342"/>
      <c r="N843" s="342"/>
      <c r="O843" s="17"/>
      <c r="T843" s="9"/>
    </row>
    <row r="844" spans="2:20" ht="13.8" thickBot="1" x14ac:dyDescent="0.3">
      <c r="B844" s="17"/>
      <c r="C844" s="17"/>
      <c r="D844" s="17"/>
      <c r="E844" s="193"/>
      <c r="F844" s="342"/>
      <c r="G844" s="342"/>
      <c r="H844" s="192" t="str">
        <f>EUconst_Unit</f>
        <v>Unit</v>
      </c>
      <c r="I844" s="441">
        <f>I$1397</f>
        <v>2019</v>
      </c>
      <c r="J844" s="153">
        <f>J$1397</f>
        <v>2020</v>
      </c>
      <c r="K844" s="153">
        <f>K$1397</f>
        <v>2021</v>
      </c>
      <c r="L844" s="153">
        <f>L$1397</f>
        <v>2022</v>
      </c>
      <c r="M844" s="153">
        <f>M$1397</f>
        <v>2023</v>
      </c>
      <c r="N844" s="342"/>
      <c r="O844" s="17"/>
      <c r="T844" s="9"/>
    </row>
    <row r="845" spans="2:20" ht="13.8" thickBot="1" x14ac:dyDescent="0.3">
      <c r="B845" s="17"/>
      <c r="C845" s="17"/>
      <c r="D845" s="17"/>
      <c r="E845" s="1610" t="str">
        <f>Translations!$B$1238</f>
        <v>Total attributed emissions</v>
      </c>
      <c r="F845" s="1610"/>
      <c r="G845" s="1610"/>
      <c r="H845" s="411" t="str">
        <f>EUconst_tCO2epa</f>
        <v>t CO2e/year</v>
      </c>
      <c r="I845" s="432" t="str">
        <f>INDEX(I$93:I$109,MATCH($I829,$E$93:$E$109,0))</f>
        <v/>
      </c>
      <c r="J845" s="433" t="str">
        <f>INDEX(J$93:J$109,MATCH($I829,$E$93:$E$109,0))</f>
        <v/>
      </c>
      <c r="K845" s="433" t="str">
        <f>INDEX(K$93:K$109,MATCH($I829,$E$93:$E$109,0))</f>
        <v/>
      </c>
      <c r="L845" s="433" t="str">
        <f>INDEX(L$93:L$109,MATCH($I829,$E$93:$E$109,0))</f>
        <v/>
      </c>
      <c r="M845" s="434" t="str">
        <f>INDEX(M$93:M$109,MATCH($I829,$E$93:$E$109,0))</f>
        <v/>
      </c>
      <c r="N845" s="342"/>
      <c r="O845" s="17"/>
      <c r="T845" s="9"/>
    </row>
    <row r="846" spans="2:20" ht="5.0999999999999996" customHeight="1" x14ac:dyDescent="0.25">
      <c r="B846" s="17"/>
      <c r="C846" s="17"/>
      <c r="D846" s="17"/>
      <c r="E846" s="193"/>
      <c r="F846" s="193"/>
      <c r="G846" s="193"/>
      <c r="H846" s="193"/>
      <c r="I846" s="435"/>
      <c r="J846" s="435"/>
      <c r="K846" s="435"/>
      <c r="L846" s="435"/>
      <c r="M846" s="435"/>
      <c r="N846" s="193"/>
      <c r="O846" s="17"/>
      <c r="T846" s="9"/>
    </row>
    <row r="847" spans="2:20" x14ac:dyDescent="0.25">
      <c r="B847" s="17"/>
      <c r="C847" s="17"/>
      <c r="D847" s="17"/>
      <c r="E847" s="1526" t="str">
        <f>Translations!$B$731</f>
        <v>Fuel input</v>
      </c>
      <c r="F847" s="1526"/>
      <c r="G847" s="1526"/>
      <c r="H847" s="939" t="str">
        <f>EUconst_TJpa</f>
        <v>TJ / year</v>
      </c>
      <c r="I847" s="436" t="str">
        <f>IF($I829="","",IF(INDEX(F_ProductBM!I:I,MATCH($P847,F_ProductBM!$P:$P,0))="","",INDEX(F_ProductBM!I:I,MATCH($P847,F_ProductBM!$P:$P,0))))</f>
        <v/>
      </c>
      <c r="J847" s="436" t="str">
        <f>IF($I829="","",IF(INDEX(F_ProductBM!J:J,MATCH($P847,F_ProductBM!$P:$P,0))="","",INDEX(F_ProductBM!J:J,MATCH($P847,F_ProductBM!$P:$P,0))))</f>
        <v/>
      </c>
      <c r="K847" s="436" t="str">
        <f>IF($I829="","",IF(INDEX(F_ProductBM!K:K,MATCH($P847,F_ProductBM!$P:$P,0))="","",INDEX(F_ProductBM!K:K,MATCH($P847,F_ProductBM!$P:$P,0))))</f>
        <v/>
      </c>
      <c r="L847" s="436" t="str">
        <f>IF($I829="","",IF(INDEX(F_ProductBM!L:L,MATCH($P847,F_ProductBM!$P:$P,0))="","",INDEX(F_ProductBM!L:L,MATCH($P847,F_ProductBM!$P:$P,0))))</f>
        <v/>
      </c>
      <c r="M847" s="436" t="str">
        <f>IF($I829="","",IF(INDEX(F_ProductBM!M:M,MATCH($P847,F_ProductBM!$P:$P,0))="","",INDEX(F_ProductBM!M:M,MATCH($P847,F_ProductBM!$P:$P,0))))</f>
        <v/>
      </c>
      <c r="N847" s="342"/>
      <c r="O847" s="17"/>
      <c r="P847" s="341" t="str">
        <f>EUconst_CNTR_FuelInput &amp; I829</f>
        <v>FuelInput_</v>
      </c>
      <c r="T847" s="9"/>
    </row>
    <row r="848" spans="2:20" x14ac:dyDescent="0.25">
      <c r="B848" s="17"/>
      <c r="C848" s="17"/>
      <c r="D848" s="17"/>
      <c r="E848" s="1527" t="str">
        <f>Translations!$B$732</f>
        <v>Weighted emission factor</v>
      </c>
      <c r="F848" s="1527"/>
      <c r="G848" s="1527"/>
      <c r="H848" s="343" t="str">
        <f>EUconst_tCO2pTJ</f>
        <v>t CO2 / TJ</v>
      </c>
      <c r="I848" s="437" t="str">
        <f>IF($I829="","",IF(INDEX(F_ProductBM!I:I,MATCH($P848,F_ProductBM!$P:$P,0))="","",INDEX(F_ProductBM!I:I,MATCH($P848,F_ProductBM!$P:$P,0))))</f>
        <v/>
      </c>
      <c r="J848" s="437" t="str">
        <f>IF($I829="","",IF(INDEX(F_ProductBM!J:J,MATCH($P848,F_ProductBM!$P:$P,0))="","",INDEX(F_ProductBM!J:J,MATCH($P848,F_ProductBM!$P:$P,0))))</f>
        <v/>
      </c>
      <c r="K848" s="437" t="str">
        <f>IF($I829="","",IF(INDEX(F_ProductBM!K:K,MATCH($P848,F_ProductBM!$P:$P,0))="","",INDEX(F_ProductBM!K:K,MATCH($P848,F_ProductBM!$P:$P,0))))</f>
        <v/>
      </c>
      <c r="L848" s="437" t="str">
        <f>IF($I829="","",IF(INDEX(F_ProductBM!L:L,MATCH($P848,F_ProductBM!$P:$P,0))="","",INDEX(F_ProductBM!L:L,MATCH($P848,F_ProductBM!$P:$P,0))))</f>
        <v/>
      </c>
      <c r="M848" s="437" t="str">
        <f>IF($I829="","",IF(INDEX(F_ProductBM!M:M,MATCH($P848,F_ProductBM!$P:$P,0))="","",INDEX(F_ProductBM!M:M,MATCH($P848,F_ProductBM!$P:$P,0))))</f>
        <v/>
      </c>
      <c r="N848" s="342"/>
      <c r="O848" s="17"/>
      <c r="P848" s="116" t="str">
        <f>EUconst_CNTR_FuelEF &amp; I829</f>
        <v>FuelEF_</v>
      </c>
      <c r="T848" s="9"/>
    </row>
    <row r="849" spans="2:20" ht="5.0999999999999996" customHeight="1" x14ac:dyDescent="0.25">
      <c r="B849" s="17"/>
      <c r="C849" s="17"/>
      <c r="D849" s="276"/>
      <c r="E849" s="193"/>
      <c r="F849" s="342"/>
      <c r="G849" s="342"/>
      <c r="H849" s="342"/>
      <c r="I849" s="438"/>
      <c r="J849" s="438"/>
      <c r="K849" s="438"/>
      <c r="L849" s="438"/>
      <c r="M849" s="438"/>
      <c r="N849" s="342"/>
      <c r="O849" s="17"/>
      <c r="T849" s="9"/>
    </row>
    <row r="850" spans="2:20" ht="12.75" customHeight="1" x14ac:dyDescent="0.25">
      <c r="B850" s="17"/>
      <c r="C850" s="17"/>
      <c r="D850" s="276"/>
      <c r="E850" s="1528" t="str">
        <f>Translations!$B$687</f>
        <v>Direct emissions</v>
      </c>
      <c r="F850" s="1528"/>
      <c r="G850" s="1528"/>
      <c r="H850" s="154" t="str">
        <f>EUconst_tCO2pa</f>
        <v>t CO2 / year</v>
      </c>
      <c r="I850" s="439" t="str">
        <f>IF($I829="","",IF(INDEX(F_ProductBM!I:I,MATCH($P850,F_ProductBM!$P:$P,0))="","",INDEX(F_ProductBM!I:I,MATCH($P850,F_ProductBM!$P:$P,0))))</f>
        <v/>
      </c>
      <c r="J850" s="439" t="str">
        <f>IF($I829="","",IF(INDEX(F_ProductBM!J:J,MATCH($P850,F_ProductBM!$P:$P,0))="","",INDEX(F_ProductBM!J:J,MATCH($P850,F_ProductBM!$P:$P,0))))</f>
        <v/>
      </c>
      <c r="K850" s="439" t="str">
        <f>IF($I829="","",IF(INDEX(F_ProductBM!K:K,MATCH($P850,F_ProductBM!$P:$P,0))="","",INDEX(F_ProductBM!K:K,MATCH($P850,F_ProductBM!$P:$P,0))))</f>
        <v/>
      </c>
      <c r="L850" s="439" t="str">
        <f>IF($I829="","",IF(INDEX(F_ProductBM!L:L,MATCH($P850,F_ProductBM!$P:$P,0))="","",INDEX(F_ProductBM!L:L,MATCH($P850,F_ProductBM!$P:$P,0))))</f>
        <v/>
      </c>
      <c r="M850" s="439" t="str">
        <f>IF($I829="","",IF(INDEX(F_ProductBM!M:M,MATCH($P850,F_ProductBM!$P:$P,0))="","",INDEX(F_ProductBM!M:M,MATCH($P850,F_ProductBM!$P:$P,0))))</f>
        <v/>
      </c>
      <c r="N850" s="342"/>
      <c r="O850" s="17"/>
      <c r="P850" s="116" t="str">
        <f>EUconst_CNTR_Emissions &amp; I829</f>
        <v>DirEmissions_</v>
      </c>
      <c r="T850" s="9"/>
    </row>
    <row r="851" spans="2:20" x14ac:dyDescent="0.25">
      <c r="B851" s="17"/>
      <c r="C851" s="17"/>
      <c r="D851" s="276"/>
      <c r="E851" s="1528" t="str">
        <f>Translations!$B$742</f>
        <v>Further source streams - 1</v>
      </c>
      <c r="F851" s="1528"/>
      <c r="G851" s="1528"/>
      <c r="H851" s="154" t="str">
        <f>EUconst_tCO2pa</f>
        <v>t CO2 / year</v>
      </c>
      <c r="I851" s="439" t="str">
        <f>IF($I829="","",IF(INDEX(F_ProductBM!I:I,MATCH($P851,F_ProductBM!$P:$P,0))="","",INDEX(F_ProductBM!I:I,MATCH($P851,F_ProductBM!$P:$P,0))))</f>
        <v/>
      </c>
      <c r="J851" s="439" t="str">
        <f>IF($I829="","",IF(INDEX(F_ProductBM!J:J,MATCH($P851,F_ProductBM!$P:$P,0))="","",INDEX(F_ProductBM!J:J,MATCH($P851,F_ProductBM!$P:$P,0))))</f>
        <v/>
      </c>
      <c r="K851" s="439" t="str">
        <f>IF($I829="","",IF(INDEX(F_ProductBM!K:K,MATCH($P851,F_ProductBM!$P:$P,0))="","",INDEX(F_ProductBM!K:K,MATCH($P851,F_ProductBM!$P:$P,0))))</f>
        <v/>
      </c>
      <c r="L851" s="439" t="str">
        <f>IF($I829="","",IF(INDEX(F_ProductBM!L:L,MATCH($P851,F_ProductBM!$P:$P,0))="","",INDEX(F_ProductBM!L:L,MATCH($P851,F_ProductBM!$P:$P,0))))</f>
        <v/>
      </c>
      <c r="M851" s="439" t="str">
        <f>IF($I829="","",IF(INDEX(F_ProductBM!M:M,MATCH($P851,F_ProductBM!$P:$P,0))="","",INDEX(F_ProductBM!M:M,MATCH($P851,F_ProductBM!$P:$P,0))))</f>
        <v/>
      </c>
      <c r="N851" s="342"/>
      <c r="O851" s="17"/>
      <c r="P851" s="116" t="str">
        <f>EUconst_CNTR_EmissionsIntSource1 &amp; I829</f>
        <v>EmInternalSource1_</v>
      </c>
      <c r="T851" s="9"/>
    </row>
    <row r="852" spans="2:20" x14ac:dyDescent="0.25">
      <c r="B852" s="17"/>
      <c r="C852" s="17"/>
      <c r="D852" s="276"/>
      <c r="E852" s="1528" t="str">
        <f>Translations!$B$752</f>
        <v>Further source streams - 2</v>
      </c>
      <c r="F852" s="1528"/>
      <c r="G852" s="1528"/>
      <c r="H852" s="154" t="str">
        <f>EUconst_tCO2pa</f>
        <v>t CO2 / year</v>
      </c>
      <c r="I852" s="439" t="str">
        <f>IF($I829="","",IF(INDEX(F_ProductBM!I:I,MATCH($P852,F_ProductBM!$P:$P,0))="","",INDEX(F_ProductBM!I:I,MATCH($P852,F_ProductBM!$P:$P,0))))</f>
        <v/>
      </c>
      <c r="J852" s="439" t="str">
        <f>IF($I829="","",IF(INDEX(F_ProductBM!J:J,MATCH($P852,F_ProductBM!$P:$P,0))="","",INDEX(F_ProductBM!J:J,MATCH($P852,F_ProductBM!$P:$P,0))))</f>
        <v/>
      </c>
      <c r="K852" s="439" t="str">
        <f>IF($I829="","",IF(INDEX(F_ProductBM!K:K,MATCH($P852,F_ProductBM!$P:$P,0))="","",INDEX(F_ProductBM!K:K,MATCH($P852,F_ProductBM!$P:$P,0))))</f>
        <v/>
      </c>
      <c r="L852" s="439" t="str">
        <f>IF($I829="","",IF(INDEX(F_ProductBM!L:L,MATCH($P852,F_ProductBM!$P:$P,0))="","",INDEX(F_ProductBM!L:L,MATCH($P852,F_ProductBM!$P:$P,0))))</f>
        <v/>
      </c>
      <c r="M852" s="439" t="str">
        <f>IF($I829="","",IF(INDEX(F_ProductBM!M:M,MATCH($P852,F_ProductBM!$P:$P,0))="","",INDEX(F_ProductBM!M:M,MATCH($P852,F_ProductBM!$P:$P,0))))</f>
        <v/>
      </c>
      <c r="N852" s="342"/>
      <c r="O852" s="17"/>
      <c r="P852" s="116" t="str">
        <f>EUconst_CNTR_EmissionsIntSource2 &amp; I829</f>
        <v>EmInternalSource2_</v>
      </c>
      <c r="T852" s="9"/>
    </row>
    <row r="853" spans="2:20" x14ac:dyDescent="0.25">
      <c r="B853" s="17"/>
      <c r="C853" s="17"/>
      <c r="D853" s="17"/>
      <c r="E853" s="1528" t="str">
        <f>Translations!$B$756</f>
        <v>GHG imported or exported</v>
      </c>
      <c r="F853" s="1528"/>
      <c r="G853" s="1528"/>
      <c r="H853" s="154" t="str">
        <f>EUconst_tCO2epa</f>
        <v>t CO2e/year</v>
      </c>
      <c r="I853" s="439" t="str">
        <f>IF($I829="","",IF(INDEX(F_ProductBM!I:I,MATCH($P853,F_ProductBM!$P:$P,0))="","",INDEX(F_ProductBM!I:I,MATCH($P853,F_ProductBM!$P:$P,0))))</f>
        <v/>
      </c>
      <c r="J853" s="439" t="str">
        <f>IF($I829="","",IF(INDEX(F_ProductBM!J:J,MATCH($P853,F_ProductBM!$P:$P,0))="","",INDEX(F_ProductBM!J:J,MATCH($P853,F_ProductBM!$P:$P,0))))</f>
        <v/>
      </c>
      <c r="K853" s="439" t="str">
        <f>IF($I829="","",IF(INDEX(F_ProductBM!K:K,MATCH($P853,F_ProductBM!$P:$P,0))="","",INDEX(F_ProductBM!K:K,MATCH($P853,F_ProductBM!$P:$P,0))))</f>
        <v/>
      </c>
      <c r="L853" s="439" t="str">
        <f>IF($I829="","",IF(INDEX(F_ProductBM!L:L,MATCH($P853,F_ProductBM!$P:$P,0))="","",INDEX(F_ProductBM!L:L,MATCH($P853,F_ProductBM!$P:$P,0))))</f>
        <v/>
      </c>
      <c r="M853" s="439" t="str">
        <f>IF($I829="","",IF(INDEX(F_ProductBM!M:M,MATCH($P853,F_ProductBM!$P:$P,0))="","",INDEX(F_ProductBM!M:M,MATCH($P853,F_ProductBM!$P:$P,0))))</f>
        <v/>
      </c>
      <c r="N853" s="342"/>
      <c r="O853" s="17"/>
      <c r="P853" s="116" t="str">
        <f>EUconst_CNTR_CO2Feedstock &amp; I829</f>
        <v>EmCO2Feedstock_</v>
      </c>
      <c r="T853" s="9"/>
    </row>
    <row r="854" spans="2:20" ht="5.0999999999999996" customHeight="1" x14ac:dyDescent="0.25">
      <c r="B854" s="17"/>
      <c r="C854" s="17"/>
      <c r="D854" s="17"/>
      <c r="E854" s="342"/>
      <c r="F854" s="342"/>
      <c r="G854" s="342"/>
      <c r="H854" s="342"/>
      <c r="I854" s="438"/>
      <c r="J854" s="438"/>
      <c r="K854" s="438"/>
      <c r="L854" s="438"/>
      <c r="M854" s="438"/>
      <c r="N854" s="342"/>
      <c r="O854" s="17"/>
      <c r="T854" s="9"/>
    </row>
    <row r="855" spans="2:20" x14ac:dyDescent="0.25">
      <c r="B855" s="17"/>
      <c r="C855" s="17"/>
      <c r="D855" s="17"/>
      <c r="E855" s="1526" t="str">
        <f>Translations!$B$764</f>
        <v>Net heat imported</v>
      </c>
      <c r="F855" s="1526"/>
      <c r="G855" s="1526"/>
      <c r="H855" s="939" t="str">
        <f>EUconst_TJpa</f>
        <v>TJ / year</v>
      </c>
      <c r="I855" s="436" t="str">
        <f>IF($I829="","",IF(INDEX(F_ProductBM!I:I,MATCH($P855,F_ProductBM!$P:$P,0))="","",INDEX(F_ProductBM!I:I,MATCH($P855,F_ProductBM!$P:$P,0))))</f>
        <v/>
      </c>
      <c r="J855" s="436" t="str">
        <f>IF($I829="","",IF(INDEX(F_ProductBM!J:J,MATCH($P855,F_ProductBM!$P:$P,0))="","",INDEX(F_ProductBM!J:J,MATCH($P855,F_ProductBM!$P:$P,0))))</f>
        <v/>
      </c>
      <c r="K855" s="436" t="str">
        <f>IF($I829="","",IF(INDEX(F_ProductBM!K:K,MATCH($P855,F_ProductBM!$P:$P,0))="","",INDEX(F_ProductBM!K:K,MATCH($P855,F_ProductBM!$P:$P,0))))</f>
        <v/>
      </c>
      <c r="L855" s="436" t="str">
        <f>IF($I829="","",IF(INDEX(F_ProductBM!L:L,MATCH($P855,F_ProductBM!$P:$P,0))="","",INDEX(F_ProductBM!L:L,MATCH($P855,F_ProductBM!$P:$P,0))))</f>
        <v/>
      </c>
      <c r="M855" s="436" t="str">
        <f>IF($I829="","",IF(INDEX(F_ProductBM!M:M,MATCH($P855,F_ProductBM!$P:$P,0))="","",INDEX(F_ProductBM!M:M,MATCH($P855,F_ProductBM!$P:$P,0))))</f>
        <v/>
      </c>
      <c r="N855" s="342"/>
      <c r="O855" s="17"/>
      <c r="P855" s="116" t="str">
        <f>EUconst_CNTR_HeatImport &amp; I829</f>
        <v>HeatIm_</v>
      </c>
      <c r="T855" s="9"/>
    </row>
    <row r="856" spans="2:20" x14ac:dyDescent="0.25">
      <c r="B856" s="17"/>
      <c r="C856" s="17"/>
      <c r="D856" s="17"/>
      <c r="E856" s="1527" t="str">
        <f>Translations!$B$765</f>
        <v>Specific EF (imported heat)</v>
      </c>
      <c r="F856" s="1527"/>
      <c r="G856" s="1527"/>
      <c r="H856" s="343" t="str">
        <f>EUconst_tCO2pTJ</f>
        <v>t CO2 / TJ</v>
      </c>
      <c r="I856" s="437" t="str">
        <f>IF($I829="","",IF(INDEX(F_ProductBM!I:I,MATCH($P856,F_ProductBM!$P:$P,0))="","",INDEX(F_ProductBM!I:I,MATCH($P856,F_ProductBM!$P:$P,0))))</f>
        <v/>
      </c>
      <c r="J856" s="437" t="str">
        <f>IF($I829="","",IF(INDEX(F_ProductBM!J:J,MATCH($P856,F_ProductBM!$P:$P,0))="","",INDEX(F_ProductBM!J:J,MATCH($P856,F_ProductBM!$P:$P,0))))</f>
        <v/>
      </c>
      <c r="K856" s="437" t="str">
        <f>IF($I829="","",IF(INDEX(F_ProductBM!K:K,MATCH($P856,F_ProductBM!$P:$P,0))="","",INDEX(F_ProductBM!K:K,MATCH($P856,F_ProductBM!$P:$P,0))))</f>
        <v/>
      </c>
      <c r="L856" s="437" t="str">
        <f>IF($I829="","",IF(INDEX(F_ProductBM!L:L,MATCH($P856,F_ProductBM!$P:$P,0))="","",INDEX(F_ProductBM!L:L,MATCH($P856,F_ProductBM!$P:$P,0))))</f>
        <v/>
      </c>
      <c r="M856" s="437" t="str">
        <f>IF($I829="","",IF(INDEX(F_ProductBM!M:M,MATCH($P856,F_ProductBM!$P:$P,0))="","",INDEX(F_ProductBM!M:M,MATCH($P856,F_ProductBM!$P:$P,0))))</f>
        <v/>
      </c>
      <c r="N856" s="342"/>
      <c r="O856" s="17"/>
      <c r="P856" s="116" t="str">
        <f>EUconst_CNTR_HeatImportEF &amp; I829</f>
        <v>HeatImEF_</v>
      </c>
      <c r="T856" s="9"/>
    </row>
    <row r="857" spans="2:20" ht="5.0999999999999996" customHeight="1" x14ac:dyDescent="0.25">
      <c r="B857" s="17"/>
      <c r="C857" s="17"/>
      <c r="D857" s="17"/>
      <c r="E857" s="193"/>
      <c r="F857" s="342"/>
      <c r="G857" s="342"/>
      <c r="H857" s="342"/>
      <c r="I857" s="438"/>
      <c r="J857" s="438"/>
      <c r="K857" s="438"/>
      <c r="L857" s="438"/>
      <c r="M857" s="438"/>
      <c r="N857" s="342"/>
      <c r="O857" s="17"/>
      <c r="P857" s="9"/>
      <c r="T857" s="9"/>
    </row>
    <row r="858" spans="2:20" x14ac:dyDescent="0.25">
      <c r="B858" s="17"/>
      <c r="C858" s="17"/>
      <c r="D858" s="17"/>
      <c r="E858" s="1528" t="str">
        <f>Translations!$B$820</f>
        <v>Net heat imported from pulp</v>
      </c>
      <c r="F858" s="1528"/>
      <c r="G858" s="1528"/>
      <c r="H858" s="154" t="str">
        <f>EUconst_TJpa</f>
        <v>TJ / year</v>
      </c>
      <c r="I858" s="439" t="str">
        <f>IF($I829="","",IF(INDEX(F_ProductBM!I:I,MATCH($P858,F_ProductBM!$P:$P,0))="","",INDEX(F_ProductBM!I:I,MATCH($P858,F_ProductBM!$P:$P,0))))</f>
        <v/>
      </c>
      <c r="J858" s="439" t="str">
        <f>IF($I829="","",IF(INDEX(F_ProductBM!J:J,MATCH($P858,F_ProductBM!$P:$P,0))="","",INDEX(F_ProductBM!J:J,MATCH($P858,F_ProductBM!$P:$P,0))))</f>
        <v/>
      </c>
      <c r="K858" s="439" t="str">
        <f>IF($I829="","",IF(INDEX(F_ProductBM!K:K,MATCH($P858,F_ProductBM!$P:$P,0))="","",INDEX(F_ProductBM!K:K,MATCH($P858,F_ProductBM!$P:$P,0))))</f>
        <v/>
      </c>
      <c r="L858" s="439" t="str">
        <f>IF($I829="","",IF(INDEX(F_ProductBM!L:L,MATCH($P858,F_ProductBM!$P:$P,0))="","",INDEX(F_ProductBM!L:L,MATCH($P858,F_ProductBM!$P:$P,0))))</f>
        <v/>
      </c>
      <c r="M858" s="439" t="str">
        <f>IF($I829="","",IF(INDEX(F_ProductBM!M:M,MATCH($P858,F_ProductBM!$P:$P,0))="","",INDEX(F_ProductBM!M:M,MATCH($P858,F_ProductBM!$P:$P,0))))</f>
        <v/>
      </c>
      <c r="N858" s="342"/>
      <c r="O858" s="17"/>
      <c r="P858" s="116" t="str">
        <f>EUconst_CNTR_HeatImportPulp &amp; I829</f>
        <v>HeatImPulp_</v>
      </c>
      <c r="T858" s="9"/>
    </row>
    <row r="859" spans="2:20" x14ac:dyDescent="0.25">
      <c r="B859" s="17"/>
      <c r="C859" s="17"/>
      <c r="D859" s="17"/>
      <c r="E859" s="1528" t="str">
        <f>Translations!$B$768</f>
        <v>Net heat imported from nitric acid sub-installation</v>
      </c>
      <c r="F859" s="1528"/>
      <c r="G859" s="1528"/>
      <c r="H859" s="154" t="str">
        <f>EUconst_TJpa</f>
        <v>TJ / year</v>
      </c>
      <c r="I859" s="439" t="str">
        <f>IF($I829="","",IF(INDEX(F_ProductBM!I:I,MATCH($P859,F_ProductBM!$P:$P,0))="","",INDEX(F_ProductBM!I:I,MATCH($P859,F_ProductBM!$P:$P,0))))</f>
        <v/>
      </c>
      <c r="J859" s="439" t="str">
        <f>IF($I829="","",IF(INDEX(F_ProductBM!J:J,MATCH($P859,F_ProductBM!$P:$P,0))="","",INDEX(F_ProductBM!J:J,MATCH($P859,F_ProductBM!$P:$P,0))))</f>
        <v/>
      </c>
      <c r="K859" s="439" t="str">
        <f>IF($I829="","",IF(INDEX(F_ProductBM!K:K,MATCH($P859,F_ProductBM!$P:$P,0))="","",INDEX(F_ProductBM!K:K,MATCH($P859,F_ProductBM!$P:$P,0))))</f>
        <v/>
      </c>
      <c r="L859" s="439" t="str">
        <f>IF($I829="","",IF(INDEX(F_ProductBM!L:L,MATCH($P859,F_ProductBM!$P:$P,0))="","",INDEX(F_ProductBM!L:L,MATCH($P859,F_ProductBM!$P:$P,0))))</f>
        <v/>
      </c>
      <c r="M859" s="439" t="str">
        <f>IF($I829="","",IF(INDEX(F_ProductBM!M:M,MATCH($P859,F_ProductBM!$P:$P,0))="","",INDEX(F_ProductBM!M:M,MATCH($P859,F_ProductBM!$P:$P,0))))</f>
        <v/>
      </c>
      <c r="N859" s="342"/>
      <c r="O859" s="17"/>
      <c r="P859" s="116" t="str">
        <f>EUconst_CNTR_HeatImportNitric &amp; I829</f>
        <v>HeatImNitric_</v>
      </c>
      <c r="T859" s="9"/>
    </row>
    <row r="860" spans="2:20" ht="5.0999999999999996" customHeight="1" x14ac:dyDescent="0.25">
      <c r="B860" s="17"/>
      <c r="C860" s="17"/>
      <c r="D860" s="17"/>
      <c r="E860" s="193"/>
      <c r="F860" s="193"/>
      <c r="G860" s="193"/>
      <c r="H860" s="193"/>
      <c r="I860" s="438"/>
      <c r="J860" s="438"/>
      <c r="K860" s="438"/>
      <c r="L860" s="438"/>
      <c r="M860" s="438"/>
      <c r="N860" s="342"/>
      <c r="O860" s="17"/>
      <c r="P860" s="9"/>
      <c r="T860" s="9"/>
    </row>
    <row r="861" spans="2:20" x14ac:dyDescent="0.25">
      <c r="B861" s="17"/>
      <c r="C861" s="17"/>
      <c r="D861" s="17"/>
      <c r="E861" s="1526" t="str">
        <f>Translations!$B$770</f>
        <v>Net heat exported</v>
      </c>
      <c r="F861" s="1526"/>
      <c r="G861" s="1526"/>
      <c r="H861" s="939" t="str">
        <f>EUconst_TJpa</f>
        <v>TJ / year</v>
      </c>
      <c r="I861" s="436" t="str">
        <f>IF($I829="","",IF(INDEX(F_ProductBM!I:I,MATCH($P861,F_ProductBM!$P:$P,0))="","",INDEX(F_ProductBM!I:I,MATCH($P861,F_ProductBM!$P:$P,0))))</f>
        <v/>
      </c>
      <c r="J861" s="436" t="str">
        <f>IF($I829="","",IF(INDEX(F_ProductBM!J:J,MATCH($P861,F_ProductBM!$P:$P,0))="","",INDEX(F_ProductBM!J:J,MATCH($P861,F_ProductBM!$P:$P,0))))</f>
        <v/>
      </c>
      <c r="K861" s="436" t="str">
        <f>IF($I829="","",IF(INDEX(F_ProductBM!K:K,MATCH($P861,F_ProductBM!$P:$P,0))="","",INDEX(F_ProductBM!K:K,MATCH($P861,F_ProductBM!$P:$P,0))))</f>
        <v/>
      </c>
      <c r="L861" s="436" t="str">
        <f>IF($I829="","",IF(INDEX(F_ProductBM!L:L,MATCH($P861,F_ProductBM!$P:$P,0))="","",INDEX(F_ProductBM!L:L,MATCH($P861,F_ProductBM!$P:$P,0))))</f>
        <v/>
      </c>
      <c r="M861" s="436" t="str">
        <f>IF($I829="","",IF(INDEX(F_ProductBM!M:M,MATCH($P861,F_ProductBM!$P:$P,0))="","",INDEX(F_ProductBM!M:M,MATCH($P861,F_ProductBM!$P:$P,0))))</f>
        <v/>
      </c>
      <c r="N861" s="342"/>
      <c r="O861" s="17"/>
      <c r="P861" s="116" t="str">
        <f>EUconst_CNTR_HeatExport &amp; I829</f>
        <v>HeatEx_</v>
      </c>
      <c r="T861" s="9"/>
    </row>
    <row r="862" spans="2:20" x14ac:dyDescent="0.25">
      <c r="B862" s="17"/>
      <c r="C862" s="17"/>
      <c r="D862" s="17"/>
      <c r="E862" s="1527" t="str">
        <f>Translations!$B$771</f>
        <v>Specific EF (exported heat)</v>
      </c>
      <c r="F862" s="1527"/>
      <c r="G862" s="1527"/>
      <c r="H862" s="343" t="str">
        <f>EUconst_tCO2pTJ</f>
        <v>t CO2 / TJ</v>
      </c>
      <c r="I862" s="437" t="str">
        <f>IF($I829="","",IF(INDEX(F_ProductBM!I:I,MATCH($P862,F_ProductBM!$P:$P,0))="","",INDEX(F_ProductBM!I:I,MATCH($P862,F_ProductBM!$P:$P,0))))</f>
        <v/>
      </c>
      <c r="J862" s="437" t="str">
        <f>IF($I829="","",IF(INDEX(F_ProductBM!J:J,MATCH($P862,F_ProductBM!$P:$P,0))="","",INDEX(F_ProductBM!J:J,MATCH($P862,F_ProductBM!$P:$P,0))))</f>
        <v/>
      </c>
      <c r="K862" s="437" t="str">
        <f>IF($I829="","",IF(INDEX(F_ProductBM!K:K,MATCH($P862,F_ProductBM!$P:$P,0))="","",INDEX(F_ProductBM!K:K,MATCH($P862,F_ProductBM!$P:$P,0))))</f>
        <v/>
      </c>
      <c r="L862" s="437" t="str">
        <f>IF($I829="","",IF(INDEX(F_ProductBM!L:L,MATCH($P862,F_ProductBM!$P:$P,0))="","",INDEX(F_ProductBM!L:L,MATCH($P862,F_ProductBM!$P:$P,0))))</f>
        <v/>
      </c>
      <c r="M862" s="437" t="str">
        <f>IF($I829="","",IF(INDEX(F_ProductBM!M:M,MATCH($P862,F_ProductBM!$P:$P,0))="","",INDEX(F_ProductBM!M:M,MATCH($P862,F_ProductBM!$P:$P,0))))</f>
        <v/>
      </c>
      <c r="N862" s="342"/>
      <c r="O862" s="17"/>
      <c r="P862" s="116" t="str">
        <f>EUconst_CNTR_HeatExportEF &amp; I829</f>
        <v>HeatExEF_</v>
      </c>
      <c r="T862" s="9"/>
    </row>
    <row r="863" spans="2:20" ht="5.0999999999999996" customHeight="1" x14ac:dyDescent="0.25">
      <c r="B863" s="17"/>
      <c r="C863" s="17"/>
      <c r="D863" s="17"/>
      <c r="E863" s="193"/>
      <c r="F863" s="193"/>
      <c r="G863" s="193"/>
      <c r="H863" s="193"/>
      <c r="I863" s="438"/>
      <c r="J863" s="438"/>
      <c r="K863" s="438"/>
      <c r="L863" s="438"/>
      <c r="M863" s="438"/>
      <c r="N863" s="342"/>
      <c r="O863" s="17"/>
      <c r="P863" s="9"/>
      <c r="T863" s="9"/>
    </row>
    <row r="864" spans="2:20" x14ac:dyDescent="0.25">
      <c r="B864" s="17"/>
      <c r="C864" s="17"/>
      <c r="D864" s="17"/>
      <c r="E864" s="1526" t="str">
        <f>Translations!$B$778</f>
        <v>Waste gas produced</v>
      </c>
      <c r="F864" s="1526"/>
      <c r="G864" s="1526"/>
      <c r="H864" s="939" t="str">
        <f>EUconst_TJpa</f>
        <v>TJ / year</v>
      </c>
      <c r="I864" s="436" t="str">
        <f>IF($I829="","",IF(INDEX(F_ProductBM!I:I,MATCH($P864,F_ProductBM!$P:$P,0))="","",INDEX(F_ProductBM!I:I,MATCH($P864,F_ProductBM!$P:$P,0))))</f>
        <v/>
      </c>
      <c r="J864" s="436" t="str">
        <f>IF($I829="","",IF(INDEX(F_ProductBM!J:J,MATCH($P864,F_ProductBM!$P:$P,0))="","",INDEX(F_ProductBM!J:J,MATCH($P864,F_ProductBM!$P:$P,0))))</f>
        <v/>
      </c>
      <c r="K864" s="436" t="str">
        <f>IF($I829="","",IF(INDEX(F_ProductBM!K:K,MATCH($P864,F_ProductBM!$P:$P,0))="","",INDEX(F_ProductBM!K:K,MATCH($P864,F_ProductBM!$P:$P,0))))</f>
        <v/>
      </c>
      <c r="L864" s="436" t="str">
        <f>IF($I829="","",IF(INDEX(F_ProductBM!L:L,MATCH($P864,F_ProductBM!$P:$P,0))="","",INDEX(F_ProductBM!L:L,MATCH($P864,F_ProductBM!$P:$P,0))))</f>
        <v/>
      </c>
      <c r="M864" s="436" t="str">
        <f>IF($I829="","",IF(INDEX(F_ProductBM!M:M,MATCH($P864,F_ProductBM!$P:$P,0))="","",INDEX(F_ProductBM!M:M,MATCH($P864,F_ProductBM!$P:$P,0))))</f>
        <v/>
      </c>
      <c r="N864" s="342"/>
      <c r="O864" s="17"/>
      <c r="P864" s="341" t="str">
        <f>EUconst_CNTR_WGProduced &amp; I829</f>
        <v>WasteGasProd_</v>
      </c>
      <c r="T864" s="9"/>
    </row>
    <row r="865" spans="2:20" x14ac:dyDescent="0.25">
      <c r="B865" s="17"/>
      <c r="C865" s="17"/>
      <c r="D865" s="17"/>
      <c r="E865" s="1527" t="str">
        <f>Translations!$B$779</f>
        <v>Specific EF (produced waste gas)</v>
      </c>
      <c r="F865" s="1527"/>
      <c r="G865" s="1527"/>
      <c r="H865" s="343" t="str">
        <f>EUconst_tCO2pTJ</f>
        <v>t CO2 / TJ</v>
      </c>
      <c r="I865" s="437" t="str">
        <f>IF($I829="","",IF(INDEX(F_ProductBM!I:I,MATCH($P865,F_ProductBM!$P:$P,0))="","",INDEX(F_ProductBM!I:I,MATCH($P865,F_ProductBM!$P:$P,0))))</f>
        <v/>
      </c>
      <c r="J865" s="437" t="str">
        <f>IF($I829="","",IF(INDEX(F_ProductBM!J:J,MATCH($P865,F_ProductBM!$P:$P,0))="","",INDEX(F_ProductBM!J:J,MATCH($P865,F_ProductBM!$P:$P,0))))</f>
        <v/>
      </c>
      <c r="K865" s="437" t="str">
        <f>IF($I829="","",IF(INDEX(F_ProductBM!K:K,MATCH($P865,F_ProductBM!$P:$P,0))="","",INDEX(F_ProductBM!K:K,MATCH($P865,F_ProductBM!$P:$P,0))))</f>
        <v/>
      </c>
      <c r="L865" s="437" t="str">
        <f>IF($I829="","",IF(INDEX(F_ProductBM!L:L,MATCH($P865,F_ProductBM!$P:$P,0))="","",INDEX(F_ProductBM!L:L,MATCH($P865,F_ProductBM!$P:$P,0))))</f>
        <v/>
      </c>
      <c r="M865" s="437" t="str">
        <f>IF($I829="","",IF(INDEX(F_ProductBM!M:M,MATCH($P865,F_ProductBM!$P:$P,0))="","",INDEX(F_ProductBM!M:M,MATCH($P865,F_ProductBM!$P:$P,0))))</f>
        <v/>
      </c>
      <c r="N865" s="342"/>
      <c r="O865" s="17"/>
      <c r="P865" s="116" t="str">
        <f>EUconst_CNTR_WGProducedEF &amp; I829</f>
        <v>WasteGasProdEF_</v>
      </c>
      <c r="T865" s="9"/>
    </row>
    <row r="866" spans="2:20" x14ac:dyDescent="0.25">
      <c r="B866" s="17"/>
      <c r="C866" s="17"/>
      <c r="D866" s="17"/>
      <c r="E866" s="1526" t="str">
        <f>Translations!$B$783</f>
        <v>Waste gas consumed</v>
      </c>
      <c r="F866" s="1526"/>
      <c r="G866" s="1526"/>
      <c r="H866" s="939" t="str">
        <f>EUconst_TJpa</f>
        <v>TJ / year</v>
      </c>
      <c r="I866" s="436" t="str">
        <f>IF($I829="","",IF(INDEX(F_ProductBM!I:I,MATCH($P866,F_ProductBM!$P:$P,0))="","",INDEX(F_ProductBM!I:I,MATCH($P866,F_ProductBM!$P:$P,0))))</f>
        <v/>
      </c>
      <c r="J866" s="436" t="str">
        <f>IF($I829="","",IF(INDEX(F_ProductBM!J:J,MATCH($P866,F_ProductBM!$P:$P,0))="","",INDEX(F_ProductBM!J:J,MATCH($P866,F_ProductBM!$P:$P,0))))</f>
        <v/>
      </c>
      <c r="K866" s="436" t="str">
        <f>IF($I829="","",IF(INDEX(F_ProductBM!K:K,MATCH($P866,F_ProductBM!$P:$P,0))="","",INDEX(F_ProductBM!K:K,MATCH($P866,F_ProductBM!$P:$P,0))))</f>
        <v/>
      </c>
      <c r="L866" s="436" t="str">
        <f>IF($I829="","",IF(INDEX(F_ProductBM!L:L,MATCH($P866,F_ProductBM!$P:$P,0))="","",INDEX(F_ProductBM!L:L,MATCH($P866,F_ProductBM!$P:$P,0))))</f>
        <v/>
      </c>
      <c r="M866" s="436" t="str">
        <f>IF($I829="","",IF(INDEX(F_ProductBM!M:M,MATCH($P866,F_ProductBM!$P:$P,0))="","",INDEX(F_ProductBM!M:M,MATCH($P866,F_ProductBM!$P:$P,0))))</f>
        <v/>
      </c>
      <c r="N866" s="342"/>
      <c r="O866" s="17"/>
      <c r="P866" s="116" t="str">
        <f>EUconst_CNTR_WGConsumed &amp; I829</f>
        <v>WasteGasCons_</v>
      </c>
      <c r="T866" s="9"/>
    </row>
    <row r="867" spans="2:20" x14ac:dyDescent="0.25">
      <c r="B867" s="17"/>
      <c r="C867" s="17"/>
      <c r="D867" s="17"/>
      <c r="E867" s="1527" t="str">
        <f>Translations!$B$784</f>
        <v>Specific EF (consumed waste gas)</v>
      </c>
      <c r="F867" s="1527"/>
      <c r="G867" s="1527"/>
      <c r="H867" s="343" t="str">
        <f>EUconst_tCO2pTJ</f>
        <v>t CO2 / TJ</v>
      </c>
      <c r="I867" s="437" t="str">
        <f>IF($I829="","",IF(INDEX(F_ProductBM!I:I,MATCH($P867,F_ProductBM!$P:$P,0))="","",INDEX(F_ProductBM!I:I,MATCH($P867,F_ProductBM!$P:$P,0))))</f>
        <v/>
      </c>
      <c r="J867" s="437" t="str">
        <f>IF($I829="","",IF(INDEX(F_ProductBM!J:J,MATCH($P867,F_ProductBM!$P:$P,0))="","",INDEX(F_ProductBM!J:J,MATCH($P867,F_ProductBM!$P:$P,0))))</f>
        <v/>
      </c>
      <c r="K867" s="437" t="str">
        <f>IF($I829="","",IF(INDEX(F_ProductBM!K:K,MATCH($P867,F_ProductBM!$P:$P,0))="","",INDEX(F_ProductBM!K:K,MATCH($P867,F_ProductBM!$P:$P,0))))</f>
        <v/>
      </c>
      <c r="L867" s="437" t="str">
        <f>IF($I829="","",IF(INDEX(F_ProductBM!L:L,MATCH($P867,F_ProductBM!$P:$P,0))="","",INDEX(F_ProductBM!L:L,MATCH($P867,F_ProductBM!$P:$P,0))))</f>
        <v/>
      </c>
      <c r="M867" s="437" t="str">
        <f>IF($I829="","",IF(INDEX(F_ProductBM!M:M,MATCH($P867,F_ProductBM!$P:$P,0))="","",INDEX(F_ProductBM!M:M,MATCH($P867,F_ProductBM!$P:$P,0))))</f>
        <v/>
      </c>
      <c r="N867" s="342"/>
      <c r="O867" s="17"/>
      <c r="P867" s="116" t="str">
        <f>EUconst_CNTR_WGConsumedEF &amp; I829</f>
        <v>WasteGasConsEF_</v>
      </c>
      <c r="T867" s="9"/>
    </row>
    <row r="868" spans="2:20" x14ac:dyDescent="0.25">
      <c r="B868" s="17"/>
      <c r="C868" s="17"/>
      <c r="D868" s="17"/>
      <c r="E868" s="1526" t="str">
        <f>Translations!$B$790</f>
        <v>Waste gas flared</v>
      </c>
      <c r="F868" s="1526"/>
      <c r="G868" s="1526"/>
      <c r="H868" s="939" t="str">
        <f>EUconst_TJpa</f>
        <v>TJ / year</v>
      </c>
      <c r="I868" s="436" t="str">
        <f>IF($I829="","",IF(INDEX(F_ProductBM!I:I,MATCH($P868,F_ProductBM!$P:$P,0))="","",INDEX(F_ProductBM!I:I,MATCH($P868,F_ProductBM!$P:$P,0))))</f>
        <v/>
      </c>
      <c r="J868" s="436" t="str">
        <f>IF($I829="","",IF(INDEX(F_ProductBM!J:J,MATCH($P868,F_ProductBM!$P:$P,0))="","",INDEX(F_ProductBM!J:J,MATCH($P868,F_ProductBM!$P:$P,0))))</f>
        <v/>
      </c>
      <c r="K868" s="436" t="str">
        <f>IF($I829="","",IF(INDEX(F_ProductBM!K:K,MATCH($P868,F_ProductBM!$P:$P,0))="","",INDEX(F_ProductBM!K:K,MATCH($P868,F_ProductBM!$P:$P,0))))</f>
        <v/>
      </c>
      <c r="L868" s="436" t="str">
        <f>IF($I829="","",IF(INDEX(F_ProductBM!L:L,MATCH($P868,F_ProductBM!$P:$P,0))="","",INDEX(F_ProductBM!L:L,MATCH($P868,F_ProductBM!$P:$P,0))))</f>
        <v/>
      </c>
      <c r="M868" s="436" t="str">
        <f>IF($I829="","",IF(INDEX(F_ProductBM!M:M,MATCH($P868,F_ProductBM!$P:$P,0))="","",INDEX(F_ProductBM!M:M,MATCH($P868,F_ProductBM!$P:$P,0))))</f>
        <v/>
      </c>
      <c r="N868" s="342"/>
      <c r="O868" s="17"/>
      <c r="P868" s="116" t="str">
        <f>EUconst_CNTR_WGFlared &amp; I829</f>
        <v>WasteGasFlare_</v>
      </c>
      <c r="T868" s="9"/>
    </row>
    <row r="869" spans="2:20" x14ac:dyDescent="0.25">
      <c r="B869" s="17"/>
      <c r="C869" s="17"/>
      <c r="D869" s="17"/>
      <c r="E869" s="1527" t="str">
        <f>Translations!$B$791</f>
        <v>Specific EF (flared waste gas)</v>
      </c>
      <c r="F869" s="1527"/>
      <c r="G869" s="1527"/>
      <c r="H869" s="343" t="str">
        <f>EUconst_tCO2pTJ</f>
        <v>t CO2 / TJ</v>
      </c>
      <c r="I869" s="437" t="str">
        <f>IF($I829="","",IF(INDEX(F_ProductBM!I:I,MATCH($P869,F_ProductBM!$P:$P,0))="","",INDEX(F_ProductBM!I:I,MATCH($P869,F_ProductBM!$P:$P,0))))</f>
        <v/>
      </c>
      <c r="J869" s="437" t="str">
        <f>IF($I829="","",IF(INDEX(F_ProductBM!J:J,MATCH($P869,F_ProductBM!$P:$P,0))="","",INDEX(F_ProductBM!J:J,MATCH($P869,F_ProductBM!$P:$P,0))))</f>
        <v/>
      </c>
      <c r="K869" s="437" t="str">
        <f>IF($I829="","",IF(INDEX(F_ProductBM!K:K,MATCH($P869,F_ProductBM!$P:$P,0))="","",INDEX(F_ProductBM!K:K,MATCH($P869,F_ProductBM!$P:$P,0))))</f>
        <v/>
      </c>
      <c r="L869" s="437" t="str">
        <f>IF($I829="","",IF(INDEX(F_ProductBM!L:L,MATCH($P869,F_ProductBM!$P:$P,0))="","",INDEX(F_ProductBM!L:L,MATCH($P869,F_ProductBM!$P:$P,0))))</f>
        <v/>
      </c>
      <c r="M869" s="437" t="str">
        <f>IF($I829="","",IF(INDEX(F_ProductBM!M:M,MATCH($P869,F_ProductBM!$P:$P,0))="","",INDEX(F_ProductBM!M:M,MATCH($P869,F_ProductBM!$P:$P,0))))</f>
        <v/>
      </c>
      <c r="N869" s="342"/>
      <c r="O869" s="17"/>
      <c r="P869" s="116" t="str">
        <f>EUconst_CNTR_WGFlaredEF &amp; I829</f>
        <v>WasteGasFlareEF_</v>
      </c>
      <c r="T869" s="9"/>
    </row>
    <row r="870" spans="2:20" x14ac:dyDescent="0.25">
      <c r="B870" s="17"/>
      <c r="C870" s="17"/>
      <c r="D870" s="17"/>
      <c r="E870" s="1526" t="str">
        <f>Translations!$B$796</f>
        <v>Waste gas imported</v>
      </c>
      <c r="F870" s="1526"/>
      <c r="G870" s="1526"/>
      <c r="H870" s="939" t="str">
        <f>EUconst_TJpa</f>
        <v>TJ / year</v>
      </c>
      <c r="I870" s="436" t="str">
        <f>IF($I829="","",IF(INDEX(F_ProductBM!I:I,MATCH($P870,F_ProductBM!$P:$P,0))="","",INDEX(F_ProductBM!I:I,MATCH($P870,F_ProductBM!$P:$P,0))))</f>
        <v/>
      </c>
      <c r="J870" s="436" t="str">
        <f>IF($I829="","",IF(INDEX(F_ProductBM!J:J,MATCH($P870,F_ProductBM!$P:$P,0))="","",INDEX(F_ProductBM!J:J,MATCH($P870,F_ProductBM!$P:$P,0))))</f>
        <v/>
      </c>
      <c r="K870" s="436" t="str">
        <f>IF($I829="","",IF(INDEX(F_ProductBM!K:K,MATCH($P870,F_ProductBM!$P:$P,0))="","",INDEX(F_ProductBM!K:K,MATCH($P870,F_ProductBM!$P:$P,0))))</f>
        <v/>
      </c>
      <c r="L870" s="436" t="str">
        <f>IF($I829="","",IF(INDEX(F_ProductBM!L:L,MATCH($P870,F_ProductBM!$P:$P,0))="","",INDEX(F_ProductBM!L:L,MATCH($P870,F_ProductBM!$P:$P,0))))</f>
        <v/>
      </c>
      <c r="M870" s="436" t="str">
        <f>IF($I829="","",IF(INDEX(F_ProductBM!M:M,MATCH($P870,F_ProductBM!$P:$P,0))="","",INDEX(F_ProductBM!M:M,MATCH($P870,F_ProductBM!$P:$P,0))))</f>
        <v/>
      </c>
      <c r="N870" s="342"/>
      <c r="O870" s="17"/>
      <c r="P870" s="116" t="str">
        <f>EUconst_CNTR_WGImport &amp; I829</f>
        <v>WasteGasIm_</v>
      </c>
      <c r="T870" s="9"/>
    </row>
    <row r="871" spans="2:20" x14ac:dyDescent="0.25">
      <c r="B871" s="17"/>
      <c r="C871" s="17"/>
      <c r="D871" s="17"/>
      <c r="E871" s="1527" t="str">
        <f>Translations!$B$797</f>
        <v>Specific EF (imported waste gas)</v>
      </c>
      <c r="F871" s="1527"/>
      <c r="G871" s="1527"/>
      <c r="H871" s="343" t="str">
        <f>EUconst_tCO2pTJ</f>
        <v>t CO2 / TJ</v>
      </c>
      <c r="I871" s="437" t="str">
        <f>IF($I829="","",IF(INDEX(F_ProductBM!I:I,MATCH($P871,F_ProductBM!$P:$P,0))="","",INDEX(F_ProductBM!I:I,MATCH($P871,F_ProductBM!$P:$P,0))))</f>
        <v/>
      </c>
      <c r="J871" s="437" t="str">
        <f>IF($I829="","",IF(INDEX(F_ProductBM!J:J,MATCH($P871,F_ProductBM!$P:$P,0))="","",INDEX(F_ProductBM!J:J,MATCH($P871,F_ProductBM!$P:$P,0))))</f>
        <v/>
      </c>
      <c r="K871" s="437" t="str">
        <f>IF($I829="","",IF(INDEX(F_ProductBM!K:K,MATCH($P871,F_ProductBM!$P:$P,0))="","",INDEX(F_ProductBM!K:K,MATCH($P871,F_ProductBM!$P:$P,0))))</f>
        <v/>
      </c>
      <c r="L871" s="437" t="str">
        <f>IF($I829="","",IF(INDEX(F_ProductBM!L:L,MATCH($P871,F_ProductBM!$P:$P,0))="","",INDEX(F_ProductBM!L:L,MATCH($P871,F_ProductBM!$P:$P,0))))</f>
        <v/>
      </c>
      <c r="M871" s="437" t="str">
        <f>IF($I829="","",IF(INDEX(F_ProductBM!M:M,MATCH($P871,F_ProductBM!$P:$P,0))="","",INDEX(F_ProductBM!M:M,MATCH($P871,F_ProductBM!$P:$P,0))))</f>
        <v/>
      </c>
      <c r="N871" s="342"/>
      <c r="O871" s="17"/>
      <c r="P871" s="116" t="str">
        <f>EUconst_CNTR_WGImportEF &amp; I829</f>
        <v>WasteGasImEF_</v>
      </c>
      <c r="T871" s="9"/>
    </row>
    <row r="872" spans="2:20" x14ac:dyDescent="0.25">
      <c r="B872" s="17"/>
      <c r="C872" s="17"/>
      <c r="D872" s="17"/>
      <c r="E872" s="1526" t="str">
        <f>Translations!$B$801</f>
        <v>Waste gas exported</v>
      </c>
      <c r="F872" s="1526"/>
      <c r="G872" s="1526"/>
      <c r="H872" s="939" t="str">
        <f>EUconst_TJpa</f>
        <v>TJ / year</v>
      </c>
      <c r="I872" s="436" t="str">
        <f>IF($I829="","",IF(INDEX(F_ProductBM!I:I,MATCH($P872,F_ProductBM!$P:$P,0))="","",INDEX(F_ProductBM!I:I,MATCH($P872,F_ProductBM!$P:$P,0))))</f>
        <v/>
      </c>
      <c r="J872" s="436" t="str">
        <f>IF($I829="","",IF(INDEX(F_ProductBM!J:J,MATCH($P872,F_ProductBM!$P:$P,0))="","",INDEX(F_ProductBM!J:J,MATCH($P872,F_ProductBM!$P:$P,0))))</f>
        <v/>
      </c>
      <c r="K872" s="436" t="str">
        <f>IF($I829="","",IF(INDEX(F_ProductBM!K:K,MATCH($P872,F_ProductBM!$P:$P,0))="","",INDEX(F_ProductBM!K:K,MATCH($P872,F_ProductBM!$P:$P,0))))</f>
        <v/>
      </c>
      <c r="L872" s="436" t="str">
        <f>IF($I829="","",IF(INDEX(F_ProductBM!L:L,MATCH($P872,F_ProductBM!$P:$P,0))="","",INDEX(F_ProductBM!L:L,MATCH($P872,F_ProductBM!$P:$P,0))))</f>
        <v/>
      </c>
      <c r="M872" s="436" t="str">
        <f>IF($I829="","",IF(INDEX(F_ProductBM!M:M,MATCH($P872,F_ProductBM!$P:$P,0))="","",INDEX(F_ProductBM!M:M,MATCH($P872,F_ProductBM!$P:$P,0))))</f>
        <v/>
      </c>
      <c r="N872" s="342"/>
      <c r="O872" s="17"/>
      <c r="P872" s="116" t="str">
        <f>EUconst_CNTR_WGExport &amp; I829</f>
        <v>WasteGasEx_</v>
      </c>
      <c r="T872" s="9"/>
    </row>
    <row r="873" spans="2:20" x14ac:dyDescent="0.25">
      <c r="B873" s="17"/>
      <c r="C873" s="17"/>
      <c r="D873" s="17"/>
      <c r="E873" s="1527" t="str">
        <f>Translations!$B$802</f>
        <v>Specific EF (exported waste gas)</v>
      </c>
      <c r="F873" s="1527"/>
      <c r="G873" s="1527"/>
      <c r="H873" s="343" t="str">
        <f>EUconst_tCO2pTJ</f>
        <v>t CO2 / TJ</v>
      </c>
      <c r="I873" s="437" t="str">
        <f>IF($I829="","",IF(INDEX(F_ProductBM!I:I,MATCH($P873,F_ProductBM!$P:$P,0))="","",INDEX(F_ProductBM!I:I,MATCH($P873,F_ProductBM!$P:$P,0))))</f>
        <v/>
      </c>
      <c r="J873" s="437" t="str">
        <f>IF($I829="","",IF(INDEX(F_ProductBM!J:J,MATCH($P873,F_ProductBM!$P:$P,0))="","",INDEX(F_ProductBM!J:J,MATCH($P873,F_ProductBM!$P:$P,0))))</f>
        <v/>
      </c>
      <c r="K873" s="437" t="str">
        <f>IF($I829="","",IF(INDEX(F_ProductBM!K:K,MATCH($P873,F_ProductBM!$P:$P,0))="","",INDEX(F_ProductBM!K:K,MATCH($P873,F_ProductBM!$P:$P,0))))</f>
        <v/>
      </c>
      <c r="L873" s="437" t="str">
        <f>IF($I829="","",IF(INDEX(F_ProductBM!L:L,MATCH($P873,F_ProductBM!$P:$P,0))="","",INDEX(F_ProductBM!L:L,MATCH($P873,F_ProductBM!$P:$P,0))))</f>
        <v/>
      </c>
      <c r="M873" s="437" t="str">
        <f>IF($I829="","",IF(INDEX(F_ProductBM!M:M,MATCH($P873,F_ProductBM!$P:$P,0))="","",INDEX(F_ProductBM!M:M,MATCH($P873,F_ProductBM!$P:$P,0))))</f>
        <v/>
      </c>
      <c r="N873" s="342"/>
      <c r="O873" s="17"/>
      <c r="P873" s="116" t="str">
        <f>EUconst_CNTR_WGExportEF &amp; I829</f>
        <v>WasteGasExEF_</v>
      </c>
      <c r="T873" s="9"/>
    </row>
    <row r="874" spans="2:20" ht="5.0999999999999996" customHeight="1" x14ac:dyDescent="0.25">
      <c r="B874" s="17"/>
      <c r="C874" s="17"/>
      <c r="D874" s="17"/>
      <c r="E874" s="193"/>
      <c r="F874" s="193"/>
      <c r="G874" s="193"/>
      <c r="H874" s="193"/>
      <c r="I874" s="438"/>
      <c r="J874" s="438"/>
      <c r="K874" s="438"/>
      <c r="L874" s="438"/>
      <c r="M874" s="438"/>
      <c r="N874" s="342"/>
      <c r="O874" s="17"/>
      <c r="P874" s="9"/>
      <c r="T874" s="9"/>
    </row>
    <row r="875" spans="2:20" x14ac:dyDescent="0.25">
      <c r="B875" s="17"/>
      <c r="C875" s="17"/>
      <c r="D875" s="17"/>
      <c r="E875" s="1528" t="str">
        <f>Translations!$B$689</f>
        <v>Relevant electricity consumption</v>
      </c>
      <c r="F875" s="1528"/>
      <c r="G875" s="1528"/>
      <c r="H875" s="154" t="str">
        <f>EUconst_MWhpa</f>
        <v>MWh / year</v>
      </c>
      <c r="I875" s="439" t="str">
        <f>IF($I829="","",IF(INDEX(F_ProductBM!I:I,MATCH($P875,F_ProductBM!$Q:$Q,0))="","",INDEX(F_ProductBM!I:I,MATCH($P875,F_ProductBM!$Q:$Q,0))))</f>
        <v/>
      </c>
      <c r="J875" s="439" t="str">
        <f>IF($I829="","",IF(INDEX(F_ProductBM!J:J,MATCH($P875,F_ProductBM!$Q:$Q,0))="","",INDEX(F_ProductBM!J:J,MATCH($P875,F_ProductBM!$Q:$Q,0))))</f>
        <v/>
      </c>
      <c r="K875" s="439" t="str">
        <f>IF($I829="","",IF(INDEX(F_ProductBM!K:K,MATCH($P875,F_ProductBM!$Q:$Q,0))="","",INDEX(F_ProductBM!K:K,MATCH($P875,F_ProductBM!$Q:$Q,0))))</f>
        <v/>
      </c>
      <c r="L875" s="439" t="str">
        <f>IF($I829="","",IF(INDEX(F_ProductBM!L:L,MATCH($P875,F_ProductBM!$Q:$Q,0))="","",INDEX(F_ProductBM!L:L,MATCH($P875,F_ProductBM!$Q:$Q,0))))</f>
        <v/>
      </c>
      <c r="M875" s="439" t="str">
        <f>IF($I829="","",IF(INDEX(F_ProductBM!M:M,MATCH($P875,F_ProductBM!$Q:$Q,0))="","",INDEX(F_ProductBM!M:M,MATCH($P875,F_ProductBM!$Q:$Q,0))))</f>
        <v/>
      </c>
      <c r="N875" s="342"/>
      <c r="O875" s="17"/>
      <c r="P875" s="63" t="str">
        <f>EUconst_CNTR_HAL&amp;EUconst_CNTR_ELEXCH &amp; I829</f>
        <v>HAL_ELEXCH_</v>
      </c>
      <c r="T875" s="9"/>
    </row>
    <row r="876" spans="2:20" x14ac:dyDescent="0.25">
      <c r="B876" s="17"/>
      <c r="C876" s="17"/>
      <c r="D876" s="17"/>
      <c r="E876" s="1528" t="str">
        <f>Translations!$B$805</f>
        <v>Electricity produced</v>
      </c>
      <c r="F876" s="1528"/>
      <c r="G876" s="1528"/>
      <c r="H876" s="154" t="str">
        <f>EUconst_MWhpa</f>
        <v>MWh / year</v>
      </c>
      <c r="I876" s="439" t="str">
        <f>IF($I829="","",IF(INDEX(F_ProductBM!I:I,MATCH($P876,F_ProductBM!$P:$P,0))="","",INDEX(F_ProductBM!I:I,MATCH($P876,F_ProductBM!$P:$P,0))))</f>
        <v/>
      </c>
      <c r="J876" s="439" t="str">
        <f>IF($I829="","",IF(INDEX(F_ProductBM!J:J,MATCH($P876,F_ProductBM!$P:$P,0))="","",INDEX(F_ProductBM!J:J,MATCH($P876,F_ProductBM!$P:$P,0))))</f>
        <v/>
      </c>
      <c r="K876" s="439" t="str">
        <f>IF($I829="","",IF(INDEX(F_ProductBM!K:K,MATCH($P876,F_ProductBM!$P:$P,0))="","",INDEX(F_ProductBM!K:K,MATCH($P876,F_ProductBM!$P:$P,0))))</f>
        <v/>
      </c>
      <c r="L876" s="439" t="str">
        <f>IF($I829="","",IF(INDEX(F_ProductBM!L:L,MATCH($P876,F_ProductBM!$P:$P,0))="","",INDEX(F_ProductBM!L:L,MATCH($P876,F_ProductBM!$P:$P,0))))</f>
        <v/>
      </c>
      <c r="M876" s="439" t="str">
        <f>IF($I829="","",IF(INDEX(F_ProductBM!M:M,MATCH($P876,F_ProductBM!$P:$P,0))="","",INDEX(F_ProductBM!M:M,MATCH($P876,F_ProductBM!$P:$P,0))))</f>
        <v/>
      </c>
      <c r="N876" s="342"/>
      <c r="O876" s="17"/>
      <c r="P876" s="116" t="str">
        <f>EUconst_CNTR_ElectricityExported &amp; I829</f>
        <v>ElecEx_</v>
      </c>
      <c r="T876" s="9"/>
    </row>
    <row r="877" spans="2:20" ht="5.0999999999999996" customHeight="1" x14ac:dyDescent="0.25">
      <c r="B877" s="17"/>
      <c r="C877" s="17"/>
      <c r="D877" s="17"/>
      <c r="E877" s="193"/>
      <c r="F877" s="193"/>
      <c r="G877" s="193"/>
      <c r="H877" s="193"/>
      <c r="I877" s="438"/>
      <c r="J877" s="438"/>
      <c r="K877" s="438"/>
      <c r="L877" s="438"/>
      <c r="M877" s="438"/>
      <c r="N877" s="342"/>
      <c r="O877" s="17"/>
      <c r="P877" s="9"/>
      <c r="T877" s="9"/>
    </row>
    <row r="878" spans="2:20" x14ac:dyDescent="0.25">
      <c r="B878" s="17"/>
      <c r="C878" s="17"/>
      <c r="D878" s="17"/>
      <c r="E878" s="1528" t="str">
        <f>Translations!$B$806</f>
        <v>Total amount of pulp produced</v>
      </c>
      <c r="F878" s="1528"/>
      <c r="G878" s="1528"/>
      <c r="H878" s="154" t="str">
        <f>EUconst_Tons</f>
        <v>tonnes</v>
      </c>
      <c r="I878" s="439" t="str">
        <f>IF($I829="","",IF(INDEX(F_ProductBM!I:I,MATCH($P878,F_ProductBM!$P:$P,0))="","",INDEX(F_ProductBM!I:I,MATCH($P878,F_ProductBM!$P:$P,0))))</f>
        <v/>
      </c>
      <c r="J878" s="439" t="str">
        <f>IF($I829="","",IF(INDEX(F_ProductBM!J:J,MATCH($P878,F_ProductBM!$P:$P,0))="","",INDEX(F_ProductBM!J:J,MATCH($P878,F_ProductBM!$P:$P,0))))</f>
        <v/>
      </c>
      <c r="K878" s="439" t="str">
        <f>IF($I829="","",IF(INDEX(F_ProductBM!K:K,MATCH($P878,F_ProductBM!$P:$P,0))="","",INDEX(F_ProductBM!K:K,MATCH($P878,F_ProductBM!$P:$P,0))))</f>
        <v/>
      </c>
      <c r="L878" s="439" t="str">
        <f>IF($I829="","",IF(INDEX(F_ProductBM!L:L,MATCH($P878,F_ProductBM!$P:$P,0))="","",INDEX(F_ProductBM!L:L,MATCH($P878,F_ProductBM!$P:$P,0))))</f>
        <v/>
      </c>
      <c r="M878" s="439" t="str">
        <f>IF($I829="","",IF(INDEX(F_ProductBM!M:M,MATCH($P878,F_ProductBM!$P:$P,0))="","",INDEX(F_ProductBM!M:M,MATCH($P878,F_ProductBM!$P:$P,0))))</f>
        <v/>
      </c>
      <c r="N878" s="342"/>
      <c r="O878" s="17"/>
      <c r="P878" s="116" t="str">
        <f>EUconst_CNTR_HALPulpTotal &amp; I829</f>
        <v>HALPulpTotal_</v>
      </c>
      <c r="T878" s="9"/>
    </row>
    <row r="879" spans="2:20" ht="5.0999999999999996" customHeight="1" x14ac:dyDescent="0.25">
      <c r="B879" s="17"/>
      <c r="C879" s="17"/>
      <c r="D879" s="17"/>
      <c r="E879" s="193"/>
      <c r="F879" s="193"/>
      <c r="G879" s="193"/>
      <c r="H879" s="193"/>
      <c r="I879" s="438"/>
      <c r="J879" s="438"/>
      <c r="K879" s="438"/>
      <c r="L879" s="438"/>
      <c r="M879" s="438"/>
      <c r="N879" s="342"/>
      <c r="O879" s="17"/>
      <c r="P879" s="9"/>
      <c r="T879" s="9"/>
    </row>
    <row r="880" spans="2:20" x14ac:dyDescent="0.25">
      <c r="B880" s="17"/>
      <c r="C880" s="17"/>
      <c r="D880" s="17"/>
      <c r="E880" s="605" t="str">
        <f>Translations!$B$1239</f>
        <v>Intermediate import:</v>
      </c>
      <c r="F880" s="193"/>
      <c r="G880" s="193"/>
      <c r="H880" s="193"/>
      <c r="I880" s="438"/>
      <c r="J880" s="438"/>
      <c r="K880" s="438"/>
      <c r="L880" s="438"/>
      <c r="M880" s="438"/>
      <c r="N880" s="342"/>
      <c r="O880" s="17"/>
      <c r="P880" s="9"/>
      <c r="T880" s="9"/>
    </row>
    <row r="881" spans="2:20" x14ac:dyDescent="0.25">
      <c r="B881" s="17"/>
      <c r="C881" s="17"/>
      <c r="D881" s="17"/>
      <c r="E881" s="1510" t="str">
        <f>IF($I829="","",IF(INDEX(F_ProductBM!E:E,MATCH($P881,F_ProductBM!$P:$P,0))="","",INDEX(F_ProductBM!E:E,MATCH($P881,F_ProductBM!$P:$P,0))))</f>
        <v/>
      </c>
      <c r="F881" s="1510"/>
      <c r="G881" s="1510"/>
      <c r="H881" s="154" t="str">
        <f>EUconst_Tons</f>
        <v>tonnes</v>
      </c>
      <c r="I881" s="439" t="str">
        <f>IF($I829="","",IF(INDEX(F_ProductBM!I:I,MATCH($P881,F_ProductBM!$P:$P,0))="","",INDEX(F_ProductBM!I:I,MATCH($P881,F_ProductBM!$P:$P,0))))</f>
        <v/>
      </c>
      <c r="J881" s="439" t="str">
        <f>IF($I829="","",IF(INDEX(F_ProductBM!J:J,MATCH($P881,F_ProductBM!$P:$P,0))="","",INDEX(F_ProductBM!J:J,MATCH($P881,F_ProductBM!$P:$P,0))))</f>
        <v/>
      </c>
      <c r="K881" s="439" t="str">
        <f>IF($I829="","",IF(INDEX(F_ProductBM!K:K,MATCH($P881,F_ProductBM!$P:$P,0))="","",INDEX(F_ProductBM!K:K,MATCH($P881,F_ProductBM!$P:$P,0))))</f>
        <v/>
      </c>
      <c r="L881" s="439" t="str">
        <f>IF($I829="","",IF(INDEX(F_ProductBM!L:L,MATCH($P881,F_ProductBM!$P:$P,0))="","",INDEX(F_ProductBM!L:L,MATCH($P881,F_ProductBM!$P:$P,0))))</f>
        <v/>
      </c>
      <c r="M881" s="439" t="str">
        <f>IF($I829="","",IF(INDEX(F_ProductBM!M:M,MATCH($P881,F_ProductBM!$P:$P,0))="","",INDEX(F_ProductBM!M:M,MATCH($P881,F_ProductBM!$P:$P,0))))</f>
        <v/>
      </c>
      <c r="N881" s="342"/>
      <c r="O881" s="17"/>
      <c r="P881" s="116" t="str">
        <f>EUconst_CNTR_IntermediateImport &amp; R881 &amp; "_" &amp; I829</f>
        <v>IntImp_1_</v>
      </c>
      <c r="R881" s="372">
        <v>1</v>
      </c>
      <c r="T881" s="9"/>
    </row>
    <row r="882" spans="2:20" x14ac:dyDescent="0.25">
      <c r="B882" s="17"/>
      <c r="C882" s="17"/>
      <c r="D882" s="17"/>
      <c r="E882" s="1510" t="str">
        <f>IF($I829="","",IF(INDEX(F_ProductBM!E:E,MATCH($P882,F_ProductBM!$P:$P,0))="","",INDEX(F_ProductBM!E:E,MATCH($P882,F_ProductBM!$P:$P,0))))</f>
        <v/>
      </c>
      <c r="F882" s="1510"/>
      <c r="G882" s="1510"/>
      <c r="H882" s="154" t="str">
        <f>EUconst_Tons</f>
        <v>tonnes</v>
      </c>
      <c r="I882" s="439" t="str">
        <f>IF($I829="","",IF(INDEX(F_ProductBM!I:I,MATCH($P882,F_ProductBM!$P:$P,0))="","",INDEX(F_ProductBM!I:I,MATCH($P882,F_ProductBM!$P:$P,0))))</f>
        <v/>
      </c>
      <c r="J882" s="439" t="str">
        <f>IF($I829="","",IF(INDEX(F_ProductBM!J:J,MATCH($P882,F_ProductBM!$P:$P,0))="","",INDEX(F_ProductBM!J:J,MATCH($P882,F_ProductBM!$P:$P,0))))</f>
        <v/>
      </c>
      <c r="K882" s="439" t="str">
        <f>IF($I829="","",IF(INDEX(F_ProductBM!K:K,MATCH($P882,F_ProductBM!$P:$P,0))="","",INDEX(F_ProductBM!K:K,MATCH($P882,F_ProductBM!$P:$P,0))))</f>
        <v/>
      </c>
      <c r="L882" s="439" t="str">
        <f>IF($I829="","",IF(INDEX(F_ProductBM!L:L,MATCH($P882,F_ProductBM!$P:$P,0))="","",INDEX(F_ProductBM!L:L,MATCH($P882,F_ProductBM!$P:$P,0))))</f>
        <v/>
      </c>
      <c r="M882" s="439" t="str">
        <f>IF($I829="","",IF(INDEX(F_ProductBM!M:M,MATCH($P882,F_ProductBM!$P:$P,0))="","",INDEX(F_ProductBM!M:M,MATCH($P882,F_ProductBM!$P:$P,0))))</f>
        <v/>
      </c>
      <c r="N882" s="342"/>
      <c r="O882" s="17"/>
      <c r="P882" s="116" t="str">
        <f>EUconst_CNTR_IntermediateImport &amp; R882 &amp; "_" &amp; I829</f>
        <v>IntImp_2_</v>
      </c>
      <c r="R882" s="372">
        <v>2</v>
      </c>
      <c r="T882" s="9"/>
    </row>
    <row r="883" spans="2:20" x14ac:dyDescent="0.25">
      <c r="B883" s="17"/>
      <c r="C883" s="17"/>
      <c r="D883" s="17"/>
      <c r="E883" s="605" t="str">
        <f>Translations!$B$1240</f>
        <v>Intermediate export:</v>
      </c>
      <c r="F883" s="193"/>
      <c r="G883" s="193"/>
      <c r="H883" s="193"/>
      <c r="I883" s="438"/>
      <c r="J883" s="438"/>
      <c r="K883" s="438"/>
      <c r="L883" s="438"/>
      <c r="M883" s="438"/>
      <c r="N883" s="342"/>
      <c r="O883" s="17"/>
      <c r="P883" s="9"/>
      <c r="T883" s="9"/>
    </row>
    <row r="884" spans="2:20" x14ac:dyDescent="0.25">
      <c r="B884" s="17"/>
      <c r="C884" s="17"/>
      <c r="D884" s="17"/>
      <c r="E884" s="1510" t="str">
        <f>IF($I829="","",IF(INDEX(F_ProductBM!E:E,MATCH($P884,F_ProductBM!$P:$P,0))="","",INDEX(F_ProductBM!E:E,MATCH($P884,F_ProductBM!$P:$P,0))))</f>
        <v/>
      </c>
      <c r="F884" s="1510"/>
      <c r="G884" s="1510"/>
      <c r="H884" s="154" t="str">
        <f>EUconst_Tons</f>
        <v>tonnes</v>
      </c>
      <c r="I884" s="439" t="str">
        <f>IF($I829="","",IF(INDEX(F_ProductBM!I:I,MATCH($P884,F_ProductBM!$P:$P,0))="","",INDEX(F_ProductBM!I:I,MATCH($P884,F_ProductBM!$P:$P,0))))</f>
        <v/>
      </c>
      <c r="J884" s="439" t="str">
        <f>IF($I829="","",IF(INDEX(F_ProductBM!J:J,MATCH($P884,F_ProductBM!$P:$P,0))="","",INDEX(F_ProductBM!J:J,MATCH($P884,F_ProductBM!$P:$P,0))))</f>
        <v/>
      </c>
      <c r="K884" s="439" t="str">
        <f>IF($I829="","",IF(INDEX(F_ProductBM!K:K,MATCH($P884,F_ProductBM!$P:$P,0))="","",INDEX(F_ProductBM!K:K,MATCH($P884,F_ProductBM!$P:$P,0))))</f>
        <v/>
      </c>
      <c r="L884" s="439" t="str">
        <f>IF($I829="","",IF(INDEX(F_ProductBM!L:L,MATCH($P884,F_ProductBM!$P:$P,0))="","",INDEX(F_ProductBM!L:L,MATCH($P884,F_ProductBM!$P:$P,0))))</f>
        <v/>
      </c>
      <c r="M884" s="439" t="str">
        <f>IF($I829="","",IF(INDEX(F_ProductBM!M:M,MATCH($P884,F_ProductBM!$P:$P,0))="","",INDEX(F_ProductBM!M:M,MATCH($P884,F_ProductBM!$P:$P,0))))</f>
        <v/>
      </c>
      <c r="N884" s="342"/>
      <c r="O884" s="17"/>
      <c r="P884" s="116" t="str">
        <f>EUconst_CNTR_IntermediateExport &amp; R881 &amp; "_" &amp; I829</f>
        <v>IntExp_1_</v>
      </c>
      <c r="R884" s="372">
        <v>1</v>
      </c>
      <c r="T884" s="9"/>
    </row>
    <row r="885" spans="2:20" x14ac:dyDescent="0.25">
      <c r="B885" s="17"/>
      <c r="C885" s="17"/>
      <c r="D885" s="17"/>
      <c r="E885" s="1510" t="str">
        <f>IF($I829="","",IF(INDEX(F_ProductBM!E:E,MATCH($P885,F_ProductBM!$P:$P,0))="","",INDEX(F_ProductBM!E:E,MATCH($P885,F_ProductBM!$P:$P,0))))</f>
        <v/>
      </c>
      <c r="F885" s="1510"/>
      <c r="G885" s="1510"/>
      <c r="H885" s="154" t="str">
        <f>EUconst_Tons</f>
        <v>tonnes</v>
      </c>
      <c r="I885" s="439" t="str">
        <f>IF($I829="","",IF(INDEX(F_ProductBM!I:I,MATCH($P885,F_ProductBM!$P:$P,0))="","",INDEX(F_ProductBM!I:I,MATCH($P885,F_ProductBM!$P:$P,0))))</f>
        <v/>
      </c>
      <c r="J885" s="439" t="str">
        <f>IF($I829="","",IF(INDEX(F_ProductBM!J:J,MATCH($P885,F_ProductBM!$P:$P,0))="","",INDEX(F_ProductBM!J:J,MATCH($P885,F_ProductBM!$P:$P,0))))</f>
        <v/>
      </c>
      <c r="K885" s="439" t="str">
        <f>IF($I829="","",IF(INDEX(F_ProductBM!K:K,MATCH($P885,F_ProductBM!$P:$P,0))="","",INDEX(F_ProductBM!K:K,MATCH($P885,F_ProductBM!$P:$P,0))))</f>
        <v/>
      </c>
      <c r="L885" s="439" t="str">
        <f>IF($I829="","",IF(INDEX(F_ProductBM!L:L,MATCH($P885,F_ProductBM!$P:$P,0))="","",INDEX(F_ProductBM!L:L,MATCH($P885,F_ProductBM!$P:$P,0))))</f>
        <v/>
      </c>
      <c r="M885" s="439" t="str">
        <f>IF($I829="","",IF(INDEX(F_ProductBM!M:M,MATCH($P885,F_ProductBM!$P:$P,0))="","",INDEX(F_ProductBM!M:M,MATCH($P885,F_ProductBM!$P:$P,0))))</f>
        <v/>
      </c>
      <c r="N885" s="342"/>
      <c r="O885" s="17"/>
      <c r="P885" s="116" t="str">
        <f>EUconst_CNTR_IntermediateExport &amp; R885 &amp; "_" &amp; I829</f>
        <v>IntExp_2_</v>
      </c>
      <c r="R885" s="372">
        <v>2</v>
      </c>
      <c r="T885" s="9"/>
    </row>
    <row r="886" spans="2:20" ht="12.75" customHeight="1" x14ac:dyDescent="0.25">
      <c r="B886" s="17"/>
      <c r="C886" s="17"/>
      <c r="D886" s="17"/>
      <c r="E886" s="193"/>
      <c r="F886" s="193"/>
      <c r="G886" s="193"/>
      <c r="H886" s="193"/>
      <c r="I886" s="342"/>
      <c r="J886" s="342"/>
      <c r="K886" s="342"/>
      <c r="L886" s="342"/>
      <c r="M886" s="342"/>
      <c r="N886" s="342"/>
      <c r="O886" s="17"/>
      <c r="P886" s="9"/>
      <c r="T886" s="9"/>
    </row>
    <row r="887" spans="2:20" ht="5.0999999999999996" customHeight="1" thickBot="1" x14ac:dyDescent="0.3">
      <c r="B887" s="17"/>
      <c r="C887" s="17"/>
      <c r="D887" s="17"/>
      <c r="E887" s="445"/>
      <c r="F887" s="276"/>
      <c r="G887" s="276"/>
      <c r="H887" s="276"/>
      <c r="I887" s="276"/>
      <c r="J887" s="276"/>
      <c r="K887" s="276"/>
      <c r="L887" s="276"/>
      <c r="M887" s="276"/>
      <c r="N887" s="276"/>
      <c r="O887" s="17"/>
      <c r="T887" s="9"/>
    </row>
    <row r="888" spans="2:20" ht="5.0999999999999996" customHeight="1" thickBot="1" x14ac:dyDescent="0.3">
      <c r="B888" s="8"/>
      <c r="C888" s="906"/>
      <c r="D888" s="906"/>
      <c r="E888" s="906"/>
      <c r="F888" s="906"/>
      <c r="G888" s="906"/>
      <c r="H888" s="906"/>
      <c r="I888" s="906"/>
      <c r="J888" s="906"/>
      <c r="K888" s="906"/>
      <c r="L888" s="906"/>
      <c r="M888" s="906"/>
      <c r="N888" s="906"/>
      <c r="O888" s="17"/>
      <c r="T888" s="9" t="s">
        <v>644</v>
      </c>
    </row>
    <row r="889" spans="2:20" ht="15" customHeight="1" thickBot="1" x14ac:dyDescent="0.3">
      <c r="B889" s="17"/>
      <c r="C889" s="19">
        <f>C829+1</f>
        <v>8</v>
      </c>
      <c r="D889" s="1234" t="str">
        <f>CONCATENATE(EUconst_BMSubinst," ",C889, ":")</f>
        <v>Sub-installation with product benchmark 8:</v>
      </c>
      <c r="E889" s="1234"/>
      <c r="F889" s="1234"/>
      <c r="G889" s="1234"/>
      <c r="H889" s="1704"/>
      <c r="I889" s="1550" t="str">
        <f>IF(INDEX(CNTR_SubInstListIsProdBM,$C889),INDEX(CNTR_SubInstListNames,$C889),"")</f>
        <v/>
      </c>
      <c r="J889" s="1705"/>
      <c r="K889" s="1705"/>
      <c r="L889" s="1705"/>
      <c r="M889" s="1705"/>
      <c r="N889" s="1706"/>
      <c r="O889" s="17"/>
      <c r="Q889" s="427">
        <f>C889</f>
        <v>8</v>
      </c>
      <c r="R889" s="424" t="str">
        <f>I889</f>
        <v/>
      </c>
      <c r="S889" s="426" t="str">
        <f>H892</f>
        <v>N.A.</v>
      </c>
      <c r="T889" s="425" t="str">
        <f>IF(M901="","",IF(S892=0,0,SUM(M901)/S892))</f>
        <v/>
      </c>
    </row>
    <row r="890" spans="2:20" ht="5.0999999999999996" customHeight="1" thickBot="1" x14ac:dyDescent="0.3">
      <c r="B890" s="17"/>
      <c r="C890" s="17"/>
      <c r="D890" s="17"/>
      <c r="E890" s="17"/>
      <c r="F890" s="17"/>
      <c r="G890" s="17"/>
      <c r="H890" s="17"/>
      <c r="I890" s="17"/>
      <c r="J890" s="17"/>
      <c r="K890" s="17"/>
      <c r="L890" s="17"/>
      <c r="M890" s="17"/>
      <c r="N890" s="17"/>
      <c r="O890" s="17"/>
      <c r="T890" s="9"/>
    </row>
    <row r="891" spans="2:20" x14ac:dyDescent="0.25">
      <c r="B891" s="17"/>
      <c r="C891" s="17"/>
      <c r="D891" s="17"/>
      <c r="E891" s="17"/>
      <c r="F891" s="17"/>
      <c r="G891" s="17"/>
      <c r="H891" s="253" t="str">
        <f>Translations!$B$1204</f>
        <v>CL-exposed</v>
      </c>
      <c r="I891" s="254" t="s">
        <v>629</v>
      </c>
      <c r="J891" s="254" t="str">
        <f>Translations!$B$1208</f>
        <v>Started</v>
      </c>
      <c r="K891" s="254" t="str">
        <f>Translations!$B$1206</f>
        <v>No. of BM</v>
      </c>
      <c r="L891" s="329" t="str">
        <f>Translations!$B$1212</f>
        <v>15(7).3?</v>
      </c>
      <c r="M891" s="468" t="str">
        <f>Translations!$B$1234</f>
        <v>BM value (min/max/actual)</v>
      </c>
      <c r="N891" s="469"/>
      <c r="O891" s="17"/>
      <c r="T891" s="9"/>
    </row>
    <row r="892" spans="2:20" x14ac:dyDescent="0.25">
      <c r="B892" s="17"/>
      <c r="C892" s="17"/>
      <c r="D892" s="17"/>
      <c r="E892" s="255" t="str">
        <f>I889</f>
        <v/>
      </c>
      <c r="F892" s="256"/>
      <c r="G892" s="230"/>
      <c r="H892" s="257" t="str">
        <f>IF(K892=EUconst_NA,EUconst_NA,INDEX(EUconst_BMlistCLstatus,K892))</f>
        <v>N.A.</v>
      </c>
      <c r="I892" s="258" t="str">
        <f>IF(E892="","",INDEX(EUconst_BMlistElExchangability,K892))</f>
        <v/>
      </c>
      <c r="J892" s="355" t="str">
        <f>IF($I889="",EUconst_NA,INDEX(CNTR_SubInstStartDate,MATCH(E892,CNTR_SubInstListNames,0)))</f>
        <v>N.A.</v>
      </c>
      <c r="K892" s="203" t="str">
        <f>IF($I889="",EUconst_NA,MATCH(E892,EUconst_BMlistNames,0))</f>
        <v>N.A.</v>
      </c>
      <c r="L892" s="467" t="str">
        <f>IF(E892="","",INDEX(CNTR_SubInstLess1Year,MATCH(E892,CNTR_SubInstListNames,0)))</f>
        <v/>
      </c>
      <c r="M892" s="470" t="str">
        <f>IF(I889="",EUconst_NA,INDEX(EUconst_BMlistBMvaluesMatrix,K892,2))</f>
        <v>N.A.</v>
      </c>
      <c r="N892" s="471" t="str">
        <f>EUconst_EUA &amp; "/" &amp; H897</f>
        <v>UKA/tonnes</v>
      </c>
      <c r="O892" s="17"/>
      <c r="R892" s="288" t="s">
        <v>639</v>
      </c>
      <c r="S892" s="335" t="str">
        <f>IF(H892=EUconst_NA,"",IF(H892,1,INDEX(EUconst_CLEFYears,1)))</f>
        <v/>
      </c>
      <c r="T892" s="9"/>
    </row>
    <row r="893" spans="2:20" x14ac:dyDescent="0.25">
      <c r="B893" s="17"/>
      <c r="C893" s="17"/>
      <c r="D893" s="17"/>
      <c r="E893" s="276"/>
      <c r="F893" s="276"/>
      <c r="G893" s="254" t="str">
        <f>Translations!$B$1218</f>
        <v>non-ETS heat</v>
      </c>
      <c r="H893" s="329" t="str">
        <f>Translations!$B$1220</f>
        <v>WGflare</v>
      </c>
      <c r="I893" s="254" t="s">
        <v>630</v>
      </c>
      <c r="J893" s="254" t="s">
        <v>631</v>
      </c>
      <c r="K893" s="254" t="s">
        <v>632</v>
      </c>
      <c r="L893" s="329" t="str">
        <f>Translations!$B$1214</f>
        <v>15(7).3 HAL</v>
      </c>
      <c r="M893" s="470" t="str">
        <f>IF(I889="",EUconst_NA,INDEX(EUconst_BMlistBMvaluesMatrix,K892,1))</f>
        <v>N.A.</v>
      </c>
      <c r="N893" s="471" t="str">
        <f>EUconst_EUA &amp; "/" &amp; H897</f>
        <v>UKA/tonnes</v>
      </c>
      <c r="O893" s="17"/>
      <c r="R893" s="288"/>
      <c r="S893" s="368"/>
      <c r="T893" s="9"/>
    </row>
    <row r="894" spans="2:20" ht="13.8" thickBot="1" x14ac:dyDescent="0.3">
      <c r="B894" s="17"/>
      <c r="C894" s="17"/>
      <c r="D894" s="17"/>
      <c r="E894" s="370" t="str">
        <f>Translations!$B$1235</f>
        <v>Special factors:</v>
      </c>
      <c r="F894" s="371"/>
      <c r="G894" s="203" t="str">
        <f>IF($I889="","",SUMIF(F_ProductBM!$P:$P,EUconst_CNTR_HEAT&amp;$I889,F_ProductBM!$Q:$Q))</f>
        <v/>
      </c>
      <c r="H894" s="353" t="str">
        <f>IF(OR($I889="",CNTR_BaselinePeriod&lt;&gt;2),"",SUMIF(F_ProductBM!$P:$P,EUconst_CNTR_WGFlaredEF &amp; I889,F_ProductBM!$R:$R))</f>
        <v/>
      </c>
      <c r="I894" s="334">
        <f>IF(AND($I889&lt;&gt;"",$I892=TRUE),IF(ISNUMBER(INDEX(F_ProductBM!$Q:$Q,MATCH(EUconst_CNTR_ELEXCH&amp;$I889,F_ProductBM!$P:$P,0))),INDEX(F_ProductBM!$Q:$Q,MATCH(EUconst_CNTR_ELEXCH&amp;$I889,F_ProductBM!$P:$P,0)),1),1)</f>
        <v>1</v>
      </c>
      <c r="J894" s="203" t="str">
        <f>IF($I889="","",IF($K892=42,SUMIF(H_SpecialBM!$P$9:$P$384,EUconst_CNTR_HVC,H_SpecialBM!$I$9:$I$384),0))</f>
        <v/>
      </c>
      <c r="K894" s="369" t="str">
        <f>IF($I889="","",IF($K892=47,IF(ISNUMBER(INDEX(H_SpecialBM!$Q$9:$Q$384,MATCH(EUconst_CNTR_VCM,H_SpecialBM!$P$9:$P$384,0))),INDEX(H_SpecialBM!$Q$9:$Q$384,MATCH(EUconst_CNTR_VCM,H_SpecialBM!$P$9:$P$384,0)),1),1))</f>
        <v/>
      </c>
      <c r="L894" s="353" t="str">
        <f>IF($L892=TRUE,SUMIF(F_ProductBM!$P$11:$P$2192,EUconst_CNTR_HAL&amp;$I889,F_ProductBM!$N$11:$N$2192),"")</f>
        <v/>
      </c>
      <c r="M894" s="472" t="str">
        <f>IF(I889="",EUconst_NA,IF(EUconst_StatusOfDataCollection,INDEX(EUconst_BMlistBMvaluesMatrix,K892,3),""))</f>
        <v>N.A.</v>
      </c>
      <c r="N894" s="473" t="str">
        <f>EUconst_EUA &amp; "/" &amp; H897</f>
        <v>UKA/tonnes</v>
      </c>
      <c r="O894" s="17"/>
      <c r="R894" s="288"/>
      <c r="S894" s="368"/>
      <c r="T894" s="9"/>
    </row>
    <row r="895" spans="2:20" ht="5.0999999999999996" customHeight="1" x14ac:dyDescent="0.25">
      <c r="B895" s="17"/>
      <c r="C895" s="17"/>
      <c r="D895" s="17"/>
      <c r="E895" s="17"/>
      <c r="F895" s="17"/>
      <c r="G895" s="17"/>
      <c r="H895" s="17"/>
      <c r="I895" s="17"/>
      <c r="J895" s="17"/>
      <c r="K895" s="17"/>
      <c r="L895" s="17"/>
      <c r="M895" s="17"/>
      <c r="N895" s="17"/>
      <c r="O895" s="17"/>
      <c r="T895" s="9"/>
    </row>
    <row r="896" spans="2:20" x14ac:dyDescent="0.25">
      <c r="B896" s="17"/>
      <c r="C896" s="17"/>
      <c r="D896" s="17"/>
      <c r="E896" s="78"/>
      <c r="F896" s="78"/>
      <c r="G896" s="259"/>
      <c r="H896" s="366" t="str">
        <f>EUconst_Unit</f>
        <v>Unit</v>
      </c>
      <c r="I896" s="149">
        <f>I$1397</f>
        <v>2019</v>
      </c>
      <c r="J896" s="149">
        <f>J$1397</f>
        <v>2020</v>
      </c>
      <c r="K896" s="149">
        <f>K$1397</f>
        <v>2021</v>
      </c>
      <c r="L896" s="149">
        <f>L$1397</f>
        <v>2022</v>
      </c>
      <c r="M896" s="149">
        <f>M$1397</f>
        <v>2023</v>
      </c>
      <c r="N896" s="17"/>
      <c r="O896" s="17"/>
      <c r="P896" s="63" t="s">
        <v>397</v>
      </c>
      <c r="T896" s="9"/>
    </row>
    <row r="897" spans="2:20" x14ac:dyDescent="0.25">
      <c r="B897" s="17"/>
      <c r="C897" s="17"/>
      <c r="D897" s="17"/>
      <c r="E897" s="260" t="str">
        <f>Translations!$B$1236</f>
        <v>HAL (Historic activity level) reported</v>
      </c>
      <c r="F897" s="261"/>
      <c r="G897" s="262"/>
      <c r="H897" s="257" t="str">
        <f>IF(ISNUMBER(K892),INDEX(EUconst_BMlistUnits,K892),EUconst_Tons)</f>
        <v>tonnes</v>
      </c>
      <c r="I897" s="203" t="str">
        <f>IF($I889="","",SUMIF(F_ProductBM!$P$11:$P$1876,$P897,F_ProductBM!I$11:I$1876))</f>
        <v/>
      </c>
      <c r="J897" s="203" t="str">
        <f>IF($I889="","",SUMIF(F_ProductBM!$P$11:$P$1876,$P897,F_ProductBM!J$11:J$1876))</f>
        <v/>
      </c>
      <c r="K897" s="203" t="str">
        <f>IF($I889="","",SUMIF(F_ProductBM!$P$11:$P$1876,$P897,F_ProductBM!K$11:K$1876))</f>
        <v/>
      </c>
      <c r="L897" s="203" t="str">
        <f>IF($I889="","",SUMIF(F_ProductBM!$P$11:$P$1876,$P897,F_ProductBM!L$11:L$1876))</f>
        <v/>
      </c>
      <c r="M897" s="203" t="str">
        <f>IF($I889="","",SUMIF(F_ProductBM!$P$11:$P$1876,$P897,F_ProductBM!M$11:M$1876))</f>
        <v/>
      </c>
      <c r="N897" s="254" t="str">
        <f>Translations!$B$1224</f>
        <v>Average</v>
      </c>
      <c r="O897" s="17"/>
      <c r="P897" s="63" t="str">
        <f>EUconst_CNTR_HAL&amp;I889</f>
        <v>HAL_</v>
      </c>
      <c r="T897" s="9"/>
    </row>
    <row r="898" spans="2:20" x14ac:dyDescent="0.25">
      <c r="B898" s="17"/>
      <c r="C898" s="17"/>
      <c r="D898" s="17"/>
      <c r="E898" s="260" t="str">
        <f>Translations!$B$1237</f>
        <v>Values used for HAL calculation:</v>
      </c>
      <c r="F898" s="261"/>
      <c r="G898" s="262"/>
      <c r="H898" s="257" t="str">
        <f>H897</f>
        <v>tonnes</v>
      </c>
      <c r="I898" s="203" t="str">
        <f>IF($I889="","",INDEX(F_ProductBM!S$11:S$1876,MATCH($P898,F_ProductBM!$P$11:$P$1876,0)))</f>
        <v/>
      </c>
      <c r="J898" s="203" t="str">
        <f>IF($I889="","",INDEX(F_ProductBM!T$11:T$1876,MATCH($P898,F_ProductBM!$P$11:$P$1876,0)))</f>
        <v/>
      </c>
      <c r="K898" s="203" t="str">
        <f>IF($I889="","",INDEX(F_ProductBM!U$11:U$1876,MATCH($P898,F_ProductBM!$P$11:$P$1876,0)))</f>
        <v/>
      </c>
      <c r="L898" s="203" t="str">
        <f>IF($I889="","",INDEX(F_ProductBM!V$11:V$1876,MATCH($P898,F_ProductBM!$P$11:$P$1876,0)))</f>
        <v/>
      </c>
      <c r="M898" s="203" t="str">
        <f>IF($I889="","",INDEX(F_ProductBM!W$11:W$1876,MATCH($P898,F_ProductBM!$P$11:$P$1876,0)))</f>
        <v/>
      </c>
      <c r="N898" s="203" t="str">
        <f>IF(OR($I889="",$L892=TRUE),"",IF(COUNT($I898:$M898)&gt;0,AVERAGE($I898:$M898),""))</f>
        <v/>
      </c>
      <c r="O898" s="17"/>
      <c r="P898" s="63" t="str">
        <f>EUconst_CNTR_HAL&amp;I889</f>
        <v>HAL_</v>
      </c>
      <c r="R898" s="442" t="s">
        <v>640</v>
      </c>
      <c r="S898" s="442" t="s">
        <v>641</v>
      </c>
      <c r="T898" s="442" t="s">
        <v>642</v>
      </c>
    </row>
    <row r="899" spans="2:20" ht="5.0999999999999996" customHeight="1" thickBot="1" x14ac:dyDescent="0.3">
      <c r="B899" s="17"/>
      <c r="C899" s="17"/>
      <c r="D899" s="17"/>
      <c r="E899" s="367"/>
      <c r="F899" s="367"/>
      <c r="G899" s="367"/>
      <c r="H899" s="367"/>
      <c r="I899" s="367"/>
      <c r="J899" s="367"/>
      <c r="K899" s="367"/>
      <c r="L899" s="367"/>
      <c r="M899" s="276"/>
      <c r="N899" s="276"/>
      <c r="O899" s="17"/>
      <c r="T899" s="9"/>
    </row>
    <row r="900" spans="2:20" ht="13.8" thickBot="1" x14ac:dyDescent="0.3">
      <c r="B900" s="17"/>
      <c r="C900" s="276"/>
      <c r="D900" s="17"/>
      <c r="E900" s="367"/>
      <c r="F900" s="336" t="s">
        <v>643</v>
      </c>
      <c r="G900" s="337"/>
      <c r="H900" s="276"/>
      <c r="I900" s="336" t="str">
        <f>Translations!$B$1226</f>
        <v>Prelim Alloc Year 1 (min)</v>
      </c>
      <c r="J900" s="337"/>
      <c r="K900" s="336" t="str">
        <f>Translations!$B$1229</f>
        <v>Prelim Alloc Year 1 (max)</v>
      </c>
      <c r="L900" s="337"/>
      <c r="M900" s="336" t="str">
        <f>Translations!$B$1231</f>
        <v>Prelim Alloc Year 1 (actual)</v>
      </c>
      <c r="N900" s="337"/>
      <c r="O900" s="17"/>
      <c r="P900" s="63" t="str">
        <f>EUconst_AllocPrelim&amp;I889</f>
        <v>AllocPrelim_</v>
      </c>
      <c r="R900" s="423" t="str">
        <f>IF(I901="","",IF(S892=0,0,SUM(I901)/S892))</f>
        <v/>
      </c>
      <c r="S900" s="423" t="str">
        <f>IF(K901="","",IF(S892=0,0,SUM(K901)/S892))</f>
        <v/>
      </c>
      <c r="T900" s="423" t="str">
        <f>T889</f>
        <v/>
      </c>
    </row>
    <row r="901" spans="2:20" ht="13.8" thickBot="1" x14ac:dyDescent="0.3">
      <c r="B901" s="17"/>
      <c r="C901" s="276"/>
      <c r="D901" s="276"/>
      <c r="E901" s="367"/>
      <c r="F901" s="264" t="str">
        <f>IF(I889="","",MAX(0, IF(L892=TRUE, SUM(L894), SUM(N898))))</f>
        <v/>
      </c>
      <c r="G901" s="265" t="str">
        <f>H897&amp;" / "&amp;EUconst_Year</f>
        <v>tonnes / year</v>
      </c>
      <c r="H901" s="276"/>
      <c r="I901" s="333" t="str">
        <f>IF(I889="","",ROUND((SUM(M892)*SUM(F901)*SUM(I894)*SUM(K894)-SUM(G894)-SUM(H894)+SUM(J894))*SUM(S892),0))</f>
        <v/>
      </c>
      <c r="J901" s="409" t="s">
        <v>645</v>
      </c>
      <c r="K901" s="333" t="str">
        <f>IF(I889="","",ROUND((SUM(M893)*SUM(F901)*SUM(I894)*SUM(K894)-SUM(G894)-SUM(H894)+SUM(J894))*SUM(S892),0))</f>
        <v/>
      </c>
      <c r="L901" s="409" t="s">
        <v>645</v>
      </c>
      <c r="M901" s="333" t="str">
        <f>IF(OR(I889="",M894=""),"",ROUND((SUM(M894)*SUM(F901)*SUM(I894)*SUM(K894)-SUM(G894)-SUM(H894)+SUM(J894))*SUM(S892),0))</f>
        <v/>
      </c>
      <c r="N901" s="409" t="s">
        <v>645</v>
      </c>
      <c r="O901" s="17"/>
      <c r="P901" s="63" t="str">
        <f>EUconst_HALsum &amp; I889</f>
        <v>HALsum_</v>
      </c>
      <c r="T901" s="9"/>
    </row>
    <row r="902" spans="2:20" ht="5.0999999999999996" customHeight="1" x14ac:dyDescent="0.25">
      <c r="B902" s="17"/>
      <c r="C902" s="17"/>
      <c r="D902" s="276"/>
      <c r="E902" s="113"/>
      <c r="F902" s="17"/>
      <c r="G902" s="17"/>
      <c r="H902" s="17"/>
      <c r="I902" s="17"/>
      <c r="J902" s="17"/>
      <c r="K902" s="17"/>
      <c r="L902" s="17"/>
      <c r="M902" s="17"/>
      <c r="N902" s="17"/>
      <c r="O902" s="17"/>
      <c r="T902" s="9"/>
    </row>
    <row r="903" spans="2:20" ht="12.75" customHeight="1" x14ac:dyDescent="0.25">
      <c r="B903" s="17"/>
      <c r="C903" s="17"/>
      <c r="D903" s="17"/>
      <c r="E903" s="193"/>
      <c r="F903" s="342"/>
      <c r="G903" s="342"/>
      <c r="H903" s="342"/>
      <c r="I903" s="342"/>
      <c r="J903" s="342"/>
      <c r="K903" s="342"/>
      <c r="L903" s="342"/>
      <c r="M903" s="342"/>
      <c r="N903" s="342"/>
      <c r="O903" s="17"/>
      <c r="T903" s="9"/>
    </row>
    <row r="904" spans="2:20" ht="13.8" thickBot="1" x14ac:dyDescent="0.3">
      <c r="B904" s="17"/>
      <c r="C904" s="17"/>
      <c r="D904" s="17"/>
      <c r="E904" s="193"/>
      <c r="F904" s="342"/>
      <c r="G904" s="342"/>
      <c r="H904" s="192" t="str">
        <f>EUconst_Unit</f>
        <v>Unit</v>
      </c>
      <c r="I904" s="441">
        <f>I$1397</f>
        <v>2019</v>
      </c>
      <c r="J904" s="153">
        <f>J$1397</f>
        <v>2020</v>
      </c>
      <c r="K904" s="153">
        <f>K$1397</f>
        <v>2021</v>
      </c>
      <c r="L904" s="153">
        <f>L$1397</f>
        <v>2022</v>
      </c>
      <c r="M904" s="153">
        <f>M$1397</f>
        <v>2023</v>
      </c>
      <c r="N904" s="342"/>
      <c r="O904" s="17"/>
      <c r="T904" s="9"/>
    </row>
    <row r="905" spans="2:20" ht="13.8" thickBot="1" x14ac:dyDescent="0.3">
      <c r="B905" s="17"/>
      <c r="C905" s="17"/>
      <c r="D905" s="17"/>
      <c r="E905" s="1610" t="str">
        <f>Translations!$B$1238</f>
        <v>Total attributed emissions</v>
      </c>
      <c r="F905" s="1610"/>
      <c r="G905" s="1610"/>
      <c r="H905" s="411" t="str">
        <f>EUconst_tCO2epa</f>
        <v>t CO2e/year</v>
      </c>
      <c r="I905" s="432" t="str">
        <f>INDEX(I$93:I$109,MATCH($I889,$E$93:$E$109,0))</f>
        <v/>
      </c>
      <c r="J905" s="433" t="str">
        <f>INDEX(J$93:J$109,MATCH($I889,$E$93:$E$109,0))</f>
        <v/>
      </c>
      <c r="K905" s="433" t="str">
        <f>INDEX(K$93:K$109,MATCH($I889,$E$93:$E$109,0))</f>
        <v/>
      </c>
      <c r="L905" s="433" t="str">
        <f>INDEX(L$93:L$109,MATCH($I889,$E$93:$E$109,0))</f>
        <v/>
      </c>
      <c r="M905" s="434" t="str">
        <f>INDEX(M$93:M$109,MATCH($I889,$E$93:$E$109,0))</f>
        <v/>
      </c>
      <c r="N905" s="342"/>
      <c r="O905" s="17"/>
      <c r="T905" s="9"/>
    </row>
    <row r="906" spans="2:20" ht="5.0999999999999996" customHeight="1" x14ac:dyDescent="0.25">
      <c r="B906" s="17"/>
      <c r="C906" s="17"/>
      <c r="D906" s="17"/>
      <c r="E906" s="193"/>
      <c r="F906" s="193"/>
      <c r="G906" s="193"/>
      <c r="H906" s="193"/>
      <c r="I906" s="435"/>
      <c r="J906" s="435"/>
      <c r="K906" s="435"/>
      <c r="L906" s="435"/>
      <c r="M906" s="435"/>
      <c r="N906" s="193"/>
      <c r="O906" s="17"/>
      <c r="T906" s="9"/>
    </row>
    <row r="907" spans="2:20" x14ac:dyDescent="0.25">
      <c r="B907" s="17"/>
      <c r="C907" s="17"/>
      <c r="D907" s="17"/>
      <c r="E907" s="1526" t="str">
        <f>Translations!$B$731</f>
        <v>Fuel input</v>
      </c>
      <c r="F907" s="1526"/>
      <c r="G907" s="1526"/>
      <c r="H907" s="939" t="str">
        <f>EUconst_TJpa</f>
        <v>TJ / year</v>
      </c>
      <c r="I907" s="436" t="str">
        <f>IF($I889="","",IF(INDEX(F_ProductBM!I:I,MATCH($P907,F_ProductBM!$P:$P,0))="","",INDEX(F_ProductBM!I:I,MATCH($P907,F_ProductBM!$P:$P,0))))</f>
        <v/>
      </c>
      <c r="J907" s="436" t="str">
        <f>IF($I889="","",IF(INDEX(F_ProductBM!J:J,MATCH($P907,F_ProductBM!$P:$P,0))="","",INDEX(F_ProductBM!J:J,MATCH($P907,F_ProductBM!$P:$P,0))))</f>
        <v/>
      </c>
      <c r="K907" s="436" t="str">
        <f>IF($I889="","",IF(INDEX(F_ProductBM!K:K,MATCH($P907,F_ProductBM!$P:$P,0))="","",INDEX(F_ProductBM!K:K,MATCH($P907,F_ProductBM!$P:$P,0))))</f>
        <v/>
      </c>
      <c r="L907" s="436" t="str">
        <f>IF($I889="","",IF(INDEX(F_ProductBM!L:L,MATCH($P907,F_ProductBM!$P:$P,0))="","",INDEX(F_ProductBM!L:L,MATCH($P907,F_ProductBM!$P:$P,0))))</f>
        <v/>
      </c>
      <c r="M907" s="436" t="str">
        <f>IF($I889="","",IF(INDEX(F_ProductBM!M:M,MATCH($P907,F_ProductBM!$P:$P,0))="","",INDEX(F_ProductBM!M:M,MATCH($P907,F_ProductBM!$P:$P,0))))</f>
        <v/>
      </c>
      <c r="N907" s="342"/>
      <c r="O907" s="17"/>
      <c r="P907" s="341" t="str">
        <f>EUconst_CNTR_FuelInput &amp; I889</f>
        <v>FuelInput_</v>
      </c>
      <c r="T907" s="9"/>
    </row>
    <row r="908" spans="2:20" x14ac:dyDescent="0.25">
      <c r="B908" s="17"/>
      <c r="C908" s="17"/>
      <c r="D908" s="17"/>
      <c r="E908" s="1527" t="str">
        <f>Translations!$B$732</f>
        <v>Weighted emission factor</v>
      </c>
      <c r="F908" s="1527"/>
      <c r="G908" s="1527"/>
      <c r="H908" s="343" t="str">
        <f>EUconst_tCO2pTJ</f>
        <v>t CO2 / TJ</v>
      </c>
      <c r="I908" s="437" t="str">
        <f>IF($I889="","",IF(INDEX(F_ProductBM!I:I,MATCH($P908,F_ProductBM!$P:$P,0))="","",INDEX(F_ProductBM!I:I,MATCH($P908,F_ProductBM!$P:$P,0))))</f>
        <v/>
      </c>
      <c r="J908" s="437" t="str">
        <f>IF($I889="","",IF(INDEX(F_ProductBM!J:J,MATCH($P908,F_ProductBM!$P:$P,0))="","",INDEX(F_ProductBM!J:J,MATCH($P908,F_ProductBM!$P:$P,0))))</f>
        <v/>
      </c>
      <c r="K908" s="437" t="str">
        <f>IF($I889="","",IF(INDEX(F_ProductBM!K:K,MATCH($P908,F_ProductBM!$P:$P,0))="","",INDEX(F_ProductBM!K:K,MATCH($P908,F_ProductBM!$P:$P,0))))</f>
        <v/>
      </c>
      <c r="L908" s="437" t="str">
        <f>IF($I889="","",IF(INDEX(F_ProductBM!L:L,MATCH($P908,F_ProductBM!$P:$P,0))="","",INDEX(F_ProductBM!L:L,MATCH($P908,F_ProductBM!$P:$P,0))))</f>
        <v/>
      </c>
      <c r="M908" s="437" t="str">
        <f>IF($I889="","",IF(INDEX(F_ProductBM!M:M,MATCH($P908,F_ProductBM!$P:$P,0))="","",INDEX(F_ProductBM!M:M,MATCH($P908,F_ProductBM!$P:$P,0))))</f>
        <v/>
      </c>
      <c r="N908" s="342"/>
      <c r="O908" s="17"/>
      <c r="P908" s="116" t="str">
        <f>EUconst_CNTR_FuelEF &amp; I889</f>
        <v>FuelEF_</v>
      </c>
      <c r="T908" s="9"/>
    </row>
    <row r="909" spans="2:20" ht="5.0999999999999996" customHeight="1" x14ac:dyDescent="0.25">
      <c r="B909" s="17"/>
      <c r="C909" s="17"/>
      <c r="D909" s="276"/>
      <c r="E909" s="193"/>
      <c r="F909" s="342"/>
      <c r="G909" s="342"/>
      <c r="H909" s="342"/>
      <c r="I909" s="438"/>
      <c r="J909" s="438"/>
      <c r="K909" s="438"/>
      <c r="L909" s="438"/>
      <c r="M909" s="438"/>
      <c r="N909" s="342"/>
      <c r="O909" s="17"/>
      <c r="T909" s="9"/>
    </row>
    <row r="910" spans="2:20" ht="12.75" customHeight="1" x14ac:dyDescent="0.25">
      <c r="B910" s="17"/>
      <c r="C910" s="17"/>
      <c r="D910" s="276"/>
      <c r="E910" s="1528" t="str">
        <f>Translations!$B$687</f>
        <v>Direct emissions</v>
      </c>
      <c r="F910" s="1528"/>
      <c r="G910" s="1528"/>
      <c r="H910" s="154" t="str">
        <f>EUconst_tCO2pa</f>
        <v>t CO2 / year</v>
      </c>
      <c r="I910" s="439" t="str">
        <f>IF($I889="","",IF(INDEX(F_ProductBM!I:I,MATCH($P910,F_ProductBM!$P:$P,0))="","",INDEX(F_ProductBM!I:I,MATCH($P910,F_ProductBM!$P:$P,0))))</f>
        <v/>
      </c>
      <c r="J910" s="439" t="str">
        <f>IF($I889="","",IF(INDEX(F_ProductBM!J:J,MATCH($P910,F_ProductBM!$P:$P,0))="","",INDEX(F_ProductBM!J:J,MATCH($P910,F_ProductBM!$P:$P,0))))</f>
        <v/>
      </c>
      <c r="K910" s="439" t="str">
        <f>IF($I889="","",IF(INDEX(F_ProductBM!K:K,MATCH($P910,F_ProductBM!$P:$P,0))="","",INDEX(F_ProductBM!K:K,MATCH($P910,F_ProductBM!$P:$P,0))))</f>
        <v/>
      </c>
      <c r="L910" s="439" t="str">
        <f>IF($I889="","",IF(INDEX(F_ProductBM!L:L,MATCH($P910,F_ProductBM!$P:$P,0))="","",INDEX(F_ProductBM!L:L,MATCH($P910,F_ProductBM!$P:$P,0))))</f>
        <v/>
      </c>
      <c r="M910" s="439" t="str">
        <f>IF($I889="","",IF(INDEX(F_ProductBM!M:M,MATCH($P910,F_ProductBM!$P:$P,0))="","",INDEX(F_ProductBM!M:M,MATCH($P910,F_ProductBM!$P:$P,0))))</f>
        <v/>
      </c>
      <c r="N910" s="342"/>
      <c r="O910" s="17"/>
      <c r="P910" s="116" t="str">
        <f>EUconst_CNTR_Emissions &amp; I889</f>
        <v>DirEmissions_</v>
      </c>
      <c r="T910" s="9"/>
    </row>
    <row r="911" spans="2:20" x14ac:dyDescent="0.25">
      <c r="B911" s="17"/>
      <c r="C911" s="17"/>
      <c r="D911" s="276"/>
      <c r="E911" s="1528" t="str">
        <f>Translations!$B$742</f>
        <v>Further source streams - 1</v>
      </c>
      <c r="F911" s="1528"/>
      <c r="G911" s="1528"/>
      <c r="H911" s="154" t="str">
        <f>EUconst_tCO2pa</f>
        <v>t CO2 / year</v>
      </c>
      <c r="I911" s="439" t="str">
        <f>IF($I889="","",IF(INDEX(F_ProductBM!I:I,MATCH($P911,F_ProductBM!$P:$P,0))="","",INDEX(F_ProductBM!I:I,MATCH($P911,F_ProductBM!$P:$P,0))))</f>
        <v/>
      </c>
      <c r="J911" s="439" t="str">
        <f>IF($I889="","",IF(INDEX(F_ProductBM!J:J,MATCH($P911,F_ProductBM!$P:$P,0))="","",INDEX(F_ProductBM!J:J,MATCH($P911,F_ProductBM!$P:$P,0))))</f>
        <v/>
      </c>
      <c r="K911" s="439" t="str">
        <f>IF($I889="","",IF(INDEX(F_ProductBM!K:K,MATCH($P911,F_ProductBM!$P:$P,0))="","",INDEX(F_ProductBM!K:K,MATCH($P911,F_ProductBM!$P:$P,0))))</f>
        <v/>
      </c>
      <c r="L911" s="439" t="str">
        <f>IF($I889="","",IF(INDEX(F_ProductBM!L:L,MATCH($P911,F_ProductBM!$P:$P,0))="","",INDEX(F_ProductBM!L:L,MATCH($P911,F_ProductBM!$P:$P,0))))</f>
        <v/>
      </c>
      <c r="M911" s="439" t="str">
        <f>IF($I889="","",IF(INDEX(F_ProductBM!M:M,MATCH($P911,F_ProductBM!$P:$P,0))="","",INDEX(F_ProductBM!M:M,MATCH($P911,F_ProductBM!$P:$P,0))))</f>
        <v/>
      </c>
      <c r="N911" s="342"/>
      <c r="O911" s="17"/>
      <c r="P911" s="116" t="str">
        <f>EUconst_CNTR_EmissionsIntSource1 &amp; I889</f>
        <v>EmInternalSource1_</v>
      </c>
      <c r="T911" s="9"/>
    </row>
    <row r="912" spans="2:20" x14ac:dyDescent="0.25">
      <c r="B912" s="17"/>
      <c r="C912" s="17"/>
      <c r="D912" s="276"/>
      <c r="E912" s="1528" t="str">
        <f>Translations!$B$752</f>
        <v>Further source streams - 2</v>
      </c>
      <c r="F912" s="1528"/>
      <c r="G912" s="1528"/>
      <c r="H912" s="154" t="str">
        <f>EUconst_tCO2pa</f>
        <v>t CO2 / year</v>
      </c>
      <c r="I912" s="439" t="str">
        <f>IF($I889="","",IF(INDEX(F_ProductBM!I:I,MATCH($P912,F_ProductBM!$P:$P,0))="","",INDEX(F_ProductBM!I:I,MATCH($P912,F_ProductBM!$P:$P,0))))</f>
        <v/>
      </c>
      <c r="J912" s="439" t="str">
        <f>IF($I889="","",IF(INDEX(F_ProductBM!J:J,MATCH($P912,F_ProductBM!$P:$P,0))="","",INDEX(F_ProductBM!J:J,MATCH($P912,F_ProductBM!$P:$P,0))))</f>
        <v/>
      </c>
      <c r="K912" s="439" t="str">
        <f>IF($I889="","",IF(INDEX(F_ProductBM!K:K,MATCH($P912,F_ProductBM!$P:$P,0))="","",INDEX(F_ProductBM!K:K,MATCH($P912,F_ProductBM!$P:$P,0))))</f>
        <v/>
      </c>
      <c r="L912" s="439" t="str">
        <f>IF($I889="","",IF(INDEX(F_ProductBM!L:L,MATCH($P912,F_ProductBM!$P:$P,0))="","",INDEX(F_ProductBM!L:L,MATCH($P912,F_ProductBM!$P:$P,0))))</f>
        <v/>
      </c>
      <c r="M912" s="439" t="str">
        <f>IF($I889="","",IF(INDEX(F_ProductBM!M:M,MATCH($P912,F_ProductBM!$P:$P,0))="","",INDEX(F_ProductBM!M:M,MATCH($P912,F_ProductBM!$P:$P,0))))</f>
        <v/>
      </c>
      <c r="N912" s="342"/>
      <c r="O912" s="17"/>
      <c r="P912" s="116" t="str">
        <f>EUconst_CNTR_EmissionsIntSource2 &amp; I889</f>
        <v>EmInternalSource2_</v>
      </c>
      <c r="T912" s="9"/>
    </row>
    <row r="913" spans="2:20" x14ac:dyDescent="0.25">
      <c r="B913" s="17"/>
      <c r="C913" s="17"/>
      <c r="D913" s="17"/>
      <c r="E913" s="1528" t="str">
        <f>Translations!$B$756</f>
        <v>GHG imported or exported</v>
      </c>
      <c r="F913" s="1528"/>
      <c r="G913" s="1528"/>
      <c r="H913" s="154" t="str">
        <f>EUconst_tCO2epa</f>
        <v>t CO2e/year</v>
      </c>
      <c r="I913" s="439" t="str">
        <f>IF($I889="","",IF(INDEX(F_ProductBM!I:I,MATCH($P913,F_ProductBM!$P:$P,0))="","",INDEX(F_ProductBM!I:I,MATCH($P913,F_ProductBM!$P:$P,0))))</f>
        <v/>
      </c>
      <c r="J913" s="439" t="str">
        <f>IF($I889="","",IF(INDEX(F_ProductBM!J:J,MATCH($P913,F_ProductBM!$P:$P,0))="","",INDEX(F_ProductBM!J:J,MATCH($P913,F_ProductBM!$P:$P,0))))</f>
        <v/>
      </c>
      <c r="K913" s="439" t="str">
        <f>IF($I889="","",IF(INDEX(F_ProductBM!K:K,MATCH($P913,F_ProductBM!$P:$P,0))="","",INDEX(F_ProductBM!K:K,MATCH($P913,F_ProductBM!$P:$P,0))))</f>
        <v/>
      </c>
      <c r="L913" s="439" t="str">
        <f>IF($I889="","",IF(INDEX(F_ProductBM!L:L,MATCH($P913,F_ProductBM!$P:$P,0))="","",INDEX(F_ProductBM!L:L,MATCH($P913,F_ProductBM!$P:$P,0))))</f>
        <v/>
      </c>
      <c r="M913" s="439" t="str">
        <f>IF($I889="","",IF(INDEX(F_ProductBM!M:M,MATCH($P913,F_ProductBM!$P:$P,0))="","",INDEX(F_ProductBM!M:M,MATCH($P913,F_ProductBM!$P:$P,0))))</f>
        <v/>
      </c>
      <c r="N913" s="342"/>
      <c r="O913" s="17"/>
      <c r="P913" s="116" t="str">
        <f>EUconst_CNTR_CO2Feedstock &amp; I889</f>
        <v>EmCO2Feedstock_</v>
      </c>
      <c r="T913" s="9"/>
    </row>
    <row r="914" spans="2:20" ht="5.0999999999999996" customHeight="1" x14ac:dyDescent="0.25">
      <c r="B914" s="17"/>
      <c r="C914" s="17"/>
      <c r="D914" s="17"/>
      <c r="E914" s="342"/>
      <c r="F914" s="342"/>
      <c r="G914" s="342"/>
      <c r="H914" s="342"/>
      <c r="I914" s="438"/>
      <c r="J914" s="438"/>
      <c r="K914" s="438"/>
      <c r="L914" s="438"/>
      <c r="M914" s="438"/>
      <c r="N914" s="342"/>
      <c r="O914" s="17"/>
      <c r="T914" s="9"/>
    </row>
    <row r="915" spans="2:20" x14ac:dyDescent="0.25">
      <c r="B915" s="17"/>
      <c r="C915" s="17"/>
      <c r="D915" s="17"/>
      <c r="E915" s="1526" t="str">
        <f>Translations!$B$764</f>
        <v>Net heat imported</v>
      </c>
      <c r="F915" s="1526"/>
      <c r="G915" s="1526"/>
      <c r="H915" s="939" t="str">
        <f>EUconst_TJpa</f>
        <v>TJ / year</v>
      </c>
      <c r="I915" s="436" t="str">
        <f>IF($I889="","",IF(INDEX(F_ProductBM!I:I,MATCH($P915,F_ProductBM!$P:$P,0))="","",INDEX(F_ProductBM!I:I,MATCH($P915,F_ProductBM!$P:$P,0))))</f>
        <v/>
      </c>
      <c r="J915" s="436" t="str">
        <f>IF($I889="","",IF(INDEX(F_ProductBM!J:J,MATCH($P915,F_ProductBM!$P:$P,0))="","",INDEX(F_ProductBM!J:J,MATCH($P915,F_ProductBM!$P:$P,0))))</f>
        <v/>
      </c>
      <c r="K915" s="436" t="str">
        <f>IF($I889="","",IF(INDEX(F_ProductBM!K:K,MATCH($P915,F_ProductBM!$P:$P,0))="","",INDEX(F_ProductBM!K:K,MATCH($P915,F_ProductBM!$P:$P,0))))</f>
        <v/>
      </c>
      <c r="L915" s="436" t="str">
        <f>IF($I889="","",IF(INDEX(F_ProductBM!L:L,MATCH($P915,F_ProductBM!$P:$P,0))="","",INDEX(F_ProductBM!L:L,MATCH($P915,F_ProductBM!$P:$P,0))))</f>
        <v/>
      </c>
      <c r="M915" s="436" t="str">
        <f>IF($I889="","",IF(INDEX(F_ProductBM!M:M,MATCH($P915,F_ProductBM!$P:$P,0))="","",INDEX(F_ProductBM!M:M,MATCH($P915,F_ProductBM!$P:$P,0))))</f>
        <v/>
      </c>
      <c r="N915" s="342"/>
      <c r="O915" s="17"/>
      <c r="P915" s="116" t="str">
        <f>EUconst_CNTR_HeatImport &amp; I889</f>
        <v>HeatIm_</v>
      </c>
      <c r="T915" s="9"/>
    </row>
    <row r="916" spans="2:20" x14ac:dyDescent="0.25">
      <c r="B916" s="17"/>
      <c r="C916" s="17"/>
      <c r="D916" s="17"/>
      <c r="E916" s="1527" t="str">
        <f>Translations!$B$765</f>
        <v>Specific EF (imported heat)</v>
      </c>
      <c r="F916" s="1527"/>
      <c r="G916" s="1527"/>
      <c r="H916" s="343" t="str">
        <f>EUconst_tCO2pTJ</f>
        <v>t CO2 / TJ</v>
      </c>
      <c r="I916" s="437" t="str">
        <f>IF($I889="","",IF(INDEX(F_ProductBM!I:I,MATCH($P916,F_ProductBM!$P:$P,0))="","",INDEX(F_ProductBM!I:I,MATCH($P916,F_ProductBM!$P:$P,0))))</f>
        <v/>
      </c>
      <c r="J916" s="437" t="str">
        <f>IF($I889="","",IF(INDEX(F_ProductBM!J:J,MATCH($P916,F_ProductBM!$P:$P,0))="","",INDEX(F_ProductBM!J:J,MATCH($P916,F_ProductBM!$P:$P,0))))</f>
        <v/>
      </c>
      <c r="K916" s="437" t="str">
        <f>IF($I889="","",IF(INDEX(F_ProductBM!K:K,MATCH($P916,F_ProductBM!$P:$P,0))="","",INDEX(F_ProductBM!K:K,MATCH($P916,F_ProductBM!$P:$P,0))))</f>
        <v/>
      </c>
      <c r="L916" s="437" t="str">
        <f>IF($I889="","",IF(INDEX(F_ProductBM!L:L,MATCH($P916,F_ProductBM!$P:$P,0))="","",INDEX(F_ProductBM!L:L,MATCH($P916,F_ProductBM!$P:$P,0))))</f>
        <v/>
      </c>
      <c r="M916" s="437" t="str">
        <f>IF($I889="","",IF(INDEX(F_ProductBM!M:M,MATCH($P916,F_ProductBM!$P:$P,0))="","",INDEX(F_ProductBM!M:M,MATCH($P916,F_ProductBM!$P:$P,0))))</f>
        <v/>
      </c>
      <c r="N916" s="342"/>
      <c r="O916" s="17"/>
      <c r="P916" s="116" t="str">
        <f>EUconst_CNTR_HeatImportEF &amp; I889</f>
        <v>HeatImEF_</v>
      </c>
      <c r="T916" s="9"/>
    </row>
    <row r="917" spans="2:20" ht="5.0999999999999996" customHeight="1" x14ac:dyDescent="0.25">
      <c r="B917" s="17"/>
      <c r="C917" s="17"/>
      <c r="D917" s="17"/>
      <c r="E917" s="193"/>
      <c r="F917" s="342"/>
      <c r="G917" s="342"/>
      <c r="H917" s="342"/>
      <c r="I917" s="438"/>
      <c r="J917" s="438"/>
      <c r="K917" s="438"/>
      <c r="L917" s="438"/>
      <c r="M917" s="438"/>
      <c r="N917" s="342"/>
      <c r="O917" s="17"/>
      <c r="P917" s="9"/>
      <c r="T917" s="9"/>
    </row>
    <row r="918" spans="2:20" x14ac:dyDescent="0.25">
      <c r="B918" s="17"/>
      <c r="C918" s="17"/>
      <c r="D918" s="17"/>
      <c r="E918" s="1528" t="str">
        <f>Translations!$B$820</f>
        <v>Net heat imported from pulp</v>
      </c>
      <c r="F918" s="1528"/>
      <c r="G918" s="1528"/>
      <c r="H918" s="154" t="str">
        <f>EUconst_TJpa</f>
        <v>TJ / year</v>
      </c>
      <c r="I918" s="439" t="str">
        <f>IF($I889="","",IF(INDEX(F_ProductBM!I:I,MATCH($P918,F_ProductBM!$P:$P,0))="","",INDEX(F_ProductBM!I:I,MATCH($P918,F_ProductBM!$P:$P,0))))</f>
        <v/>
      </c>
      <c r="J918" s="439" t="str">
        <f>IF($I889="","",IF(INDEX(F_ProductBM!J:J,MATCH($P918,F_ProductBM!$P:$P,0))="","",INDEX(F_ProductBM!J:J,MATCH($P918,F_ProductBM!$P:$P,0))))</f>
        <v/>
      </c>
      <c r="K918" s="439" t="str">
        <f>IF($I889="","",IF(INDEX(F_ProductBM!K:K,MATCH($P918,F_ProductBM!$P:$P,0))="","",INDEX(F_ProductBM!K:K,MATCH($P918,F_ProductBM!$P:$P,0))))</f>
        <v/>
      </c>
      <c r="L918" s="439" t="str">
        <f>IF($I889="","",IF(INDEX(F_ProductBM!L:L,MATCH($P918,F_ProductBM!$P:$P,0))="","",INDEX(F_ProductBM!L:L,MATCH($P918,F_ProductBM!$P:$P,0))))</f>
        <v/>
      </c>
      <c r="M918" s="439" t="str">
        <f>IF($I889="","",IF(INDEX(F_ProductBM!M:M,MATCH($P918,F_ProductBM!$P:$P,0))="","",INDEX(F_ProductBM!M:M,MATCH($P918,F_ProductBM!$P:$P,0))))</f>
        <v/>
      </c>
      <c r="N918" s="342"/>
      <c r="O918" s="17"/>
      <c r="P918" s="116" t="str">
        <f>EUconst_CNTR_HeatImportPulp &amp; I889</f>
        <v>HeatImPulp_</v>
      </c>
      <c r="T918" s="9"/>
    </row>
    <row r="919" spans="2:20" x14ac:dyDescent="0.25">
      <c r="B919" s="17"/>
      <c r="C919" s="17"/>
      <c r="D919" s="17"/>
      <c r="E919" s="1528" t="str">
        <f>Translations!$B$768</f>
        <v>Net heat imported from nitric acid sub-installation</v>
      </c>
      <c r="F919" s="1528"/>
      <c r="G919" s="1528"/>
      <c r="H919" s="154" t="str">
        <f>EUconst_TJpa</f>
        <v>TJ / year</v>
      </c>
      <c r="I919" s="439" t="str">
        <f>IF($I889="","",IF(INDEX(F_ProductBM!I:I,MATCH($P919,F_ProductBM!$P:$P,0))="","",INDEX(F_ProductBM!I:I,MATCH($P919,F_ProductBM!$P:$P,0))))</f>
        <v/>
      </c>
      <c r="J919" s="439" t="str">
        <f>IF($I889="","",IF(INDEX(F_ProductBM!J:J,MATCH($P919,F_ProductBM!$P:$P,0))="","",INDEX(F_ProductBM!J:J,MATCH($P919,F_ProductBM!$P:$P,0))))</f>
        <v/>
      </c>
      <c r="K919" s="439" t="str">
        <f>IF($I889="","",IF(INDEX(F_ProductBM!K:K,MATCH($P919,F_ProductBM!$P:$P,0))="","",INDEX(F_ProductBM!K:K,MATCH($P919,F_ProductBM!$P:$P,0))))</f>
        <v/>
      </c>
      <c r="L919" s="439" t="str">
        <f>IF($I889="","",IF(INDEX(F_ProductBM!L:L,MATCH($P919,F_ProductBM!$P:$P,0))="","",INDEX(F_ProductBM!L:L,MATCH($P919,F_ProductBM!$P:$P,0))))</f>
        <v/>
      </c>
      <c r="M919" s="439" t="str">
        <f>IF($I889="","",IF(INDEX(F_ProductBM!M:M,MATCH($P919,F_ProductBM!$P:$P,0))="","",INDEX(F_ProductBM!M:M,MATCH($P919,F_ProductBM!$P:$P,0))))</f>
        <v/>
      </c>
      <c r="N919" s="342"/>
      <c r="O919" s="17"/>
      <c r="P919" s="116" t="str">
        <f>EUconst_CNTR_HeatImportNitric &amp; I889</f>
        <v>HeatImNitric_</v>
      </c>
      <c r="T919" s="9"/>
    </row>
    <row r="920" spans="2:20" ht="5.0999999999999996" customHeight="1" x14ac:dyDescent="0.25">
      <c r="B920" s="17"/>
      <c r="C920" s="17"/>
      <c r="D920" s="17"/>
      <c r="E920" s="193"/>
      <c r="F920" s="193"/>
      <c r="G920" s="193"/>
      <c r="H920" s="193"/>
      <c r="I920" s="438"/>
      <c r="J920" s="438"/>
      <c r="K920" s="438"/>
      <c r="L920" s="438"/>
      <c r="M920" s="438"/>
      <c r="N920" s="342"/>
      <c r="O920" s="17"/>
      <c r="P920" s="9"/>
      <c r="T920" s="9"/>
    </row>
    <row r="921" spans="2:20" x14ac:dyDescent="0.25">
      <c r="B921" s="17"/>
      <c r="C921" s="17"/>
      <c r="D921" s="17"/>
      <c r="E921" s="1526" t="str">
        <f>Translations!$B$770</f>
        <v>Net heat exported</v>
      </c>
      <c r="F921" s="1526"/>
      <c r="G921" s="1526"/>
      <c r="H921" s="939" t="str">
        <f>EUconst_TJpa</f>
        <v>TJ / year</v>
      </c>
      <c r="I921" s="436" t="str">
        <f>IF($I889="","",IF(INDEX(F_ProductBM!I:I,MATCH($P921,F_ProductBM!$P:$P,0))="","",INDEX(F_ProductBM!I:I,MATCH($P921,F_ProductBM!$P:$P,0))))</f>
        <v/>
      </c>
      <c r="J921" s="436" t="str">
        <f>IF($I889="","",IF(INDEX(F_ProductBM!J:J,MATCH($P921,F_ProductBM!$P:$P,0))="","",INDEX(F_ProductBM!J:J,MATCH($P921,F_ProductBM!$P:$P,0))))</f>
        <v/>
      </c>
      <c r="K921" s="436" t="str">
        <f>IF($I889="","",IF(INDEX(F_ProductBM!K:K,MATCH($P921,F_ProductBM!$P:$P,0))="","",INDEX(F_ProductBM!K:K,MATCH($P921,F_ProductBM!$P:$P,0))))</f>
        <v/>
      </c>
      <c r="L921" s="436" t="str">
        <f>IF($I889="","",IF(INDEX(F_ProductBM!L:L,MATCH($P921,F_ProductBM!$P:$P,0))="","",INDEX(F_ProductBM!L:L,MATCH($P921,F_ProductBM!$P:$P,0))))</f>
        <v/>
      </c>
      <c r="M921" s="436" t="str">
        <f>IF($I889="","",IF(INDEX(F_ProductBM!M:M,MATCH($P921,F_ProductBM!$P:$P,0))="","",INDEX(F_ProductBM!M:M,MATCH($P921,F_ProductBM!$P:$P,0))))</f>
        <v/>
      </c>
      <c r="N921" s="342"/>
      <c r="O921" s="17"/>
      <c r="P921" s="116" t="str">
        <f>EUconst_CNTR_HeatExport &amp; I889</f>
        <v>HeatEx_</v>
      </c>
      <c r="T921" s="9"/>
    </row>
    <row r="922" spans="2:20" x14ac:dyDescent="0.25">
      <c r="B922" s="17"/>
      <c r="C922" s="17"/>
      <c r="D922" s="17"/>
      <c r="E922" s="1527" t="str">
        <f>Translations!$B$771</f>
        <v>Specific EF (exported heat)</v>
      </c>
      <c r="F922" s="1527"/>
      <c r="G922" s="1527"/>
      <c r="H922" s="343" t="str">
        <f>EUconst_tCO2pTJ</f>
        <v>t CO2 / TJ</v>
      </c>
      <c r="I922" s="437" t="str">
        <f>IF($I889="","",IF(INDEX(F_ProductBM!I:I,MATCH($P922,F_ProductBM!$P:$P,0))="","",INDEX(F_ProductBM!I:I,MATCH($P922,F_ProductBM!$P:$P,0))))</f>
        <v/>
      </c>
      <c r="J922" s="437" t="str">
        <f>IF($I889="","",IF(INDEX(F_ProductBM!J:J,MATCH($P922,F_ProductBM!$P:$P,0))="","",INDEX(F_ProductBM!J:J,MATCH($P922,F_ProductBM!$P:$P,0))))</f>
        <v/>
      </c>
      <c r="K922" s="437" t="str">
        <f>IF($I889="","",IF(INDEX(F_ProductBM!K:K,MATCH($P922,F_ProductBM!$P:$P,0))="","",INDEX(F_ProductBM!K:K,MATCH($P922,F_ProductBM!$P:$P,0))))</f>
        <v/>
      </c>
      <c r="L922" s="437" t="str">
        <f>IF($I889="","",IF(INDEX(F_ProductBM!L:L,MATCH($P922,F_ProductBM!$P:$P,0))="","",INDEX(F_ProductBM!L:L,MATCH($P922,F_ProductBM!$P:$P,0))))</f>
        <v/>
      </c>
      <c r="M922" s="437" t="str">
        <f>IF($I889="","",IF(INDEX(F_ProductBM!M:M,MATCH($P922,F_ProductBM!$P:$P,0))="","",INDEX(F_ProductBM!M:M,MATCH($P922,F_ProductBM!$P:$P,0))))</f>
        <v/>
      </c>
      <c r="N922" s="342"/>
      <c r="O922" s="17"/>
      <c r="P922" s="116" t="str">
        <f>EUconst_CNTR_HeatExportEF &amp; I889</f>
        <v>HeatExEF_</v>
      </c>
      <c r="T922" s="9"/>
    </row>
    <row r="923" spans="2:20" ht="5.0999999999999996" customHeight="1" x14ac:dyDescent="0.25">
      <c r="B923" s="17"/>
      <c r="C923" s="17"/>
      <c r="D923" s="17"/>
      <c r="E923" s="193"/>
      <c r="F923" s="193"/>
      <c r="G923" s="193"/>
      <c r="H923" s="193"/>
      <c r="I923" s="438"/>
      <c r="J923" s="438"/>
      <c r="K923" s="438"/>
      <c r="L923" s="438"/>
      <c r="M923" s="438"/>
      <c r="N923" s="342"/>
      <c r="O923" s="17"/>
      <c r="P923" s="9"/>
      <c r="T923" s="9"/>
    </row>
    <row r="924" spans="2:20" x14ac:dyDescent="0.25">
      <c r="B924" s="17"/>
      <c r="C924" s="17"/>
      <c r="D924" s="17"/>
      <c r="E924" s="1526" t="str">
        <f>Translations!$B$778</f>
        <v>Waste gas produced</v>
      </c>
      <c r="F924" s="1526"/>
      <c r="G924" s="1526"/>
      <c r="H924" s="939" t="str">
        <f>EUconst_TJpa</f>
        <v>TJ / year</v>
      </c>
      <c r="I924" s="436" t="str">
        <f>IF($I889="","",IF(INDEX(F_ProductBM!I:I,MATCH($P924,F_ProductBM!$P:$P,0))="","",INDEX(F_ProductBM!I:I,MATCH($P924,F_ProductBM!$P:$P,0))))</f>
        <v/>
      </c>
      <c r="J924" s="436" t="str">
        <f>IF($I889="","",IF(INDEX(F_ProductBM!J:J,MATCH($P924,F_ProductBM!$P:$P,0))="","",INDEX(F_ProductBM!J:J,MATCH($P924,F_ProductBM!$P:$P,0))))</f>
        <v/>
      </c>
      <c r="K924" s="436" t="str">
        <f>IF($I889="","",IF(INDEX(F_ProductBM!K:K,MATCH($P924,F_ProductBM!$P:$P,0))="","",INDEX(F_ProductBM!K:K,MATCH($P924,F_ProductBM!$P:$P,0))))</f>
        <v/>
      </c>
      <c r="L924" s="436" t="str">
        <f>IF($I889="","",IF(INDEX(F_ProductBM!L:L,MATCH($P924,F_ProductBM!$P:$P,0))="","",INDEX(F_ProductBM!L:L,MATCH($P924,F_ProductBM!$P:$P,0))))</f>
        <v/>
      </c>
      <c r="M924" s="436" t="str">
        <f>IF($I889="","",IF(INDEX(F_ProductBM!M:M,MATCH($P924,F_ProductBM!$P:$P,0))="","",INDEX(F_ProductBM!M:M,MATCH($P924,F_ProductBM!$P:$P,0))))</f>
        <v/>
      </c>
      <c r="N924" s="342"/>
      <c r="O924" s="17"/>
      <c r="P924" s="341" t="str">
        <f>EUconst_CNTR_WGProduced &amp; I889</f>
        <v>WasteGasProd_</v>
      </c>
      <c r="T924" s="9"/>
    </row>
    <row r="925" spans="2:20" x14ac:dyDescent="0.25">
      <c r="B925" s="17"/>
      <c r="C925" s="17"/>
      <c r="D925" s="17"/>
      <c r="E925" s="1527" t="str">
        <f>Translations!$B$779</f>
        <v>Specific EF (produced waste gas)</v>
      </c>
      <c r="F925" s="1527"/>
      <c r="G925" s="1527"/>
      <c r="H925" s="343" t="str">
        <f>EUconst_tCO2pTJ</f>
        <v>t CO2 / TJ</v>
      </c>
      <c r="I925" s="437" t="str">
        <f>IF($I889="","",IF(INDEX(F_ProductBM!I:I,MATCH($P925,F_ProductBM!$P:$P,0))="","",INDEX(F_ProductBM!I:I,MATCH($P925,F_ProductBM!$P:$P,0))))</f>
        <v/>
      </c>
      <c r="J925" s="437" t="str">
        <f>IF($I889="","",IF(INDEX(F_ProductBM!J:J,MATCH($P925,F_ProductBM!$P:$P,0))="","",INDEX(F_ProductBM!J:J,MATCH($P925,F_ProductBM!$P:$P,0))))</f>
        <v/>
      </c>
      <c r="K925" s="437" t="str">
        <f>IF($I889="","",IF(INDEX(F_ProductBM!K:K,MATCH($P925,F_ProductBM!$P:$P,0))="","",INDEX(F_ProductBM!K:K,MATCH($P925,F_ProductBM!$P:$P,0))))</f>
        <v/>
      </c>
      <c r="L925" s="437" t="str">
        <f>IF($I889="","",IF(INDEX(F_ProductBM!L:L,MATCH($P925,F_ProductBM!$P:$P,0))="","",INDEX(F_ProductBM!L:L,MATCH($P925,F_ProductBM!$P:$P,0))))</f>
        <v/>
      </c>
      <c r="M925" s="437" t="str">
        <f>IF($I889="","",IF(INDEX(F_ProductBM!M:M,MATCH($P925,F_ProductBM!$P:$P,0))="","",INDEX(F_ProductBM!M:M,MATCH($P925,F_ProductBM!$P:$P,0))))</f>
        <v/>
      </c>
      <c r="N925" s="342"/>
      <c r="O925" s="17"/>
      <c r="P925" s="116" t="str">
        <f>EUconst_CNTR_WGProducedEF &amp; I889</f>
        <v>WasteGasProdEF_</v>
      </c>
      <c r="T925" s="9"/>
    </row>
    <row r="926" spans="2:20" x14ac:dyDescent="0.25">
      <c r="B926" s="17"/>
      <c r="C926" s="17"/>
      <c r="D926" s="17"/>
      <c r="E926" s="1526" t="str">
        <f>Translations!$B$783</f>
        <v>Waste gas consumed</v>
      </c>
      <c r="F926" s="1526"/>
      <c r="G926" s="1526"/>
      <c r="H926" s="939" t="str">
        <f>EUconst_TJpa</f>
        <v>TJ / year</v>
      </c>
      <c r="I926" s="436" t="str">
        <f>IF($I889="","",IF(INDEX(F_ProductBM!I:I,MATCH($P926,F_ProductBM!$P:$P,0))="","",INDEX(F_ProductBM!I:I,MATCH($P926,F_ProductBM!$P:$P,0))))</f>
        <v/>
      </c>
      <c r="J926" s="436" t="str">
        <f>IF($I889="","",IF(INDEX(F_ProductBM!J:J,MATCH($P926,F_ProductBM!$P:$P,0))="","",INDEX(F_ProductBM!J:J,MATCH($P926,F_ProductBM!$P:$P,0))))</f>
        <v/>
      </c>
      <c r="K926" s="436" t="str">
        <f>IF($I889="","",IF(INDEX(F_ProductBM!K:K,MATCH($P926,F_ProductBM!$P:$P,0))="","",INDEX(F_ProductBM!K:K,MATCH($P926,F_ProductBM!$P:$P,0))))</f>
        <v/>
      </c>
      <c r="L926" s="436" t="str">
        <f>IF($I889="","",IF(INDEX(F_ProductBM!L:L,MATCH($P926,F_ProductBM!$P:$P,0))="","",INDEX(F_ProductBM!L:L,MATCH($P926,F_ProductBM!$P:$P,0))))</f>
        <v/>
      </c>
      <c r="M926" s="436" t="str">
        <f>IF($I889="","",IF(INDEX(F_ProductBM!M:M,MATCH($P926,F_ProductBM!$P:$P,0))="","",INDEX(F_ProductBM!M:M,MATCH($P926,F_ProductBM!$P:$P,0))))</f>
        <v/>
      </c>
      <c r="N926" s="342"/>
      <c r="O926" s="17"/>
      <c r="P926" s="116" t="str">
        <f>EUconst_CNTR_WGConsumed &amp; I889</f>
        <v>WasteGasCons_</v>
      </c>
      <c r="T926" s="9"/>
    </row>
    <row r="927" spans="2:20" x14ac:dyDescent="0.25">
      <c r="B927" s="17"/>
      <c r="C927" s="17"/>
      <c r="D927" s="17"/>
      <c r="E927" s="1527" t="str">
        <f>Translations!$B$784</f>
        <v>Specific EF (consumed waste gas)</v>
      </c>
      <c r="F927" s="1527"/>
      <c r="G927" s="1527"/>
      <c r="H927" s="343" t="str">
        <f>EUconst_tCO2pTJ</f>
        <v>t CO2 / TJ</v>
      </c>
      <c r="I927" s="437" t="str">
        <f>IF($I889="","",IF(INDEX(F_ProductBM!I:I,MATCH($P927,F_ProductBM!$P:$P,0))="","",INDEX(F_ProductBM!I:I,MATCH($P927,F_ProductBM!$P:$P,0))))</f>
        <v/>
      </c>
      <c r="J927" s="437" t="str">
        <f>IF($I889="","",IF(INDEX(F_ProductBM!J:J,MATCH($P927,F_ProductBM!$P:$P,0))="","",INDEX(F_ProductBM!J:J,MATCH($P927,F_ProductBM!$P:$P,0))))</f>
        <v/>
      </c>
      <c r="K927" s="437" t="str">
        <f>IF($I889="","",IF(INDEX(F_ProductBM!K:K,MATCH($P927,F_ProductBM!$P:$P,0))="","",INDEX(F_ProductBM!K:K,MATCH($P927,F_ProductBM!$P:$P,0))))</f>
        <v/>
      </c>
      <c r="L927" s="437" t="str">
        <f>IF($I889="","",IF(INDEX(F_ProductBM!L:L,MATCH($P927,F_ProductBM!$P:$P,0))="","",INDEX(F_ProductBM!L:L,MATCH($P927,F_ProductBM!$P:$P,0))))</f>
        <v/>
      </c>
      <c r="M927" s="437" t="str">
        <f>IF($I889="","",IF(INDEX(F_ProductBM!M:M,MATCH($P927,F_ProductBM!$P:$P,0))="","",INDEX(F_ProductBM!M:M,MATCH($P927,F_ProductBM!$P:$P,0))))</f>
        <v/>
      </c>
      <c r="N927" s="342"/>
      <c r="O927" s="17"/>
      <c r="P927" s="116" t="str">
        <f>EUconst_CNTR_WGConsumedEF &amp; I889</f>
        <v>WasteGasConsEF_</v>
      </c>
      <c r="T927" s="9"/>
    </row>
    <row r="928" spans="2:20" x14ac:dyDescent="0.25">
      <c r="B928" s="17"/>
      <c r="C928" s="17"/>
      <c r="D928" s="17"/>
      <c r="E928" s="1526" t="str">
        <f>Translations!$B$790</f>
        <v>Waste gas flared</v>
      </c>
      <c r="F928" s="1526"/>
      <c r="G928" s="1526"/>
      <c r="H928" s="939" t="str">
        <f>EUconst_TJpa</f>
        <v>TJ / year</v>
      </c>
      <c r="I928" s="436" t="str">
        <f>IF($I889="","",IF(INDEX(F_ProductBM!I:I,MATCH($P928,F_ProductBM!$P:$P,0))="","",INDEX(F_ProductBM!I:I,MATCH($P928,F_ProductBM!$P:$P,0))))</f>
        <v/>
      </c>
      <c r="J928" s="436" t="str">
        <f>IF($I889="","",IF(INDEX(F_ProductBM!J:J,MATCH($P928,F_ProductBM!$P:$P,0))="","",INDEX(F_ProductBM!J:J,MATCH($P928,F_ProductBM!$P:$P,0))))</f>
        <v/>
      </c>
      <c r="K928" s="436" t="str">
        <f>IF($I889="","",IF(INDEX(F_ProductBM!K:K,MATCH($P928,F_ProductBM!$P:$P,0))="","",INDEX(F_ProductBM!K:K,MATCH($P928,F_ProductBM!$P:$P,0))))</f>
        <v/>
      </c>
      <c r="L928" s="436" t="str">
        <f>IF($I889="","",IF(INDEX(F_ProductBM!L:L,MATCH($P928,F_ProductBM!$P:$P,0))="","",INDEX(F_ProductBM!L:L,MATCH($P928,F_ProductBM!$P:$P,0))))</f>
        <v/>
      </c>
      <c r="M928" s="436" t="str">
        <f>IF($I889="","",IF(INDEX(F_ProductBM!M:M,MATCH($P928,F_ProductBM!$P:$P,0))="","",INDEX(F_ProductBM!M:M,MATCH($P928,F_ProductBM!$P:$P,0))))</f>
        <v/>
      </c>
      <c r="N928" s="342"/>
      <c r="O928" s="17"/>
      <c r="P928" s="116" t="str">
        <f>EUconst_CNTR_WGFlared &amp; I889</f>
        <v>WasteGasFlare_</v>
      </c>
      <c r="T928" s="9"/>
    </row>
    <row r="929" spans="2:20" x14ac:dyDescent="0.25">
      <c r="B929" s="17"/>
      <c r="C929" s="17"/>
      <c r="D929" s="17"/>
      <c r="E929" s="1527" t="str">
        <f>Translations!$B$791</f>
        <v>Specific EF (flared waste gas)</v>
      </c>
      <c r="F929" s="1527"/>
      <c r="G929" s="1527"/>
      <c r="H929" s="343" t="str">
        <f>EUconst_tCO2pTJ</f>
        <v>t CO2 / TJ</v>
      </c>
      <c r="I929" s="437" t="str">
        <f>IF($I889="","",IF(INDEX(F_ProductBM!I:I,MATCH($P929,F_ProductBM!$P:$P,0))="","",INDEX(F_ProductBM!I:I,MATCH($P929,F_ProductBM!$P:$P,0))))</f>
        <v/>
      </c>
      <c r="J929" s="437" t="str">
        <f>IF($I889="","",IF(INDEX(F_ProductBM!J:J,MATCH($P929,F_ProductBM!$P:$P,0))="","",INDEX(F_ProductBM!J:J,MATCH($P929,F_ProductBM!$P:$P,0))))</f>
        <v/>
      </c>
      <c r="K929" s="437" t="str">
        <f>IF($I889="","",IF(INDEX(F_ProductBM!K:K,MATCH($P929,F_ProductBM!$P:$P,0))="","",INDEX(F_ProductBM!K:K,MATCH($P929,F_ProductBM!$P:$P,0))))</f>
        <v/>
      </c>
      <c r="L929" s="437" t="str">
        <f>IF($I889="","",IF(INDEX(F_ProductBM!L:L,MATCH($P929,F_ProductBM!$P:$P,0))="","",INDEX(F_ProductBM!L:L,MATCH($P929,F_ProductBM!$P:$P,0))))</f>
        <v/>
      </c>
      <c r="M929" s="437" t="str">
        <f>IF($I889="","",IF(INDEX(F_ProductBM!M:M,MATCH($P929,F_ProductBM!$P:$P,0))="","",INDEX(F_ProductBM!M:M,MATCH($P929,F_ProductBM!$P:$P,0))))</f>
        <v/>
      </c>
      <c r="N929" s="342"/>
      <c r="O929" s="17"/>
      <c r="P929" s="116" t="str">
        <f>EUconst_CNTR_WGFlaredEF &amp; I889</f>
        <v>WasteGasFlareEF_</v>
      </c>
      <c r="T929" s="9"/>
    </row>
    <row r="930" spans="2:20" x14ac:dyDescent="0.25">
      <c r="B930" s="17"/>
      <c r="C930" s="17"/>
      <c r="D930" s="17"/>
      <c r="E930" s="1526" t="str">
        <f>Translations!$B$796</f>
        <v>Waste gas imported</v>
      </c>
      <c r="F930" s="1526"/>
      <c r="G930" s="1526"/>
      <c r="H930" s="939" t="str">
        <f>EUconst_TJpa</f>
        <v>TJ / year</v>
      </c>
      <c r="I930" s="436" t="str">
        <f>IF($I889="","",IF(INDEX(F_ProductBM!I:I,MATCH($P930,F_ProductBM!$P:$P,0))="","",INDEX(F_ProductBM!I:I,MATCH($P930,F_ProductBM!$P:$P,0))))</f>
        <v/>
      </c>
      <c r="J930" s="436" t="str">
        <f>IF($I889="","",IF(INDEX(F_ProductBM!J:J,MATCH($P930,F_ProductBM!$P:$P,0))="","",INDEX(F_ProductBM!J:J,MATCH($P930,F_ProductBM!$P:$P,0))))</f>
        <v/>
      </c>
      <c r="K930" s="436" t="str">
        <f>IF($I889="","",IF(INDEX(F_ProductBM!K:K,MATCH($P930,F_ProductBM!$P:$P,0))="","",INDEX(F_ProductBM!K:K,MATCH($P930,F_ProductBM!$P:$P,0))))</f>
        <v/>
      </c>
      <c r="L930" s="436" t="str">
        <f>IF($I889="","",IF(INDEX(F_ProductBM!L:L,MATCH($P930,F_ProductBM!$P:$P,0))="","",INDEX(F_ProductBM!L:L,MATCH($P930,F_ProductBM!$P:$P,0))))</f>
        <v/>
      </c>
      <c r="M930" s="436" t="str">
        <f>IF($I889="","",IF(INDEX(F_ProductBM!M:M,MATCH($P930,F_ProductBM!$P:$P,0))="","",INDEX(F_ProductBM!M:M,MATCH($P930,F_ProductBM!$P:$P,0))))</f>
        <v/>
      </c>
      <c r="N930" s="342"/>
      <c r="O930" s="17"/>
      <c r="P930" s="116" t="str">
        <f>EUconst_CNTR_WGImport &amp; I889</f>
        <v>WasteGasIm_</v>
      </c>
      <c r="T930" s="9"/>
    </row>
    <row r="931" spans="2:20" x14ac:dyDescent="0.25">
      <c r="B931" s="17"/>
      <c r="C931" s="17"/>
      <c r="D931" s="17"/>
      <c r="E931" s="1527" t="str">
        <f>Translations!$B$797</f>
        <v>Specific EF (imported waste gas)</v>
      </c>
      <c r="F931" s="1527"/>
      <c r="G931" s="1527"/>
      <c r="H931" s="343" t="str">
        <f>EUconst_tCO2pTJ</f>
        <v>t CO2 / TJ</v>
      </c>
      <c r="I931" s="437" t="str">
        <f>IF($I889="","",IF(INDEX(F_ProductBM!I:I,MATCH($P931,F_ProductBM!$P:$P,0))="","",INDEX(F_ProductBM!I:I,MATCH($P931,F_ProductBM!$P:$P,0))))</f>
        <v/>
      </c>
      <c r="J931" s="437" t="str">
        <f>IF($I889="","",IF(INDEX(F_ProductBM!J:J,MATCH($P931,F_ProductBM!$P:$P,0))="","",INDEX(F_ProductBM!J:J,MATCH($P931,F_ProductBM!$P:$P,0))))</f>
        <v/>
      </c>
      <c r="K931" s="437" t="str">
        <f>IF($I889="","",IF(INDEX(F_ProductBM!K:K,MATCH($P931,F_ProductBM!$P:$P,0))="","",INDEX(F_ProductBM!K:K,MATCH($P931,F_ProductBM!$P:$P,0))))</f>
        <v/>
      </c>
      <c r="L931" s="437" t="str">
        <f>IF($I889="","",IF(INDEX(F_ProductBM!L:L,MATCH($P931,F_ProductBM!$P:$P,0))="","",INDEX(F_ProductBM!L:L,MATCH($P931,F_ProductBM!$P:$P,0))))</f>
        <v/>
      </c>
      <c r="M931" s="437" t="str">
        <f>IF($I889="","",IF(INDEX(F_ProductBM!M:M,MATCH($P931,F_ProductBM!$P:$P,0))="","",INDEX(F_ProductBM!M:M,MATCH($P931,F_ProductBM!$P:$P,0))))</f>
        <v/>
      </c>
      <c r="N931" s="342"/>
      <c r="O931" s="17"/>
      <c r="P931" s="116" t="str">
        <f>EUconst_CNTR_WGImportEF &amp; I889</f>
        <v>WasteGasImEF_</v>
      </c>
      <c r="T931" s="9"/>
    </row>
    <row r="932" spans="2:20" x14ac:dyDescent="0.25">
      <c r="B932" s="17"/>
      <c r="C932" s="17"/>
      <c r="D932" s="17"/>
      <c r="E932" s="1526" t="str">
        <f>Translations!$B$801</f>
        <v>Waste gas exported</v>
      </c>
      <c r="F932" s="1526"/>
      <c r="G932" s="1526"/>
      <c r="H932" s="939" t="str">
        <f>EUconst_TJpa</f>
        <v>TJ / year</v>
      </c>
      <c r="I932" s="436" t="str">
        <f>IF($I889="","",IF(INDEX(F_ProductBM!I:I,MATCH($P932,F_ProductBM!$P:$P,0))="","",INDEX(F_ProductBM!I:I,MATCH($P932,F_ProductBM!$P:$P,0))))</f>
        <v/>
      </c>
      <c r="J932" s="436" t="str">
        <f>IF($I889="","",IF(INDEX(F_ProductBM!J:J,MATCH($P932,F_ProductBM!$P:$P,0))="","",INDEX(F_ProductBM!J:J,MATCH($P932,F_ProductBM!$P:$P,0))))</f>
        <v/>
      </c>
      <c r="K932" s="436" t="str">
        <f>IF($I889="","",IF(INDEX(F_ProductBM!K:K,MATCH($P932,F_ProductBM!$P:$P,0))="","",INDEX(F_ProductBM!K:K,MATCH($P932,F_ProductBM!$P:$P,0))))</f>
        <v/>
      </c>
      <c r="L932" s="436" t="str">
        <f>IF($I889="","",IF(INDEX(F_ProductBM!L:L,MATCH($P932,F_ProductBM!$P:$P,0))="","",INDEX(F_ProductBM!L:L,MATCH($P932,F_ProductBM!$P:$P,0))))</f>
        <v/>
      </c>
      <c r="M932" s="436" t="str">
        <f>IF($I889="","",IF(INDEX(F_ProductBM!M:M,MATCH($P932,F_ProductBM!$P:$P,0))="","",INDEX(F_ProductBM!M:M,MATCH($P932,F_ProductBM!$P:$P,0))))</f>
        <v/>
      </c>
      <c r="N932" s="342"/>
      <c r="O932" s="17"/>
      <c r="P932" s="116" t="str">
        <f>EUconst_CNTR_WGExport &amp; I889</f>
        <v>WasteGasEx_</v>
      </c>
      <c r="T932" s="9"/>
    </row>
    <row r="933" spans="2:20" x14ac:dyDescent="0.25">
      <c r="B933" s="17"/>
      <c r="C933" s="17"/>
      <c r="D933" s="17"/>
      <c r="E933" s="1527" t="str">
        <f>Translations!$B$802</f>
        <v>Specific EF (exported waste gas)</v>
      </c>
      <c r="F933" s="1527"/>
      <c r="G933" s="1527"/>
      <c r="H933" s="343" t="str">
        <f>EUconst_tCO2pTJ</f>
        <v>t CO2 / TJ</v>
      </c>
      <c r="I933" s="437" t="str">
        <f>IF($I889="","",IF(INDEX(F_ProductBM!I:I,MATCH($P933,F_ProductBM!$P:$P,0))="","",INDEX(F_ProductBM!I:I,MATCH($P933,F_ProductBM!$P:$P,0))))</f>
        <v/>
      </c>
      <c r="J933" s="437" t="str">
        <f>IF($I889="","",IF(INDEX(F_ProductBM!J:J,MATCH($P933,F_ProductBM!$P:$P,0))="","",INDEX(F_ProductBM!J:J,MATCH($P933,F_ProductBM!$P:$P,0))))</f>
        <v/>
      </c>
      <c r="K933" s="437" t="str">
        <f>IF($I889="","",IF(INDEX(F_ProductBM!K:K,MATCH($P933,F_ProductBM!$P:$P,0))="","",INDEX(F_ProductBM!K:K,MATCH($P933,F_ProductBM!$P:$P,0))))</f>
        <v/>
      </c>
      <c r="L933" s="437" t="str">
        <f>IF($I889="","",IF(INDEX(F_ProductBM!L:L,MATCH($P933,F_ProductBM!$P:$P,0))="","",INDEX(F_ProductBM!L:L,MATCH($P933,F_ProductBM!$P:$P,0))))</f>
        <v/>
      </c>
      <c r="M933" s="437" t="str">
        <f>IF($I889="","",IF(INDEX(F_ProductBM!M:M,MATCH($P933,F_ProductBM!$P:$P,0))="","",INDEX(F_ProductBM!M:M,MATCH($P933,F_ProductBM!$P:$P,0))))</f>
        <v/>
      </c>
      <c r="N933" s="342"/>
      <c r="O933" s="17"/>
      <c r="P933" s="116" t="str">
        <f>EUconst_CNTR_WGExportEF &amp; I889</f>
        <v>WasteGasExEF_</v>
      </c>
      <c r="T933" s="9"/>
    </row>
    <row r="934" spans="2:20" ht="5.0999999999999996" customHeight="1" x14ac:dyDescent="0.25">
      <c r="B934" s="17"/>
      <c r="C934" s="17"/>
      <c r="D934" s="17"/>
      <c r="E934" s="193"/>
      <c r="F934" s="193"/>
      <c r="G934" s="193"/>
      <c r="H934" s="193"/>
      <c r="I934" s="438"/>
      <c r="J934" s="438"/>
      <c r="K934" s="438"/>
      <c r="L934" s="438"/>
      <c r="M934" s="438"/>
      <c r="N934" s="342"/>
      <c r="O934" s="17"/>
      <c r="P934" s="9"/>
      <c r="T934" s="9"/>
    </row>
    <row r="935" spans="2:20" x14ac:dyDescent="0.25">
      <c r="B935" s="17"/>
      <c r="C935" s="17"/>
      <c r="D935" s="17"/>
      <c r="E935" s="1528" t="str">
        <f>Translations!$B$689</f>
        <v>Relevant electricity consumption</v>
      </c>
      <c r="F935" s="1528"/>
      <c r="G935" s="1528"/>
      <c r="H935" s="154" t="str">
        <f>EUconst_MWhpa</f>
        <v>MWh / year</v>
      </c>
      <c r="I935" s="439" t="str">
        <f>IF($I889="","",IF(INDEX(F_ProductBM!I:I,MATCH($P935,F_ProductBM!$Q:$Q,0))="","",INDEX(F_ProductBM!I:I,MATCH($P935,F_ProductBM!$Q:$Q,0))))</f>
        <v/>
      </c>
      <c r="J935" s="439" t="str">
        <f>IF($I889="","",IF(INDEX(F_ProductBM!J:J,MATCH($P935,F_ProductBM!$Q:$Q,0))="","",INDEX(F_ProductBM!J:J,MATCH($P935,F_ProductBM!$Q:$Q,0))))</f>
        <v/>
      </c>
      <c r="K935" s="439" t="str">
        <f>IF($I889="","",IF(INDEX(F_ProductBM!K:K,MATCH($P935,F_ProductBM!$Q:$Q,0))="","",INDEX(F_ProductBM!K:K,MATCH($P935,F_ProductBM!$Q:$Q,0))))</f>
        <v/>
      </c>
      <c r="L935" s="439" t="str">
        <f>IF($I889="","",IF(INDEX(F_ProductBM!L:L,MATCH($P935,F_ProductBM!$Q:$Q,0))="","",INDEX(F_ProductBM!L:L,MATCH($P935,F_ProductBM!$Q:$Q,0))))</f>
        <v/>
      </c>
      <c r="M935" s="439" t="str">
        <f>IF($I889="","",IF(INDEX(F_ProductBM!M:M,MATCH($P935,F_ProductBM!$Q:$Q,0))="","",INDEX(F_ProductBM!M:M,MATCH($P935,F_ProductBM!$Q:$Q,0))))</f>
        <v/>
      </c>
      <c r="N935" s="342"/>
      <c r="O935" s="17"/>
      <c r="P935" s="63" t="str">
        <f>EUconst_CNTR_HAL&amp;EUconst_CNTR_ELEXCH &amp; I889</f>
        <v>HAL_ELEXCH_</v>
      </c>
      <c r="T935" s="9"/>
    </row>
    <row r="936" spans="2:20" x14ac:dyDescent="0.25">
      <c r="B936" s="17"/>
      <c r="C936" s="17"/>
      <c r="D936" s="17"/>
      <c r="E936" s="1528" t="str">
        <f>Translations!$B$805</f>
        <v>Electricity produced</v>
      </c>
      <c r="F936" s="1528"/>
      <c r="G936" s="1528"/>
      <c r="H936" s="154" t="str">
        <f>EUconst_MWhpa</f>
        <v>MWh / year</v>
      </c>
      <c r="I936" s="439" t="str">
        <f>IF($I889="","",IF(INDEX(F_ProductBM!I:I,MATCH($P936,F_ProductBM!$P:$P,0))="","",INDEX(F_ProductBM!I:I,MATCH($P936,F_ProductBM!$P:$P,0))))</f>
        <v/>
      </c>
      <c r="J936" s="439" t="str">
        <f>IF($I889="","",IF(INDEX(F_ProductBM!J:J,MATCH($P936,F_ProductBM!$P:$P,0))="","",INDEX(F_ProductBM!J:J,MATCH($P936,F_ProductBM!$P:$P,0))))</f>
        <v/>
      </c>
      <c r="K936" s="439" t="str">
        <f>IF($I889="","",IF(INDEX(F_ProductBM!K:K,MATCH($P936,F_ProductBM!$P:$P,0))="","",INDEX(F_ProductBM!K:K,MATCH($P936,F_ProductBM!$P:$P,0))))</f>
        <v/>
      </c>
      <c r="L936" s="439" t="str">
        <f>IF($I889="","",IF(INDEX(F_ProductBM!L:L,MATCH($P936,F_ProductBM!$P:$P,0))="","",INDEX(F_ProductBM!L:L,MATCH($P936,F_ProductBM!$P:$P,0))))</f>
        <v/>
      </c>
      <c r="M936" s="439" t="str">
        <f>IF($I889="","",IF(INDEX(F_ProductBM!M:M,MATCH($P936,F_ProductBM!$P:$P,0))="","",INDEX(F_ProductBM!M:M,MATCH($P936,F_ProductBM!$P:$P,0))))</f>
        <v/>
      </c>
      <c r="N936" s="342"/>
      <c r="O936" s="17"/>
      <c r="P936" s="116" t="str">
        <f>EUconst_CNTR_ElectricityExported &amp; I889</f>
        <v>ElecEx_</v>
      </c>
      <c r="T936" s="9"/>
    </row>
    <row r="937" spans="2:20" ht="5.0999999999999996" customHeight="1" x14ac:dyDescent="0.25">
      <c r="B937" s="17"/>
      <c r="C937" s="17"/>
      <c r="D937" s="17"/>
      <c r="E937" s="193"/>
      <c r="F937" s="193"/>
      <c r="G937" s="193"/>
      <c r="H937" s="193"/>
      <c r="I937" s="438"/>
      <c r="J937" s="438"/>
      <c r="K937" s="438"/>
      <c r="L937" s="438"/>
      <c r="M937" s="438"/>
      <c r="N937" s="342"/>
      <c r="O937" s="17"/>
      <c r="P937" s="9"/>
      <c r="T937" s="9"/>
    </row>
    <row r="938" spans="2:20" x14ac:dyDescent="0.25">
      <c r="B938" s="17"/>
      <c r="C938" s="17"/>
      <c r="D938" s="17"/>
      <c r="E938" s="1528" t="str">
        <f>Translations!$B$806</f>
        <v>Total amount of pulp produced</v>
      </c>
      <c r="F938" s="1528"/>
      <c r="G938" s="1528"/>
      <c r="H938" s="154" t="str">
        <f>EUconst_Tons</f>
        <v>tonnes</v>
      </c>
      <c r="I938" s="439" t="str">
        <f>IF($I889="","",IF(INDEX(F_ProductBM!I:I,MATCH($P938,F_ProductBM!$P:$P,0))="","",INDEX(F_ProductBM!I:I,MATCH($P938,F_ProductBM!$P:$P,0))))</f>
        <v/>
      </c>
      <c r="J938" s="439" t="str">
        <f>IF($I889="","",IF(INDEX(F_ProductBM!J:J,MATCH($P938,F_ProductBM!$P:$P,0))="","",INDEX(F_ProductBM!J:J,MATCH($P938,F_ProductBM!$P:$P,0))))</f>
        <v/>
      </c>
      <c r="K938" s="439" t="str">
        <f>IF($I889="","",IF(INDEX(F_ProductBM!K:K,MATCH($P938,F_ProductBM!$P:$P,0))="","",INDEX(F_ProductBM!K:K,MATCH($P938,F_ProductBM!$P:$P,0))))</f>
        <v/>
      </c>
      <c r="L938" s="439" t="str">
        <f>IF($I889="","",IF(INDEX(F_ProductBM!L:L,MATCH($P938,F_ProductBM!$P:$P,0))="","",INDEX(F_ProductBM!L:L,MATCH($P938,F_ProductBM!$P:$P,0))))</f>
        <v/>
      </c>
      <c r="M938" s="439" t="str">
        <f>IF($I889="","",IF(INDEX(F_ProductBM!M:M,MATCH($P938,F_ProductBM!$P:$P,0))="","",INDEX(F_ProductBM!M:M,MATCH($P938,F_ProductBM!$P:$P,0))))</f>
        <v/>
      </c>
      <c r="N938" s="342"/>
      <c r="O938" s="17"/>
      <c r="P938" s="116" t="str">
        <f>EUconst_CNTR_HALPulpTotal &amp; I889</f>
        <v>HALPulpTotal_</v>
      </c>
      <c r="T938" s="9"/>
    </row>
    <row r="939" spans="2:20" ht="5.0999999999999996" customHeight="1" x14ac:dyDescent="0.25">
      <c r="B939" s="17"/>
      <c r="C939" s="17"/>
      <c r="D939" s="17"/>
      <c r="E939" s="193"/>
      <c r="F939" s="193"/>
      <c r="G939" s="193"/>
      <c r="H939" s="193"/>
      <c r="I939" s="438"/>
      <c r="J939" s="438"/>
      <c r="K939" s="438"/>
      <c r="L939" s="438"/>
      <c r="M939" s="438"/>
      <c r="N939" s="342"/>
      <c r="O939" s="17"/>
      <c r="P939" s="9"/>
      <c r="T939" s="9"/>
    </row>
    <row r="940" spans="2:20" x14ac:dyDescent="0.25">
      <c r="B940" s="17"/>
      <c r="C940" s="17"/>
      <c r="D940" s="17"/>
      <c r="E940" s="605" t="str">
        <f>Translations!$B$1239</f>
        <v>Intermediate import:</v>
      </c>
      <c r="F940" s="193"/>
      <c r="G940" s="193"/>
      <c r="H940" s="193"/>
      <c r="I940" s="438"/>
      <c r="J940" s="438"/>
      <c r="K940" s="438"/>
      <c r="L940" s="438"/>
      <c r="M940" s="438"/>
      <c r="N940" s="342"/>
      <c r="O940" s="17"/>
      <c r="P940" s="9"/>
      <c r="T940" s="9"/>
    </row>
    <row r="941" spans="2:20" x14ac:dyDescent="0.25">
      <c r="B941" s="17"/>
      <c r="C941" s="17"/>
      <c r="D941" s="17"/>
      <c r="E941" s="1510" t="str">
        <f>IF($I889="","",IF(INDEX(F_ProductBM!E:E,MATCH($P941,F_ProductBM!$P:$P,0))="","",INDEX(F_ProductBM!E:E,MATCH($P941,F_ProductBM!$P:$P,0))))</f>
        <v/>
      </c>
      <c r="F941" s="1510"/>
      <c r="G941" s="1510"/>
      <c r="H941" s="154" t="str">
        <f>EUconst_Tons</f>
        <v>tonnes</v>
      </c>
      <c r="I941" s="439" t="str">
        <f>IF($I889="","",IF(INDEX(F_ProductBM!I:I,MATCH($P941,F_ProductBM!$P:$P,0))="","",INDEX(F_ProductBM!I:I,MATCH($P941,F_ProductBM!$P:$P,0))))</f>
        <v/>
      </c>
      <c r="J941" s="439" t="str">
        <f>IF($I889="","",IF(INDEX(F_ProductBM!J:J,MATCH($P941,F_ProductBM!$P:$P,0))="","",INDEX(F_ProductBM!J:J,MATCH($P941,F_ProductBM!$P:$P,0))))</f>
        <v/>
      </c>
      <c r="K941" s="439" t="str">
        <f>IF($I889="","",IF(INDEX(F_ProductBM!K:K,MATCH($P941,F_ProductBM!$P:$P,0))="","",INDEX(F_ProductBM!K:K,MATCH($P941,F_ProductBM!$P:$P,0))))</f>
        <v/>
      </c>
      <c r="L941" s="439" t="str">
        <f>IF($I889="","",IF(INDEX(F_ProductBM!L:L,MATCH($P941,F_ProductBM!$P:$P,0))="","",INDEX(F_ProductBM!L:L,MATCH($P941,F_ProductBM!$P:$P,0))))</f>
        <v/>
      </c>
      <c r="M941" s="439" t="str">
        <f>IF($I889="","",IF(INDEX(F_ProductBM!M:M,MATCH($P941,F_ProductBM!$P:$P,0))="","",INDEX(F_ProductBM!M:M,MATCH($P941,F_ProductBM!$P:$P,0))))</f>
        <v/>
      </c>
      <c r="N941" s="342"/>
      <c r="O941" s="17"/>
      <c r="P941" s="116" t="str">
        <f>EUconst_CNTR_IntermediateImport &amp; R941 &amp; "_" &amp; I889</f>
        <v>IntImp_1_</v>
      </c>
      <c r="R941" s="372">
        <v>1</v>
      </c>
      <c r="T941" s="9"/>
    </row>
    <row r="942" spans="2:20" x14ac:dyDescent="0.25">
      <c r="B942" s="17"/>
      <c r="C942" s="17"/>
      <c r="D942" s="17"/>
      <c r="E942" s="1510" t="str">
        <f>IF($I889="","",IF(INDEX(F_ProductBM!E:E,MATCH($P942,F_ProductBM!$P:$P,0))="","",INDEX(F_ProductBM!E:E,MATCH($P942,F_ProductBM!$P:$P,0))))</f>
        <v/>
      </c>
      <c r="F942" s="1510"/>
      <c r="G942" s="1510"/>
      <c r="H942" s="154" t="str">
        <f>EUconst_Tons</f>
        <v>tonnes</v>
      </c>
      <c r="I942" s="439" t="str">
        <f>IF($I889="","",IF(INDEX(F_ProductBM!I:I,MATCH($P942,F_ProductBM!$P:$P,0))="","",INDEX(F_ProductBM!I:I,MATCH($P942,F_ProductBM!$P:$P,0))))</f>
        <v/>
      </c>
      <c r="J942" s="439" t="str">
        <f>IF($I889="","",IF(INDEX(F_ProductBM!J:J,MATCH($P942,F_ProductBM!$P:$P,0))="","",INDEX(F_ProductBM!J:J,MATCH($P942,F_ProductBM!$P:$P,0))))</f>
        <v/>
      </c>
      <c r="K942" s="439" t="str">
        <f>IF($I889="","",IF(INDEX(F_ProductBM!K:K,MATCH($P942,F_ProductBM!$P:$P,0))="","",INDEX(F_ProductBM!K:K,MATCH($P942,F_ProductBM!$P:$P,0))))</f>
        <v/>
      </c>
      <c r="L942" s="439" t="str">
        <f>IF($I889="","",IF(INDEX(F_ProductBM!L:L,MATCH($P942,F_ProductBM!$P:$P,0))="","",INDEX(F_ProductBM!L:L,MATCH($P942,F_ProductBM!$P:$P,0))))</f>
        <v/>
      </c>
      <c r="M942" s="439" t="str">
        <f>IF($I889="","",IF(INDEX(F_ProductBM!M:M,MATCH($P942,F_ProductBM!$P:$P,0))="","",INDEX(F_ProductBM!M:M,MATCH($P942,F_ProductBM!$P:$P,0))))</f>
        <v/>
      </c>
      <c r="N942" s="342"/>
      <c r="O942" s="17"/>
      <c r="P942" s="116" t="str">
        <f>EUconst_CNTR_IntermediateImport &amp; R942 &amp; "_" &amp; I889</f>
        <v>IntImp_2_</v>
      </c>
      <c r="R942" s="372">
        <v>2</v>
      </c>
      <c r="T942" s="9"/>
    </row>
    <row r="943" spans="2:20" x14ac:dyDescent="0.25">
      <c r="B943" s="17"/>
      <c r="C943" s="17"/>
      <c r="D943" s="17"/>
      <c r="E943" s="605" t="str">
        <f>Translations!$B$1240</f>
        <v>Intermediate export:</v>
      </c>
      <c r="F943" s="193"/>
      <c r="G943" s="193"/>
      <c r="H943" s="193"/>
      <c r="I943" s="438"/>
      <c r="J943" s="438"/>
      <c r="K943" s="438"/>
      <c r="L943" s="438"/>
      <c r="M943" s="438"/>
      <c r="N943" s="342"/>
      <c r="O943" s="17"/>
      <c r="P943" s="9"/>
      <c r="T943" s="9"/>
    </row>
    <row r="944" spans="2:20" x14ac:dyDescent="0.25">
      <c r="B944" s="17"/>
      <c r="C944" s="17"/>
      <c r="D944" s="17"/>
      <c r="E944" s="1510" t="str">
        <f>IF($I889="","",IF(INDEX(F_ProductBM!E:E,MATCH($P944,F_ProductBM!$P:$P,0))="","",INDEX(F_ProductBM!E:E,MATCH($P944,F_ProductBM!$P:$P,0))))</f>
        <v/>
      </c>
      <c r="F944" s="1510"/>
      <c r="G944" s="1510"/>
      <c r="H944" s="154" t="str">
        <f>EUconst_Tons</f>
        <v>tonnes</v>
      </c>
      <c r="I944" s="439" t="str">
        <f>IF($I889="","",IF(INDEX(F_ProductBM!I:I,MATCH($P944,F_ProductBM!$P:$P,0))="","",INDEX(F_ProductBM!I:I,MATCH($P944,F_ProductBM!$P:$P,0))))</f>
        <v/>
      </c>
      <c r="J944" s="439" t="str">
        <f>IF($I889="","",IF(INDEX(F_ProductBM!J:J,MATCH($P944,F_ProductBM!$P:$P,0))="","",INDEX(F_ProductBM!J:J,MATCH($P944,F_ProductBM!$P:$P,0))))</f>
        <v/>
      </c>
      <c r="K944" s="439" t="str">
        <f>IF($I889="","",IF(INDEX(F_ProductBM!K:K,MATCH($P944,F_ProductBM!$P:$P,0))="","",INDEX(F_ProductBM!K:K,MATCH($P944,F_ProductBM!$P:$P,0))))</f>
        <v/>
      </c>
      <c r="L944" s="439" t="str">
        <f>IF($I889="","",IF(INDEX(F_ProductBM!L:L,MATCH($P944,F_ProductBM!$P:$P,0))="","",INDEX(F_ProductBM!L:L,MATCH($P944,F_ProductBM!$P:$P,0))))</f>
        <v/>
      </c>
      <c r="M944" s="439" t="str">
        <f>IF($I889="","",IF(INDEX(F_ProductBM!M:M,MATCH($P944,F_ProductBM!$P:$P,0))="","",INDEX(F_ProductBM!M:M,MATCH($P944,F_ProductBM!$P:$P,0))))</f>
        <v/>
      </c>
      <c r="N944" s="342"/>
      <c r="O944" s="17"/>
      <c r="P944" s="116" t="str">
        <f>EUconst_CNTR_IntermediateExport &amp; R941 &amp; "_" &amp; I889</f>
        <v>IntExp_1_</v>
      </c>
      <c r="R944" s="372">
        <v>1</v>
      </c>
      <c r="T944" s="9"/>
    </row>
    <row r="945" spans="2:20" x14ac:dyDescent="0.25">
      <c r="B945" s="17"/>
      <c r="C945" s="17"/>
      <c r="D945" s="17"/>
      <c r="E945" s="1510" t="str">
        <f>IF($I889="","",IF(INDEX(F_ProductBM!E:E,MATCH($P945,F_ProductBM!$P:$P,0))="","",INDEX(F_ProductBM!E:E,MATCH($P945,F_ProductBM!$P:$P,0))))</f>
        <v/>
      </c>
      <c r="F945" s="1510"/>
      <c r="G945" s="1510"/>
      <c r="H945" s="154" t="str">
        <f>EUconst_Tons</f>
        <v>tonnes</v>
      </c>
      <c r="I945" s="439" t="str">
        <f>IF($I889="","",IF(INDEX(F_ProductBM!I:I,MATCH($P945,F_ProductBM!$P:$P,0))="","",INDEX(F_ProductBM!I:I,MATCH($P945,F_ProductBM!$P:$P,0))))</f>
        <v/>
      </c>
      <c r="J945" s="439" t="str">
        <f>IF($I889="","",IF(INDEX(F_ProductBM!J:J,MATCH($P945,F_ProductBM!$P:$P,0))="","",INDEX(F_ProductBM!J:J,MATCH($P945,F_ProductBM!$P:$P,0))))</f>
        <v/>
      </c>
      <c r="K945" s="439" t="str">
        <f>IF($I889="","",IF(INDEX(F_ProductBM!K:K,MATCH($P945,F_ProductBM!$P:$P,0))="","",INDEX(F_ProductBM!K:K,MATCH($P945,F_ProductBM!$P:$P,0))))</f>
        <v/>
      </c>
      <c r="L945" s="439" t="str">
        <f>IF($I889="","",IF(INDEX(F_ProductBM!L:L,MATCH($P945,F_ProductBM!$P:$P,0))="","",INDEX(F_ProductBM!L:L,MATCH($P945,F_ProductBM!$P:$P,0))))</f>
        <v/>
      </c>
      <c r="M945" s="439" t="str">
        <f>IF($I889="","",IF(INDEX(F_ProductBM!M:M,MATCH($P945,F_ProductBM!$P:$P,0))="","",INDEX(F_ProductBM!M:M,MATCH($P945,F_ProductBM!$P:$P,0))))</f>
        <v/>
      </c>
      <c r="N945" s="342"/>
      <c r="O945" s="17"/>
      <c r="P945" s="116" t="str">
        <f>EUconst_CNTR_IntermediateExport &amp; R945 &amp; "_" &amp; I889</f>
        <v>IntExp_2_</v>
      </c>
      <c r="R945" s="372">
        <v>2</v>
      </c>
      <c r="T945" s="9"/>
    </row>
    <row r="946" spans="2:20" ht="12.75" customHeight="1" x14ac:dyDescent="0.25">
      <c r="B946" s="17"/>
      <c r="C946" s="17"/>
      <c r="D946" s="17"/>
      <c r="E946" s="193"/>
      <c r="F946" s="193"/>
      <c r="G946" s="193"/>
      <c r="H946" s="193"/>
      <c r="I946" s="342"/>
      <c r="J946" s="342"/>
      <c r="K946" s="342"/>
      <c r="L946" s="342"/>
      <c r="M946" s="342"/>
      <c r="N946" s="342"/>
      <c r="O946" s="17"/>
      <c r="P946" s="9"/>
      <c r="T946" s="9"/>
    </row>
    <row r="947" spans="2:20" ht="5.0999999999999996" customHeight="1" thickBot="1" x14ac:dyDescent="0.3">
      <c r="B947" s="17"/>
      <c r="C947" s="17"/>
      <c r="D947" s="17"/>
      <c r="E947" s="445"/>
      <c r="F947" s="276"/>
      <c r="G947" s="276"/>
      <c r="H947" s="276"/>
      <c r="I947" s="276"/>
      <c r="J947" s="276"/>
      <c r="K947" s="276"/>
      <c r="L947" s="276"/>
      <c r="M947" s="276"/>
      <c r="N947" s="276"/>
      <c r="O947" s="17"/>
      <c r="T947" s="9"/>
    </row>
    <row r="948" spans="2:20" ht="5.0999999999999996" customHeight="1" thickBot="1" x14ac:dyDescent="0.3">
      <c r="B948" s="8"/>
      <c r="C948" s="906"/>
      <c r="D948" s="906"/>
      <c r="E948" s="906"/>
      <c r="F948" s="906"/>
      <c r="G948" s="906"/>
      <c r="H948" s="906"/>
      <c r="I948" s="906"/>
      <c r="J948" s="906"/>
      <c r="K948" s="906"/>
      <c r="L948" s="906"/>
      <c r="M948" s="906"/>
      <c r="N948" s="906"/>
      <c r="O948" s="17"/>
      <c r="T948" s="9" t="s">
        <v>644</v>
      </c>
    </row>
    <row r="949" spans="2:20" ht="15" customHeight="1" thickBot="1" x14ac:dyDescent="0.3">
      <c r="B949" s="17"/>
      <c r="C949" s="19">
        <f>C889+1</f>
        <v>9</v>
      </c>
      <c r="D949" s="1234" t="str">
        <f>CONCATENATE(EUconst_BMSubinst," ",C949, ":")</f>
        <v>Sub-installation with product benchmark 9:</v>
      </c>
      <c r="E949" s="1234"/>
      <c r="F949" s="1234"/>
      <c r="G949" s="1234"/>
      <c r="H949" s="1704"/>
      <c r="I949" s="1550" t="str">
        <f>IF(INDEX(CNTR_SubInstListIsProdBM,$C949),INDEX(CNTR_SubInstListNames,$C949),"")</f>
        <v/>
      </c>
      <c r="J949" s="1705"/>
      <c r="K949" s="1705"/>
      <c r="L949" s="1705"/>
      <c r="M949" s="1705"/>
      <c r="N949" s="1706"/>
      <c r="O949" s="17"/>
      <c r="Q949" s="427">
        <f>C949</f>
        <v>9</v>
      </c>
      <c r="R949" s="424" t="str">
        <f>I949</f>
        <v/>
      </c>
      <c r="S949" s="426" t="str">
        <f>H952</f>
        <v>N.A.</v>
      </c>
      <c r="T949" s="425" t="str">
        <f>IF(M961="","",IF(S952=0,0,SUM(M961)/S952))</f>
        <v/>
      </c>
    </row>
    <row r="950" spans="2:20" ht="5.0999999999999996" customHeight="1" thickBot="1" x14ac:dyDescent="0.3">
      <c r="B950" s="17"/>
      <c r="C950" s="17"/>
      <c r="D950" s="17"/>
      <c r="E950" s="17"/>
      <c r="F950" s="17"/>
      <c r="G950" s="17"/>
      <c r="H950" s="17"/>
      <c r="I950" s="17"/>
      <c r="J950" s="17"/>
      <c r="K950" s="17"/>
      <c r="L950" s="17"/>
      <c r="M950" s="17"/>
      <c r="N950" s="17"/>
      <c r="O950" s="17"/>
      <c r="T950" s="9"/>
    </row>
    <row r="951" spans="2:20" x14ac:dyDescent="0.25">
      <c r="B951" s="17"/>
      <c r="C951" s="17"/>
      <c r="D951" s="17"/>
      <c r="E951" s="17"/>
      <c r="F951" s="17"/>
      <c r="G951" s="17"/>
      <c r="H951" s="253" t="str">
        <f>Translations!$B$1204</f>
        <v>CL-exposed</v>
      </c>
      <c r="I951" s="254" t="s">
        <v>629</v>
      </c>
      <c r="J951" s="254" t="str">
        <f>Translations!$B$1208</f>
        <v>Started</v>
      </c>
      <c r="K951" s="254" t="str">
        <f>Translations!$B$1206</f>
        <v>No. of BM</v>
      </c>
      <c r="L951" s="329" t="str">
        <f>Translations!$B$1212</f>
        <v>15(7).3?</v>
      </c>
      <c r="M951" s="468" t="str">
        <f>Translations!$B$1234</f>
        <v>BM value (min/max/actual)</v>
      </c>
      <c r="N951" s="469"/>
      <c r="O951" s="17"/>
      <c r="T951" s="9"/>
    </row>
    <row r="952" spans="2:20" x14ac:dyDescent="0.25">
      <c r="B952" s="17"/>
      <c r="C952" s="17"/>
      <c r="D952" s="17"/>
      <c r="E952" s="255" t="str">
        <f>I949</f>
        <v/>
      </c>
      <c r="F952" s="256"/>
      <c r="G952" s="230"/>
      <c r="H952" s="257" t="str">
        <f>IF(K952=EUconst_NA,EUconst_NA,INDEX(EUconst_BMlistCLstatus,K952))</f>
        <v>N.A.</v>
      </c>
      <c r="I952" s="258" t="str">
        <f>IF(E952="","",INDEX(EUconst_BMlistElExchangability,K952))</f>
        <v/>
      </c>
      <c r="J952" s="355" t="str">
        <f>IF($I949="",EUconst_NA,INDEX(CNTR_SubInstStartDate,MATCH(E952,CNTR_SubInstListNames,0)))</f>
        <v>N.A.</v>
      </c>
      <c r="K952" s="203" t="str">
        <f>IF($I949="",EUconst_NA,MATCH(E952,EUconst_BMlistNames,0))</f>
        <v>N.A.</v>
      </c>
      <c r="L952" s="467" t="str">
        <f>IF(E952="","",INDEX(CNTR_SubInstLess1Year,MATCH(E952,CNTR_SubInstListNames,0)))</f>
        <v/>
      </c>
      <c r="M952" s="470" t="str">
        <f>IF(I949="",EUconst_NA,INDEX(EUconst_BMlistBMvaluesMatrix,K952,2))</f>
        <v>N.A.</v>
      </c>
      <c r="N952" s="471" t="str">
        <f>EUconst_EUA &amp; "/" &amp; H957</f>
        <v>UKA/tonnes</v>
      </c>
      <c r="O952" s="17"/>
      <c r="R952" s="288" t="s">
        <v>639</v>
      </c>
      <c r="S952" s="335" t="str">
        <f>IF(H952=EUconst_NA,"",IF(H952,1,INDEX(EUconst_CLEFYears,1)))</f>
        <v/>
      </c>
      <c r="T952" s="9"/>
    </row>
    <row r="953" spans="2:20" x14ac:dyDescent="0.25">
      <c r="B953" s="17"/>
      <c r="C953" s="17"/>
      <c r="D953" s="17"/>
      <c r="E953" s="276"/>
      <c r="F953" s="276"/>
      <c r="G953" s="254" t="str">
        <f>Translations!$B$1218</f>
        <v>non-ETS heat</v>
      </c>
      <c r="H953" s="329" t="str">
        <f>Translations!$B$1220</f>
        <v>WGflare</v>
      </c>
      <c r="I953" s="254" t="s">
        <v>630</v>
      </c>
      <c r="J953" s="254" t="s">
        <v>631</v>
      </c>
      <c r="K953" s="254" t="s">
        <v>632</v>
      </c>
      <c r="L953" s="329" t="str">
        <f>Translations!$B$1214</f>
        <v>15(7).3 HAL</v>
      </c>
      <c r="M953" s="470" t="str">
        <f>IF(I949="",EUconst_NA,INDEX(EUconst_BMlistBMvaluesMatrix,K952,1))</f>
        <v>N.A.</v>
      </c>
      <c r="N953" s="471" t="str">
        <f>EUconst_EUA &amp; "/" &amp; H957</f>
        <v>UKA/tonnes</v>
      </c>
      <c r="O953" s="17"/>
      <c r="R953" s="288"/>
      <c r="S953" s="368"/>
      <c r="T953" s="9"/>
    </row>
    <row r="954" spans="2:20" ht="13.8" thickBot="1" x14ac:dyDescent="0.3">
      <c r="B954" s="17"/>
      <c r="C954" s="17"/>
      <c r="D954" s="17"/>
      <c r="E954" s="370" t="str">
        <f>Translations!$B$1235</f>
        <v>Special factors:</v>
      </c>
      <c r="F954" s="371"/>
      <c r="G954" s="203" t="str">
        <f>IF($I949="","",SUMIF(F_ProductBM!$P:$P,EUconst_CNTR_HEAT&amp;$I949,F_ProductBM!$Q:$Q))</f>
        <v/>
      </c>
      <c r="H954" s="353" t="str">
        <f>IF(OR($I949="",CNTR_BaselinePeriod&lt;&gt;2),"",SUMIF(F_ProductBM!$P:$P,EUconst_CNTR_WGFlaredEF &amp; I949,F_ProductBM!$R:$R))</f>
        <v/>
      </c>
      <c r="I954" s="334">
        <f>IF(AND($I949&lt;&gt;"",$I952=TRUE),IF(ISNUMBER(INDEX(F_ProductBM!$Q:$Q,MATCH(EUconst_CNTR_ELEXCH&amp;$I949,F_ProductBM!$P:$P,0))),INDEX(F_ProductBM!$Q:$Q,MATCH(EUconst_CNTR_ELEXCH&amp;$I949,F_ProductBM!$P:$P,0)),1),1)</f>
        <v>1</v>
      </c>
      <c r="J954" s="203" t="str">
        <f>IF($I949="","",IF($K952=42,SUMIF(H_SpecialBM!$P$9:$P$384,EUconst_CNTR_HVC,H_SpecialBM!$I$9:$I$384),0))</f>
        <v/>
      </c>
      <c r="K954" s="369" t="str">
        <f>IF($I949="","",IF($K952=47,IF(ISNUMBER(INDEX(H_SpecialBM!$Q$9:$Q$384,MATCH(EUconst_CNTR_VCM,H_SpecialBM!$P$9:$P$384,0))),INDEX(H_SpecialBM!$Q$9:$Q$384,MATCH(EUconst_CNTR_VCM,H_SpecialBM!$P$9:$P$384,0)),1),1))</f>
        <v/>
      </c>
      <c r="L954" s="353" t="str">
        <f>IF($L952=TRUE,SUMIF(F_ProductBM!$P$11:$P$2192,EUconst_CNTR_HAL&amp;$I949,F_ProductBM!$N$11:$N$2192),"")</f>
        <v/>
      </c>
      <c r="M954" s="472" t="str">
        <f>IF(I949="",EUconst_NA,IF(EUconst_StatusOfDataCollection,INDEX(EUconst_BMlistBMvaluesMatrix,K952,3),""))</f>
        <v>N.A.</v>
      </c>
      <c r="N954" s="473" t="str">
        <f>EUconst_EUA &amp; "/" &amp; H957</f>
        <v>UKA/tonnes</v>
      </c>
      <c r="O954" s="17"/>
      <c r="R954" s="288"/>
      <c r="S954" s="368"/>
      <c r="T954" s="9"/>
    </row>
    <row r="955" spans="2:20" ht="5.0999999999999996" customHeight="1" x14ac:dyDescent="0.25">
      <c r="B955" s="17"/>
      <c r="C955" s="17"/>
      <c r="D955" s="17"/>
      <c r="E955" s="17"/>
      <c r="F955" s="17"/>
      <c r="G955" s="17"/>
      <c r="H955" s="17"/>
      <c r="I955" s="17"/>
      <c r="J955" s="17"/>
      <c r="K955" s="17"/>
      <c r="L955" s="17"/>
      <c r="M955" s="17"/>
      <c r="N955" s="17"/>
      <c r="O955" s="17"/>
      <c r="T955" s="9"/>
    </row>
    <row r="956" spans="2:20" x14ac:dyDescent="0.25">
      <c r="B956" s="17"/>
      <c r="C956" s="17"/>
      <c r="D956" s="17"/>
      <c r="E956" s="78"/>
      <c r="F956" s="78"/>
      <c r="G956" s="259"/>
      <c r="H956" s="366" t="str">
        <f>EUconst_Unit</f>
        <v>Unit</v>
      </c>
      <c r="I956" s="149">
        <f>I$1397</f>
        <v>2019</v>
      </c>
      <c r="J956" s="149">
        <f>J$1397</f>
        <v>2020</v>
      </c>
      <c r="K956" s="149">
        <f>K$1397</f>
        <v>2021</v>
      </c>
      <c r="L956" s="149">
        <f>L$1397</f>
        <v>2022</v>
      </c>
      <c r="M956" s="149">
        <f>M$1397</f>
        <v>2023</v>
      </c>
      <c r="N956" s="17"/>
      <c r="O956" s="17"/>
      <c r="P956" s="63" t="s">
        <v>397</v>
      </c>
      <c r="T956" s="9"/>
    </row>
    <row r="957" spans="2:20" x14ac:dyDescent="0.25">
      <c r="B957" s="17"/>
      <c r="C957" s="17"/>
      <c r="D957" s="17"/>
      <c r="E957" s="260" t="str">
        <f>Translations!$B$1236</f>
        <v>HAL (Historic activity level) reported</v>
      </c>
      <c r="F957" s="261"/>
      <c r="G957" s="262"/>
      <c r="H957" s="257" t="str">
        <f>IF(ISNUMBER(K952),INDEX(EUconst_BMlistUnits,K952),EUconst_Tons)</f>
        <v>tonnes</v>
      </c>
      <c r="I957" s="203" t="str">
        <f>IF($I949="","",SUMIF(F_ProductBM!$P$11:$P$1876,$P957,F_ProductBM!I$11:I$1876))</f>
        <v/>
      </c>
      <c r="J957" s="203" t="str">
        <f>IF($I949="","",SUMIF(F_ProductBM!$P$11:$P$1876,$P957,F_ProductBM!J$11:J$1876))</f>
        <v/>
      </c>
      <c r="K957" s="203" t="str">
        <f>IF($I949="","",SUMIF(F_ProductBM!$P$11:$P$1876,$P957,F_ProductBM!K$11:K$1876))</f>
        <v/>
      </c>
      <c r="L957" s="203" t="str">
        <f>IF($I949="","",SUMIF(F_ProductBM!$P$11:$P$1876,$P957,F_ProductBM!L$11:L$1876))</f>
        <v/>
      </c>
      <c r="M957" s="203" t="str">
        <f>IF($I949="","",SUMIF(F_ProductBM!$P$11:$P$1876,$P957,F_ProductBM!M$11:M$1876))</f>
        <v/>
      </c>
      <c r="N957" s="254" t="str">
        <f>Translations!$B$1224</f>
        <v>Average</v>
      </c>
      <c r="O957" s="17"/>
      <c r="P957" s="63" t="str">
        <f>EUconst_CNTR_HAL&amp;I949</f>
        <v>HAL_</v>
      </c>
      <c r="T957" s="9"/>
    </row>
    <row r="958" spans="2:20" x14ac:dyDescent="0.25">
      <c r="B958" s="17"/>
      <c r="C958" s="17"/>
      <c r="D958" s="17"/>
      <c r="E958" s="260" t="str">
        <f>Translations!$B$1237</f>
        <v>Values used for HAL calculation:</v>
      </c>
      <c r="F958" s="261"/>
      <c r="G958" s="262"/>
      <c r="H958" s="257" t="str">
        <f>H957</f>
        <v>tonnes</v>
      </c>
      <c r="I958" s="203" t="str">
        <f>IF($I949="","",INDEX(F_ProductBM!S$11:S$1876,MATCH($P958,F_ProductBM!$P$11:$P$1876,0)))</f>
        <v/>
      </c>
      <c r="J958" s="203" t="str">
        <f>IF($I949="","",INDEX(F_ProductBM!T$11:T$1876,MATCH($P958,F_ProductBM!$P$11:$P$1876,0)))</f>
        <v/>
      </c>
      <c r="K958" s="203" t="str">
        <f>IF($I949="","",INDEX(F_ProductBM!U$11:U$1876,MATCH($P958,F_ProductBM!$P$11:$P$1876,0)))</f>
        <v/>
      </c>
      <c r="L958" s="203" t="str">
        <f>IF($I949="","",INDEX(F_ProductBM!V$11:V$1876,MATCH($P958,F_ProductBM!$P$11:$P$1876,0)))</f>
        <v/>
      </c>
      <c r="M958" s="203" t="str">
        <f>IF($I949="","",INDEX(F_ProductBM!W$11:W$1876,MATCH($P958,F_ProductBM!$P$11:$P$1876,0)))</f>
        <v/>
      </c>
      <c r="N958" s="203" t="str">
        <f>IF(OR($I949="",$L952=TRUE),"",IF(COUNT($I958:$M958)&gt;0,AVERAGE($I958:$M958),""))</f>
        <v/>
      </c>
      <c r="O958" s="17"/>
      <c r="P958" s="63" t="str">
        <f>EUconst_CNTR_HAL&amp;I949</f>
        <v>HAL_</v>
      </c>
      <c r="R958" s="442" t="s">
        <v>640</v>
      </c>
      <c r="S958" s="442" t="s">
        <v>641</v>
      </c>
      <c r="T958" s="442" t="s">
        <v>642</v>
      </c>
    </row>
    <row r="959" spans="2:20" ht="5.0999999999999996" customHeight="1" thickBot="1" x14ac:dyDescent="0.3">
      <c r="B959" s="17"/>
      <c r="C959" s="17"/>
      <c r="D959" s="17"/>
      <c r="E959" s="367"/>
      <c r="F959" s="367"/>
      <c r="G959" s="367"/>
      <c r="H959" s="367"/>
      <c r="I959" s="367"/>
      <c r="J959" s="367"/>
      <c r="K959" s="367"/>
      <c r="L959" s="367"/>
      <c r="M959" s="276"/>
      <c r="N959" s="276"/>
      <c r="O959" s="17"/>
      <c r="T959" s="9"/>
    </row>
    <row r="960" spans="2:20" ht="13.8" thickBot="1" x14ac:dyDescent="0.3">
      <c r="B960" s="17"/>
      <c r="C960" s="276"/>
      <c r="D960" s="17"/>
      <c r="E960" s="367"/>
      <c r="F960" s="336" t="s">
        <v>643</v>
      </c>
      <c r="G960" s="337"/>
      <c r="H960" s="276"/>
      <c r="I960" s="336" t="str">
        <f>Translations!$B$1226</f>
        <v>Prelim Alloc Year 1 (min)</v>
      </c>
      <c r="J960" s="337"/>
      <c r="K960" s="336" t="str">
        <f>Translations!$B$1229</f>
        <v>Prelim Alloc Year 1 (max)</v>
      </c>
      <c r="L960" s="337"/>
      <c r="M960" s="336" t="str">
        <f>Translations!$B$1231</f>
        <v>Prelim Alloc Year 1 (actual)</v>
      </c>
      <c r="N960" s="337"/>
      <c r="O960" s="17"/>
      <c r="P960" s="63" t="str">
        <f>EUconst_AllocPrelim&amp;I949</f>
        <v>AllocPrelim_</v>
      </c>
      <c r="R960" s="423" t="str">
        <f>IF(I961="","",IF(S952=0,0,SUM(I961)/S952))</f>
        <v/>
      </c>
      <c r="S960" s="423" t="str">
        <f>IF(K961="","",IF(S952=0,0,SUM(K961)/S952))</f>
        <v/>
      </c>
      <c r="T960" s="423" t="str">
        <f>T949</f>
        <v/>
      </c>
    </row>
    <row r="961" spans="2:20" ht="13.8" thickBot="1" x14ac:dyDescent="0.3">
      <c r="B961" s="17"/>
      <c r="C961" s="276"/>
      <c r="D961" s="276"/>
      <c r="E961" s="367"/>
      <c r="F961" s="264" t="str">
        <f>IF(I949="","",MAX(0, IF(L952=TRUE, SUM(L954), SUM(N958))))</f>
        <v/>
      </c>
      <c r="G961" s="265" t="str">
        <f>H957&amp;" / "&amp;EUconst_Year</f>
        <v>tonnes / year</v>
      </c>
      <c r="H961" s="276"/>
      <c r="I961" s="333" t="str">
        <f>IF(I949="","",ROUND((SUM(M952)*SUM(F961)*SUM(I954)*SUM(K954)-SUM(G954)-SUM(H954)+SUM(J954))*SUM(S952),0))</f>
        <v/>
      </c>
      <c r="J961" s="409" t="s">
        <v>645</v>
      </c>
      <c r="K961" s="333" t="str">
        <f>IF(I949="","",ROUND((SUM(M953)*SUM(F961)*SUM(I954)*SUM(K954)-SUM(G954)-SUM(H954)+SUM(J954))*SUM(S952),0))</f>
        <v/>
      </c>
      <c r="L961" s="409" t="s">
        <v>645</v>
      </c>
      <c r="M961" s="333" t="str">
        <f>IF(OR(I949="",M954=""),"",ROUND((SUM(M954)*SUM(F961)*SUM(I954)*SUM(K954)-SUM(G954)-SUM(H954)+SUM(J954))*SUM(S952),0))</f>
        <v/>
      </c>
      <c r="N961" s="409" t="s">
        <v>645</v>
      </c>
      <c r="O961" s="17"/>
      <c r="P961" s="63" t="str">
        <f>EUconst_HALsum &amp; I949</f>
        <v>HALsum_</v>
      </c>
      <c r="T961" s="9"/>
    </row>
    <row r="962" spans="2:20" ht="5.0999999999999996" customHeight="1" x14ac:dyDescent="0.25">
      <c r="B962" s="17"/>
      <c r="C962" s="17"/>
      <c r="D962" s="276"/>
      <c r="E962" s="113"/>
      <c r="F962" s="17"/>
      <c r="G962" s="17"/>
      <c r="H962" s="17"/>
      <c r="I962" s="17"/>
      <c r="J962" s="17"/>
      <c r="K962" s="17"/>
      <c r="L962" s="17"/>
      <c r="M962" s="17"/>
      <c r="N962" s="17"/>
      <c r="O962" s="17"/>
      <c r="T962" s="9"/>
    </row>
    <row r="963" spans="2:20" ht="12.75" customHeight="1" x14ac:dyDescent="0.25">
      <c r="B963" s="17"/>
      <c r="C963" s="17"/>
      <c r="D963" s="17"/>
      <c r="E963" s="193"/>
      <c r="F963" s="342"/>
      <c r="G963" s="342"/>
      <c r="H963" s="342"/>
      <c r="I963" s="342"/>
      <c r="J963" s="342"/>
      <c r="K963" s="342"/>
      <c r="L963" s="342"/>
      <c r="M963" s="342"/>
      <c r="N963" s="342"/>
      <c r="O963" s="17"/>
      <c r="T963" s="9"/>
    </row>
    <row r="964" spans="2:20" ht="13.8" thickBot="1" x14ac:dyDescent="0.3">
      <c r="B964" s="17"/>
      <c r="C964" s="17"/>
      <c r="D964" s="17"/>
      <c r="E964" s="193"/>
      <c r="F964" s="342"/>
      <c r="G964" s="342"/>
      <c r="H964" s="192" t="str">
        <f>EUconst_Unit</f>
        <v>Unit</v>
      </c>
      <c r="I964" s="441">
        <f>I$1397</f>
        <v>2019</v>
      </c>
      <c r="J964" s="153">
        <f>J$1397</f>
        <v>2020</v>
      </c>
      <c r="K964" s="153">
        <f>K$1397</f>
        <v>2021</v>
      </c>
      <c r="L964" s="153">
        <f>L$1397</f>
        <v>2022</v>
      </c>
      <c r="M964" s="153">
        <f>M$1397</f>
        <v>2023</v>
      </c>
      <c r="N964" s="342"/>
      <c r="O964" s="17"/>
      <c r="T964" s="9"/>
    </row>
    <row r="965" spans="2:20" ht="13.8" thickBot="1" x14ac:dyDescent="0.3">
      <c r="B965" s="17"/>
      <c r="C965" s="17"/>
      <c r="D965" s="17"/>
      <c r="E965" s="1610" t="str">
        <f>Translations!$B$1238</f>
        <v>Total attributed emissions</v>
      </c>
      <c r="F965" s="1610"/>
      <c r="G965" s="1610"/>
      <c r="H965" s="411" t="str">
        <f>EUconst_tCO2epa</f>
        <v>t CO2e/year</v>
      </c>
      <c r="I965" s="432" t="str">
        <f>INDEX(I$93:I$109,MATCH($I949,$E$93:$E$109,0))</f>
        <v/>
      </c>
      <c r="J965" s="433" t="str">
        <f>INDEX(J$93:J$109,MATCH($I949,$E$93:$E$109,0))</f>
        <v/>
      </c>
      <c r="K965" s="433" t="str">
        <f>INDEX(K$93:K$109,MATCH($I949,$E$93:$E$109,0))</f>
        <v/>
      </c>
      <c r="L965" s="433" t="str">
        <f>INDEX(L$93:L$109,MATCH($I949,$E$93:$E$109,0))</f>
        <v/>
      </c>
      <c r="M965" s="434" t="str">
        <f>INDEX(M$93:M$109,MATCH($I949,$E$93:$E$109,0))</f>
        <v/>
      </c>
      <c r="N965" s="342"/>
      <c r="O965" s="17"/>
      <c r="T965" s="9"/>
    </row>
    <row r="966" spans="2:20" ht="5.0999999999999996" customHeight="1" x14ac:dyDescent="0.25">
      <c r="B966" s="17"/>
      <c r="C966" s="17"/>
      <c r="D966" s="17"/>
      <c r="E966" s="193"/>
      <c r="F966" s="193"/>
      <c r="G966" s="193"/>
      <c r="H966" s="193"/>
      <c r="I966" s="435"/>
      <c r="J966" s="435"/>
      <c r="K966" s="435"/>
      <c r="L966" s="435"/>
      <c r="M966" s="435"/>
      <c r="N966" s="193"/>
      <c r="O966" s="17"/>
      <c r="T966" s="9"/>
    </row>
    <row r="967" spans="2:20" x14ac:dyDescent="0.25">
      <c r="B967" s="17"/>
      <c r="C967" s="17"/>
      <c r="D967" s="17"/>
      <c r="E967" s="1526" t="str">
        <f>Translations!$B$731</f>
        <v>Fuel input</v>
      </c>
      <c r="F967" s="1526"/>
      <c r="G967" s="1526"/>
      <c r="H967" s="939" t="str">
        <f>EUconst_TJpa</f>
        <v>TJ / year</v>
      </c>
      <c r="I967" s="436" t="str">
        <f>IF($I949="","",IF(INDEX(F_ProductBM!I:I,MATCH($P967,F_ProductBM!$P:$P,0))="","",INDEX(F_ProductBM!I:I,MATCH($P967,F_ProductBM!$P:$P,0))))</f>
        <v/>
      </c>
      <c r="J967" s="436" t="str">
        <f>IF($I949="","",IF(INDEX(F_ProductBM!J:J,MATCH($P967,F_ProductBM!$P:$P,0))="","",INDEX(F_ProductBM!J:J,MATCH($P967,F_ProductBM!$P:$P,0))))</f>
        <v/>
      </c>
      <c r="K967" s="436" t="str">
        <f>IF($I949="","",IF(INDEX(F_ProductBM!K:K,MATCH($P967,F_ProductBM!$P:$P,0))="","",INDEX(F_ProductBM!K:K,MATCH($P967,F_ProductBM!$P:$P,0))))</f>
        <v/>
      </c>
      <c r="L967" s="436" t="str">
        <f>IF($I949="","",IF(INDEX(F_ProductBM!L:L,MATCH($P967,F_ProductBM!$P:$P,0))="","",INDEX(F_ProductBM!L:L,MATCH($P967,F_ProductBM!$P:$P,0))))</f>
        <v/>
      </c>
      <c r="M967" s="436" t="str">
        <f>IF($I949="","",IF(INDEX(F_ProductBM!M:M,MATCH($P967,F_ProductBM!$P:$P,0))="","",INDEX(F_ProductBM!M:M,MATCH($P967,F_ProductBM!$P:$P,0))))</f>
        <v/>
      </c>
      <c r="N967" s="342"/>
      <c r="O967" s="17"/>
      <c r="P967" s="341" t="str">
        <f>EUconst_CNTR_FuelInput &amp; I949</f>
        <v>FuelInput_</v>
      </c>
      <c r="T967" s="9"/>
    </row>
    <row r="968" spans="2:20" x14ac:dyDescent="0.25">
      <c r="B968" s="17"/>
      <c r="C968" s="17"/>
      <c r="D968" s="17"/>
      <c r="E968" s="1527" t="str">
        <f>Translations!$B$732</f>
        <v>Weighted emission factor</v>
      </c>
      <c r="F968" s="1527"/>
      <c r="G968" s="1527"/>
      <c r="H968" s="343" t="str">
        <f>EUconst_tCO2pTJ</f>
        <v>t CO2 / TJ</v>
      </c>
      <c r="I968" s="437" t="str">
        <f>IF($I949="","",IF(INDEX(F_ProductBM!I:I,MATCH($P968,F_ProductBM!$P:$P,0))="","",INDEX(F_ProductBM!I:I,MATCH($P968,F_ProductBM!$P:$P,0))))</f>
        <v/>
      </c>
      <c r="J968" s="437" t="str">
        <f>IF($I949="","",IF(INDEX(F_ProductBM!J:J,MATCH($P968,F_ProductBM!$P:$P,0))="","",INDEX(F_ProductBM!J:J,MATCH($P968,F_ProductBM!$P:$P,0))))</f>
        <v/>
      </c>
      <c r="K968" s="437" t="str">
        <f>IF($I949="","",IF(INDEX(F_ProductBM!K:K,MATCH($P968,F_ProductBM!$P:$P,0))="","",INDEX(F_ProductBM!K:K,MATCH($P968,F_ProductBM!$P:$P,0))))</f>
        <v/>
      </c>
      <c r="L968" s="437" t="str">
        <f>IF($I949="","",IF(INDEX(F_ProductBM!L:L,MATCH($P968,F_ProductBM!$P:$P,0))="","",INDEX(F_ProductBM!L:L,MATCH($P968,F_ProductBM!$P:$P,0))))</f>
        <v/>
      </c>
      <c r="M968" s="437" t="str">
        <f>IF($I949="","",IF(INDEX(F_ProductBM!M:M,MATCH($P968,F_ProductBM!$P:$P,0))="","",INDEX(F_ProductBM!M:M,MATCH($P968,F_ProductBM!$P:$P,0))))</f>
        <v/>
      </c>
      <c r="N968" s="342"/>
      <c r="O968" s="17"/>
      <c r="P968" s="116" t="str">
        <f>EUconst_CNTR_FuelEF &amp; I949</f>
        <v>FuelEF_</v>
      </c>
      <c r="T968" s="9"/>
    </row>
    <row r="969" spans="2:20" ht="5.0999999999999996" customHeight="1" x14ac:dyDescent="0.25">
      <c r="B969" s="17"/>
      <c r="C969" s="17"/>
      <c r="D969" s="276"/>
      <c r="E969" s="193"/>
      <c r="F969" s="342"/>
      <c r="G969" s="342"/>
      <c r="H969" s="342"/>
      <c r="I969" s="438"/>
      <c r="J969" s="438"/>
      <c r="K969" s="438"/>
      <c r="L969" s="438"/>
      <c r="M969" s="438"/>
      <c r="N969" s="342"/>
      <c r="O969" s="17"/>
      <c r="T969" s="9"/>
    </row>
    <row r="970" spans="2:20" ht="12.75" customHeight="1" x14ac:dyDescent="0.25">
      <c r="B970" s="17"/>
      <c r="C970" s="17"/>
      <c r="D970" s="276"/>
      <c r="E970" s="1528" t="str">
        <f>Translations!$B$687</f>
        <v>Direct emissions</v>
      </c>
      <c r="F970" s="1528"/>
      <c r="G970" s="1528"/>
      <c r="H970" s="154" t="str">
        <f>EUconst_tCO2pa</f>
        <v>t CO2 / year</v>
      </c>
      <c r="I970" s="439" t="str">
        <f>IF($I949="","",IF(INDEX(F_ProductBM!I:I,MATCH($P970,F_ProductBM!$P:$P,0))="","",INDEX(F_ProductBM!I:I,MATCH($P970,F_ProductBM!$P:$P,0))))</f>
        <v/>
      </c>
      <c r="J970" s="439" t="str">
        <f>IF($I949="","",IF(INDEX(F_ProductBM!J:J,MATCH($P970,F_ProductBM!$P:$P,0))="","",INDEX(F_ProductBM!J:J,MATCH($P970,F_ProductBM!$P:$P,0))))</f>
        <v/>
      </c>
      <c r="K970" s="439" t="str">
        <f>IF($I949="","",IF(INDEX(F_ProductBM!K:K,MATCH($P970,F_ProductBM!$P:$P,0))="","",INDEX(F_ProductBM!K:K,MATCH($P970,F_ProductBM!$P:$P,0))))</f>
        <v/>
      </c>
      <c r="L970" s="439" t="str">
        <f>IF($I949="","",IF(INDEX(F_ProductBM!L:L,MATCH($P970,F_ProductBM!$P:$P,0))="","",INDEX(F_ProductBM!L:L,MATCH($P970,F_ProductBM!$P:$P,0))))</f>
        <v/>
      </c>
      <c r="M970" s="439" t="str">
        <f>IF($I949="","",IF(INDEX(F_ProductBM!M:M,MATCH($P970,F_ProductBM!$P:$P,0))="","",INDEX(F_ProductBM!M:M,MATCH($P970,F_ProductBM!$P:$P,0))))</f>
        <v/>
      </c>
      <c r="N970" s="342"/>
      <c r="O970" s="17"/>
      <c r="P970" s="116" t="str">
        <f>EUconst_CNTR_Emissions &amp; I949</f>
        <v>DirEmissions_</v>
      </c>
      <c r="T970" s="9"/>
    </row>
    <row r="971" spans="2:20" x14ac:dyDescent="0.25">
      <c r="B971" s="17"/>
      <c r="C971" s="17"/>
      <c r="D971" s="276"/>
      <c r="E971" s="1528" t="str">
        <f>Translations!$B$742</f>
        <v>Further source streams - 1</v>
      </c>
      <c r="F971" s="1528"/>
      <c r="G971" s="1528"/>
      <c r="H971" s="154" t="str">
        <f>EUconst_tCO2pa</f>
        <v>t CO2 / year</v>
      </c>
      <c r="I971" s="439" t="str">
        <f>IF($I949="","",IF(INDEX(F_ProductBM!I:I,MATCH($P971,F_ProductBM!$P:$P,0))="","",INDEX(F_ProductBM!I:I,MATCH($P971,F_ProductBM!$P:$P,0))))</f>
        <v/>
      </c>
      <c r="J971" s="439" t="str">
        <f>IF($I949="","",IF(INDEX(F_ProductBM!J:J,MATCH($P971,F_ProductBM!$P:$P,0))="","",INDEX(F_ProductBM!J:J,MATCH($P971,F_ProductBM!$P:$P,0))))</f>
        <v/>
      </c>
      <c r="K971" s="439" t="str">
        <f>IF($I949="","",IF(INDEX(F_ProductBM!K:K,MATCH($P971,F_ProductBM!$P:$P,0))="","",INDEX(F_ProductBM!K:K,MATCH($P971,F_ProductBM!$P:$P,0))))</f>
        <v/>
      </c>
      <c r="L971" s="439" t="str">
        <f>IF($I949="","",IF(INDEX(F_ProductBM!L:L,MATCH($P971,F_ProductBM!$P:$P,0))="","",INDEX(F_ProductBM!L:L,MATCH($P971,F_ProductBM!$P:$P,0))))</f>
        <v/>
      </c>
      <c r="M971" s="439" t="str">
        <f>IF($I949="","",IF(INDEX(F_ProductBM!M:M,MATCH($P971,F_ProductBM!$P:$P,0))="","",INDEX(F_ProductBM!M:M,MATCH($P971,F_ProductBM!$P:$P,0))))</f>
        <v/>
      </c>
      <c r="N971" s="342"/>
      <c r="O971" s="17"/>
      <c r="P971" s="116" t="str">
        <f>EUconst_CNTR_EmissionsIntSource1 &amp; I949</f>
        <v>EmInternalSource1_</v>
      </c>
      <c r="T971" s="9"/>
    </row>
    <row r="972" spans="2:20" x14ac:dyDescent="0.25">
      <c r="B972" s="17"/>
      <c r="C972" s="17"/>
      <c r="D972" s="276"/>
      <c r="E972" s="1528" t="str">
        <f>Translations!$B$752</f>
        <v>Further source streams - 2</v>
      </c>
      <c r="F972" s="1528"/>
      <c r="G972" s="1528"/>
      <c r="H972" s="154" t="str">
        <f>EUconst_tCO2pa</f>
        <v>t CO2 / year</v>
      </c>
      <c r="I972" s="439" t="str">
        <f>IF($I949="","",IF(INDEX(F_ProductBM!I:I,MATCH($P972,F_ProductBM!$P:$P,0))="","",INDEX(F_ProductBM!I:I,MATCH($P972,F_ProductBM!$P:$P,0))))</f>
        <v/>
      </c>
      <c r="J972" s="439" t="str">
        <f>IF($I949="","",IF(INDEX(F_ProductBM!J:J,MATCH($P972,F_ProductBM!$P:$P,0))="","",INDEX(F_ProductBM!J:J,MATCH($P972,F_ProductBM!$P:$P,0))))</f>
        <v/>
      </c>
      <c r="K972" s="439" t="str">
        <f>IF($I949="","",IF(INDEX(F_ProductBM!K:K,MATCH($P972,F_ProductBM!$P:$P,0))="","",INDEX(F_ProductBM!K:K,MATCH($P972,F_ProductBM!$P:$P,0))))</f>
        <v/>
      </c>
      <c r="L972" s="439" t="str">
        <f>IF($I949="","",IF(INDEX(F_ProductBM!L:L,MATCH($P972,F_ProductBM!$P:$P,0))="","",INDEX(F_ProductBM!L:L,MATCH($P972,F_ProductBM!$P:$P,0))))</f>
        <v/>
      </c>
      <c r="M972" s="439" t="str">
        <f>IF($I949="","",IF(INDEX(F_ProductBM!M:M,MATCH($P972,F_ProductBM!$P:$P,0))="","",INDEX(F_ProductBM!M:M,MATCH($P972,F_ProductBM!$P:$P,0))))</f>
        <v/>
      </c>
      <c r="N972" s="342"/>
      <c r="O972" s="17"/>
      <c r="P972" s="116" t="str">
        <f>EUconst_CNTR_EmissionsIntSource2 &amp; I949</f>
        <v>EmInternalSource2_</v>
      </c>
      <c r="T972" s="9"/>
    </row>
    <row r="973" spans="2:20" x14ac:dyDescent="0.25">
      <c r="B973" s="17"/>
      <c r="C973" s="17"/>
      <c r="D973" s="17"/>
      <c r="E973" s="1528" t="str">
        <f>Translations!$B$756</f>
        <v>GHG imported or exported</v>
      </c>
      <c r="F973" s="1528"/>
      <c r="G973" s="1528"/>
      <c r="H973" s="154" t="str">
        <f>EUconst_tCO2epa</f>
        <v>t CO2e/year</v>
      </c>
      <c r="I973" s="439" t="str">
        <f>IF($I949="","",IF(INDEX(F_ProductBM!I:I,MATCH($P973,F_ProductBM!$P:$P,0))="","",INDEX(F_ProductBM!I:I,MATCH($P973,F_ProductBM!$P:$P,0))))</f>
        <v/>
      </c>
      <c r="J973" s="439" t="str">
        <f>IF($I949="","",IF(INDEX(F_ProductBM!J:J,MATCH($P973,F_ProductBM!$P:$P,0))="","",INDEX(F_ProductBM!J:J,MATCH($P973,F_ProductBM!$P:$P,0))))</f>
        <v/>
      </c>
      <c r="K973" s="439" t="str">
        <f>IF($I949="","",IF(INDEX(F_ProductBM!K:K,MATCH($P973,F_ProductBM!$P:$P,0))="","",INDEX(F_ProductBM!K:K,MATCH($P973,F_ProductBM!$P:$P,0))))</f>
        <v/>
      </c>
      <c r="L973" s="439" t="str">
        <f>IF($I949="","",IF(INDEX(F_ProductBM!L:L,MATCH($P973,F_ProductBM!$P:$P,0))="","",INDEX(F_ProductBM!L:L,MATCH($P973,F_ProductBM!$P:$P,0))))</f>
        <v/>
      </c>
      <c r="M973" s="439" t="str">
        <f>IF($I949="","",IF(INDEX(F_ProductBM!M:M,MATCH($P973,F_ProductBM!$P:$P,0))="","",INDEX(F_ProductBM!M:M,MATCH($P973,F_ProductBM!$P:$P,0))))</f>
        <v/>
      </c>
      <c r="N973" s="342"/>
      <c r="O973" s="17"/>
      <c r="P973" s="116" t="str">
        <f>EUconst_CNTR_CO2Feedstock &amp; I949</f>
        <v>EmCO2Feedstock_</v>
      </c>
      <c r="T973" s="9"/>
    </row>
    <row r="974" spans="2:20" ht="5.0999999999999996" customHeight="1" x14ac:dyDescent="0.25">
      <c r="B974" s="17"/>
      <c r="C974" s="17"/>
      <c r="D974" s="17"/>
      <c r="E974" s="342"/>
      <c r="F974" s="342"/>
      <c r="G974" s="342"/>
      <c r="H974" s="342"/>
      <c r="I974" s="438"/>
      <c r="J974" s="438"/>
      <c r="K974" s="438"/>
      <c r="L974" s="438"/>
      <c r="M974" s="438"/>
      <c r="N974" s="342"/>
      <c r="O974" s="17"/>
      <c r="T974" s="9"/>
    </row>
    <row r="975" spans="2:20" x14ac:dyDescent="0.25">
      <c r="B975" s="17"/>
      <c r="C975" s="17"/>
      <c r="D975" s="17"/>
      <c r="E975" s="1526" t="str">
        <f>Translations!$B$764</f>
        <v>Net heat imported</v>
      </c>
      <c r="F975" s="1526"/>
      <c r="G975" s="1526"/>
      <c r="H975" s="939" t="str">
        <f>EUconst_TJpa</f>
        <v>TJ / year</v>
      </c>
      <c r="I975" s="436" t="str">
        <f>IF($I949="","",IF(INDEX(F_ProductBM!I:I,MATCH($P975,F_ProductBM!$P:$P,0))="","",INDEX(F_ProductBM!I:I,MATCH($P975,F_ProductBM!$P:$P,0))))</f>
        <v/>
      </c>
      <c r="J975" s="436" t="str">
        <f>IF($I949="","",IF(INDEX(F_ProductBM!J:J,MATCH($P975,F_ProductBM!$P:$P,0))="","",INDEX(F_ProductBM!J:J,MATCH($P975,F_ProductBM!$P:$P,0))))</f>
        <v/>
      </c>
      <c r="K975" s="436" t="str">
        <f>IF($I949="","",IF(INDEX(F_ProductBM!K:K,MATCH($P975,F_ProductBM!$P:$P,0))="","",INDEX(F_ProductBM!K:K,MATCH($P975,F_ProductBM!$P:$P,0))))</f>
        <v/>
      </c>
      <c r="L975" s="436" t="str">
        <f>IF($I949="","",IF(INDEX(F_ProductBM!L:L,MATCH($P975,F_ProductBM!$P:$P,0))="","",INDEX(F_ProductBM!L:L,MATCH($P975,F_ProductBM!$P:$P,0))))</f>
        <v/>
      </c>
      <c r="M975" s="436" t="str">
        <f>IF($I949="","",IF(INDEX(F_ProductBM!M:M,MATCH($P975,F_ProductBM!$P:$P,0))="","",INDEX(F_ProductBM!M:M,MATCH($P975,F_ProductBM!$P:$P,0))))</f>
        <v/>
      </c>
      <c r="N975" s="342"/>
      <c r="O975" s="17"/>
      <c r="P975" s="116" t="str">
        <f>EUconst_CNTR_HeatImport &amp; I949</f>
        <v>HeatIm_</v>
      </c>
      <c r="T975" s="9"/>
    </row>
    <row r="976" spans="2:20" x14ac:dyDescent="0.25">
      <c r="B976" s="17"/>
      <c r="C976" s="17"/>
      <c r="D976" s="17"/>
      <c r="E976" s="1527" t="str">
        <f>Translations!$B$765</f>
        <v>Specific EF (imported heat)</v>
      </c>
      <c r="F976" s="1527"/>
      <c r="G976" s="1527"/>
      <c r="H976" s="343" t="str">
        <f>EUconst_tCO2pTJ</f>
        <v>t CO2 / TJ</v>
      </c>
      <c r="I976" s="437" t="str">
        <f>IF($I949="","",IF(INDEX(F_ProductBM!I:I,MATCH($P976,F_ProductBM!$P:$P,0))="","",INDEX(F_ProductBM!I:I,MATCH($P976,F_ProductBM!$P:$P,0))))</f>
        <v/>
      </c>
      <c r="J976" s="437" t="str">
        <f>IF($I949="","",IF(INDEX(F_ProductBM!J:J,MATCH($P976,F_ProductBM!$P:$P,0))="","",INDEX(F_ProductBM!J:J,MATCH($P976,F_ProductBM!$P:$P,0))))</f>
        <v/>
      </c>
      <c r="K976" s="437" t="str">
        <f>IF($I949="","",IF(INDEX(F_ProductBM!K:K,MATCH($P976,F_ProductBM!$P:$P,0))="","",INDEX(F_ProductBM!K:K,MATCH($P976,F_ProductBM!$P:$P,0))))</f>
        <v/>
      </c>
      <c r="L976" s="437" t="str">
        <f>IF($I949="","",IF(INDEX(F_ProductBM!L:L,MATCH($P976,F_ProductBM!$P:$P,0))="","",INDEX(F_ProductBM!L:L,MATCH($P976,F_ProductBM!$P:$P,0))))</f>
        <v/>
      </c>
      <c r="M976" s="437" t="str">
        <f>IF($I949="","",IF(INDEX(F_ProductBM!M:M,MATCH($P976,F_ProductBM!$P:$P,0))="","",INDEX(F_ProductBM!M:M,MATCH($P976,F_ProductBM!$P:$P,0))))</f>
        <v/>
      </c>
      <c r="N976" s="342"/>
      <c r="O976" s="17"/>
      <c r="P976" s="116" t="str">
        <f>EUconst_CNTR_HeatImportEF &amp; I949</f>
        <v>HeatImEF_</v>
      </c>
      <c r="T976" s="9"/>
    </row>
    <row r="977" spans="2:20" ht="5.0999999999999996" customHeight="1" x14ac:dyDescent="0.25">
      <c r="B977" s="17"/>
      <c r="C977" s="17"/>
      <c r="D977" s="17"/>
      <c r="E977" s="193"/>
      <c r="F977" s="342"/>
      <c r="G977" s="342"/>
      <c r="H977" s="342"/>
      <c r="I977" s="438"/>
      <c r="J977" s="438"/>
      <c r="K977" s="438"/>
      <c r="L977" s="438"/>
      <c r="M977" s="438"/>
      <c r="N977" s="342"/>
      <c r="O977" s="17"/>
      <c r="P977" s="9"/>
      <c r="T977" s="9"/>
    </row>
    <row r="978" spans="2:20" x14ac:dyDescent="0.25">
      <c r="B978" s="17"/>
      <c r="C978" s="17"/>
      <c r="D978" s="17"/>
      <c r="E978" s="1528" t="str">
        <f>Translations!$B$820</f>
        <v>Net heat imported from pulp</v>
      </c>
      <c r="F978" s="1528"/>
      <c r="G978" s="1528"/>
      <c r="H978" s="154" t="str">
        <f>EUconst_TJpa</f>
        <v>TJ / year</v>
      </c>
      <c r="I978" s="439" t="str">
        <f>IF($I949="","",IF(INDEX(F_ProductBM!I:I,MATCH($P978,F_ProductBM!$P:$P,0))="","",INDEX(F_ProductBM!I:I,MATCH($P978,F_ProductBM!$P:$P,0))))</f>
        <v/>
      </c>
      <c r="J978" s="439" t="str">
        <f>IF($I949="","",IF(INDEX(F_ProductBM!J:J,MATCH($P978,F_ProductBM!$P:$P,0))="","",INDEX(F_ProductBM!J:J,MATCH($P978,F_ProductBM!$P:$P,0))))</f>
        <v/>
      </c>
      <c r="K978" s="439" t="str">
        <f>IF($I949="","",IF(INDEX(F_ProductBM!K:K,MATCH($P978,F_ProductBM!$P:$P,0))="","",INDEX(F_ProductBM!K:K,MATCH($P978,F_ProductBM!$P:$P,0))))</f>
        <v/>
      </c>
      <c r="L978" s="439" t="str">
        <f>IF($I949="","",IF(INDEX(F_ProductBM!L:L,MATCH($P978,F_ProductBM!$P:$P,0))="","",INDEX(F_ProductBM!L:L,MATCH($P978,F_ProductBM!$P:$P,0))))</f>
        <v/>
      </c>
      <c r="M978" s="439" t="str">
        <f>IF($I949="","",IF(INDEX(F_ProductBM!M:M,MATCH($P978,F_ProductBM!$P:$P,0))="","",INDEX(F_ProductBM!M:M,MATCH($P978,F_ProductBM!$P:$P,0))))</f>
        <v/>
      </c>
      <c r="N978" s="342"/>
      <c r="O978" s="17"/>
      <c r="P978" s="116" t="str">
        <f>EUconst_CNTR_HeatImportPulp &amp; I949</f>
        <v>HeatImPulp_</v>
      </c>
      <c r="T978" s="9"/>
    </row>
    <row r="979" spans="2:20" x14ac:dyDescent="0.25">
      <c r="B979" s="17"/>
      <c r="C979" s="17"/>
      <c r="D979" s="17"/>
      <c r="E979" s="1528" t="str">
        <f>Translations!$B$768</f>
        <v>Net heat imported from nitric acid sub-installation</v>
      </c>
      <c r="F979" s="1528"/>
      <c r="G979" s="1528"/>
      <c r="H979" s="154" t="str">
        <f>EUconst_TJpa</f>
        <v>TJ / year</v>
      </c>
      <c r="I979" s="439" t="str">
        <f>IF($I949="","",IF(INDEX(F_ProductBM!I:I,MATCH($P979,F_ProductBM!$P:$P,0))="","",INDEX(F_ProductBM!I:I,MATCH($P979,F_ProductBM!$P:$P,0))))</f>
        <v/>
      </c>
      <c r="J979" s="439" t="str">
        <f>IF($I949="","",IF(INDEX(F_ProductBM!J:J,MATCH($P979,F_ProductBM!$P:$P,0))="","",INDEX(F_ProductBM!J:J,MATCH($P979,F_ProductBM!$P:$P,0))))</f>
        <v/>
      </c>
      <c r="K979" s="439" t="str">
        <f>IF($I949="","",IF(INDEX(F_ProductBM!K:K,MATCH($P979,F_ProductBM!$P:$P,0))="","",INDEX(F_ProductBM!K:K,MATCH($P979,F_ProductBM!$P:$P,0))))</f>
        <v/>
      </c>
      <c r="L979" s="439" t="str">
        <f>IF($I949="","",IF(INDEX(F_ProductBM!L:L,MATCH($P979,F_ProductBM!$P:$P,0))="","",INDEX(F_ProductBM!L:L,MATCH($P979,F_ProductBM!$P:$P,0))))</f>
        <v/>
      </c>
      <c r="M979" s="439" t="str">
        <f>IF($I949="","",IF(INDEX(F_ProductBM!M:M,MATCH($P979,F_ProductBM!$P:$P,0))="","",INDEX(F_ProductBM!M:M,MATCH($P979,F_ProductBM!$P:$P,0))))</f>
        <v/>
      </c>
      <c r="N979" s="342"/>
      <c r="O979" s="17"/>
      <c r="P979" s="116" t="str">
        <f>EUconst_CNTR_HeatImportNitric &amp; I949</f>
        <v>HeatImNitric_</v>
      </c>
      <c r="T979" s="9"/>
    </row>
    <row r="980" spans="2:20" ht="5.0999999999999996" customHeight="1" x14ac:dyDescent="0.25">
      <c r="B980" s="17"/>
      <c r="C980" s="17"/>
      <c r="D980" s="17"/>
      <c r="E980" s="193"/>
      <c r="F980" s="193"/>
      <c r="G980" s="193"/>
      <c r="H980" s="193"/>
      <c r="I980" s="438"/>
      <c r="J980" s="438"/>
      <c r="K980" s="438"/>
      <c r="L980" s="438"/>
      <c r="M980" s="438"/>
      <c r="N980" s="342"/>
      <c r="O980" s="17"/>
      <c r="P980" s="9"/>
      <c r="T980" s="9"/>
    </row>
    <row r="981" spans="2:20" x14ac:dyDescent="0.25">
      <c r="B981" s="17"/>
      <c r="C981" s="17"/>
      <c r="D981" s="17"/>
      <c r="E981" s="1526" t="str">
        <f>Translations!$B$770</f>
        <v>Net heat exported</v>
      </c>
      <c r="F981" s="1526"/>
      <c r="G981" s="1526"/>
      <c r="H981" s="939" t="str">
        <f>EUconst_TJpa</f>
        <v>TJ / year</v>
      </c>
      <c r="I981" s="436" t="str">
        <f>IF($I949="","",IF(INDEX(F_ProductBM!I:I,MATCH($P981,F_ProductBM!$P:$P,0))="","",INDEX(F_ProductBM!I:I,MATCH($P981,F_ProductBM!$P:$P,0))))</f>
        <v/>
      </c>
      <c r="J981" s="436" t="str">
        <f>IF($I949="","",IF(INDEX(F_ProductBM!J:J,MATCH($P981,F_ProductBM!$P:$P,0))="","",INDEX(F_ProductBM!J:J,MATCH($P981,F_ProductBM!$P:$P,0))))</f>
        <v/>
      </c>
      <c r="K981" s="436" t="str">
        <f>IF($I949="","",IF(INDEX(F_ProductBM!K:K,MATCH($P981,F_ProductBM!$P:$P,0))="","",INDEX(F_ProductBM!K:K,MATCH($P981,F_ProductBM!$P:$P,0))))</f>
        <v/>
      </c>
      <c r="L981" s="436" t="str">
        <f>IF($I949="","",IF(INDEX(F_ProductBM!L:L,MATCH($P981,F_ProductBM!$P:$P,0))="","",INDEX(F_ProductBM!L:L,MATCH($P981,F_ProductBM!$P:$P,0))))</f>
        <v/>
      </c>
      <c r="M981" s="436" t="str">
        <f>IF($I949="","",IF(INDEX(F_ProductBM!M:M,MATCH($P981,F_ProductBM!$P:$P,0))="","",INDEX(F_ProductBM!M:M,MATCH($P981,F_ProductBM!$P:$P,0))))</f>
        <v/>
      </c>
      <c r="N981" s="342"/>
      <c r="O981" s="17"/>
      <c r="P981" s="116" t="str">
        <f>EUconst_CNTR_HeatExport &amp; I949</f>
        <v>HeatEx_</v>
      </c>
      <c r="T981" s="9"/>
    </row>
    <row r="982" spans="2:20" x14ac:dyDescent="0.25">
      <c r="B982" s="17"/>
      <c r="C982" s="17"/>
      <c r="D982" s="17"/>
      <c r="E982" s="1527" t="str">
        <f>Translations!$B$771</f>
        <v>Specific EF (exported heat)</v>
      </c>
      <c r="F982" s="1527"/>
      <c r="G982" s="1527"/>
      <c r="H982" s="343" t="str">
        <f>EUconst_tCO2pTJ</f>
        <v>t CO2 / TJ</v>
      </c>
      <c r="I982" s="437" t="str">
        <f>IF($I949="","",IF(INDEX(F_ProductBM!I:I,MATCH($P982,F_ProductBM!$P:$P,0))="","",INDEX(F_ProductBM!I:I,MATCH($P982,F_ProductBM!$P:$P,0))))</f>
        <v/>
      </c>
      <c r="J982" s="437" t="str">
        <f>IF($I949="","",IF(INDEX(F_ProductBM!J:J,MATCH($P982,F_ProductBM!$P:$P,0))="","",INDEX(F_ProductBM!J:J,MATCH($P982,F_ProductBM!$P:$P,0))))</f>
        <v/>
      </c>
      <c r="K982" s="437" t="str">
        <f>IF($I949="","",IF(INDEX(F_ProductBM!K:K,MATCH($P982,F_ProductBM!$P:$P,0))="","",INDEX(F_ProductBM!K:K,MATCH($P982,F_ProductBM!$P:$P,0))))</f>
        <v/>
      </c>
      <c r="L982" s="437" t="str">
        <f>IF($I949="","",IF(INDEX(F_ProductBM!L:L,MATCH($P982,F_ProductBM!$P:$P,0))="","",INDEX(F_ProductBM!L:L,MATCH($P982,F_ProductBM!$P:$P,0))))</f>
        <v/>
      </c>
      <c r="M982" s="437" t="str">
        <f>IF($I949="","",IF(INDEX(F_ProductBM!M:M,MATCH($P982,F_ProductBM!$P:$P,0))="","",INDEX(F_ProductBM!M:M,MATCH($P982,F_ProductBM!$P:$P,0))))</f>
        <v/>
      </c>
      <c r="N982" s="342"/>
      <c r="O982" s="17"/>
      <c r="P982" s="116" t="str">
        <f>EUconst_CNTR_HeatExportEF &amp; I949</f>
        <v>HeatExEF_</v>
      </c>
      <c r="T982" s="9"/>
    </row>
    <row r="983" spans="2:20" ht="5.0999999999999996" customHeight="1" x14ac:dyDescent="0.25">
      <c r="B983" s="17"/>
      <c r="C983" s="17"/>
      <c r="D983" s="17"/>
      <c r="E983" s="193"/>
      <c r="F983" s="193"/>
      <c r="G983" s="193"/>
      <c r="H983" s="193"/>
      <c r="I983" s="438"/>
      <c r="J983" s="438"/>
      <c r="K983" s="438"/>
      <c r="L983" s="438"/>
      <c r="M983" s="438"/>
      <c r="N983" s="342"/>
      <c r="O983" s="17"/>
      <c r="P983" s="9"/>
      <c r="T983" s="9"/>
    </row>
    <row r="984" spans="2:20" x14ac:dyDescent="0.25">
      <c r="B984" s="17"/>
      <c r="C984" s="17"/>
      <c r="D984" s="17"/>
      <c r="E984" s="1526" t="str">
        <f>Translations!$B$778</f>
        <v>Waste gas produced</v>
      </c>
      <c r="F984" s="1526"/>
      <c r="G984" s="1526"/>
      <c r="H984" s="939" t="str">
        <f>EUconst_TJpa</f>
        <v>TJ / year</v>
      </c>
      <c r="I984" s="436" t="str">
        <f>IF($I949="","",IF(INDEX(F_ProductBM!I:I,MATCH($P984,F_ProductBM!$P:$P,0))="","",INDEX(F_ProductBM!I:I,MATCH($P984,F_ProductBM!$P:$P,0))))</f>
        <v/>
      </c>
      <c r="J984" s="436" t="str">
        <f>IF($I949="","",IF(INDEX(F_ProductBM!J:J,MATCH($P984,F_ProductBM!$P:$P,0))="","",INDEX(F_ProductBM!J:J,MATCH($P984,F_ProductBM!$P:$P,0))))</f>
        <v/>
      </c>
      <c r="K984" s="436" t="str">
        <f>IF($I949="","",IF(INDEX(F_ProductBM!K:K,MATCH($P984,F_ProductBM!$P:$P,0))="","",INDEX(F_ProductBM!K:K,MATCH($P984,F_ProductBM!$P:$P,0))))</f>
        <v/>
      </c>
      <c r="L984" s="436" t="str">
        <f>IF($I949="","",IF(INDEX(F_ProductBM!L:L,MATCH($P984,F_ProductBM!$P:$P,0))="","",INDEX(F_ProductBM!L:L,MATCH($P984,F_ProductBM!$P:$P,0))))</f>
        <v/>
      </c>
      <c r="M984" s="436" t="str">
        <f>IF($I949="","",IF(INDEX(F_ProductBM!M:M,MATCH($P984,F_ProductBM!$P:$P,0))="","",INDEX(F_ProductBM!M:M,MATCH($P984,F_ProductBM!$P:$P,0))))</f>
        <v/>
      </c>
      <c r="N984" s="342"/>
      <c r="O984" s="17"/>
      <c r="P984" s="341" t="str">
        <f>EUconst_CNTR_WGProduced &amp; I949</f>
        <v>WasteGasProd_</v>
      </c>
      <c r="T984" s="9"/>
    </row>
    <row r="985" spans="2:20" x14ac:dyDescent="0.25">
      <c r="B985" s="17"/>
      <c r="C985" s="17"/>
      <c r="D985" s="17"/>
      <c r="E985" s="1527" t="str">
        <f>Translations!$B$779</f>
        <v>Specific EF (produced waste gas)</v>
      </c>
      <c r="F985" s="1527"/>
      <c r="G985" s="1527"/>
      <c r="H985" s="343" t="str">
        <f>EUconst_tCO2pTJ</f>
        <v>t CO2 / TJ</v>
      </c>
      <c r="I985" s="437" t="str">
        <f>IF($I949="","",IF(INDEX(F_ProductBM!I:I,MATCH($P985,F_ProductBM!$P:$P,0))="","",INDEX(F_ProductBM!I:I,MATCH($P985,F_ProductBM!$P:$P,0))))</f>
        <v/>
      </c>
      <c r="J985" s="437" t="str">
        <f>IF($I949="","",IF(INDEX(F_ProductBM!J:J,MATCH($P985,F_ProductBM!$P:$P,0))="","",INDEX(F_ProductBM!J:J,MATCH($P985,F_ProductBM!$P:$P,0))))</f>
        <v/>
      </c>
      <c r="K985" s="437" t="str">
        <f>IF($I949="","",IF(INDEX(F_ProductBM!K:K,MATCH($P985,F_ProductBM!$P:$P,0))="","",INDEX(F_ProductBM!K:K,MATCH($P985,F_ProductBM!$P:$P,0))))</f>
        <v/>
      </c>
      <c r="L985" s="437" t="str">
        <f>IF($I949="","",IF(INDEX(F_ProductBM!L:L,MATCH($P985,F_ProductBM!$P:$P,0))="","",INDEX(F_ProductBM!L:L,MATCH($P985,F_ProductBM!$P:$P,0))))</f>
        <v/>
      </c>
      <c r="M985" s="437" t="str">
        <f>IF($I949="","",IF(INDEX(F_ProductBM!M:M,MATCH($P985,F_ProductBM!$P:$P,0))="","",INDEX(F_ProductBM!M:M,MATCH($P985,F_ProductBM!$P:$P,0))))</f>
        <v/>
      </c>
      <c r="N985" s="342"/>
      <c r="O985" s="17"/>
      <c r="P985" s="116" t="str">
        <f>EUconst_CNTR_WGProducedEF &amp; I949</f>
        <v>WasteGasProdEF_</v>
      </c>
      <c r="T985" s="9"/>
    </row>
    <row r="986" spans="2:20" x14ac:dyDescent="0.25">
      <c r="B986" s="17"/>
      <c r="C986" s="17"/>
      <c r="D986" s="17"/>
      <c r="E986" s="1526" t="str">
        <f>Translations!$B$783</f>
        <v>Waste gas consumed</v>
      </c>
      <c r="F986" s="1526"/>
      <c r="G986" s="1526"/>
      <c r="H986" s="939" t="str">
        <f>EUconst_TJpa</f>
        <v>TJ / year</v>
      </c>
      <c r="I986" s="436" t="str">
        <f>IF($I949="","",IF(INDEX(F_ProductBM!I:I,MATCH($P986,F_ProductBM!$P:$P,0))="","",INDEX(F_ProductBM!I:I,MATCH($P986,F_ProductBM!$P:$P,0))))</f>
        <v/>
      </c>
      <c r="J986" s="436" t="str">
        <f>IF($I949="","",IF(INDEX(F_ProductBM!J:J,MATCH($P986,F_ProductBM!$P:$P,0))="","",INDEX(F_ProductBM!J:J,MATCH($P986,F_ProductBM!$P:$P,0))))</f>
        <v/>
      </c>
      <c r="K986" s="436" t="str">
        <f>IF($I949="","",IF(INDEX(F_ProductBM!K:K,MATCH($P986,F_ProductBM!$P:$P,0))="","",INDEX(F_ProductBM!K:K,MATCH($P986,F_ProductBM!$P:$P,0))))</f>
        <v/>
      </c>
      <c r="L986" s="436" t="str">
        <f>IF($I949="","",IF(INDEX(F_ProductBM!L:L,MATCH($P986,F_ProductBM!$P:$P,0))="","",INDEX(F_ProductBM!L:L,MATCH($P986,F_ProductBM!$P:$P,0))))</f>
        <v/>
      </c>
      <c r="M986" s="436" t="str">
        <f>IF($I949="","",IF(INDEX(F_ProductBM!M:M,MATCH($P986,F_ProductBM!$P:$P,0))="","",INDEX(F_ProductBM!M:M,MATCH($P986,F_ProductBM!$P:$P,0))))</f>
        <v/>
      </c>
      <c r="N986" s="342"/>
      <c r="O986" s="17"/>
      <c r="P986" s="116" t="str">
        <f>EUconst_CNTR_WGConsumed &amp; I949</f>
        <v>WasteGasCons_</v>
      </c>
      <c r="T986" s="9"/>
    </row>
    <row r="987" spans="2:20" x14ac:dyDescent="0.25">
      <c r="B987" s="17"/>
      <c r="C987" s="17"/>
      <c r="D987" s="17"/>
      <c r="E987" s="1527" t="str">
        <f>Translations!$B$784</f>
        <v>Specific EF (consumed waste gas)</v>
      </c>
      <c r="F987" s="1527"/>
      <c r="G987" s="1527"/>
      <c r="H987" s="343" t="str">
        <f>EUconst_tCO2pTJ</f>
        <v>t CO2 / TJ</v>
      </c>
      <c r="I987" s="437" t="str">
        <f>IF($I949="","",IF(INDEX(F_ProductBM!I:I,MATCH($P987,F_ProductBM!$P:$P,0))="","",INDEX(F_ProductBM!I:I,MATCH($P987,F_ProductBM!$P:$P,0))))</f>
        <v/>
      </c>
      <c r="J987" s="437" t="str">
        <f>IF($I949="","",IF(INDEX(F_ProductBM!J:J,MATCH($P987,F_ProductBM!$P:$P,0))="","",INDEX(F_ProductBM!J:J,MATCH($P987,F_ProductBM!$P:$P,0))))</f>
        <v/>
      </c>
      <c r="K987" s="437" t="str">
        <f>IF($I949="","",IF(INDEX(F_ProductBM!K:K,MATCH($P987,F_ProductBM!$P:$P,0))="","",INDEX(F_ProductBM!K:K,MATCH($P987,F_ProductBM!$P:$P,0))))</f>
        <v/>
      </c>
      <c r="L987" s="437" t="str">
        <f>IF($I949="","",IF(INDEX(F_ProductBM!L:L,MATCH($P987,F_ProductBM!$P:$P,0))="","",INDEX(F_ProductBM!L:L,MATCH($P987,F_ProductBM!$P:$P,0))))</f>
        <v/>
      </c>
      <c r="M987" s="437" t="str">
        <f>IF($I949="","",IF(INDEX(F_ProductBM!M:M,MATCH($P987,F_ProductBM!$P:$P,0))="","",INDEX(F_ProductBM!M:M,MATCH($P987,F_ProductBM!$P:$P,0))))</f>
        <v/>
      </c>
      <c r="N987" s="342"/>
      <c r="O987" s="17"/>
      <c r="P987" s="116" t="str">
        <f>EUconst_CNTR_WGConsumedEF &amp; I949</f>
        <v>WasteGasConsEF_</v>
      </c>
      <c r="T987" s="9"/>
    </row>
    <row r="988" spans="2:20" x14ac:dyDescent="0.25">
      <c r="B988" s="17"/>
      <c r="C988" s="17"/>
      <c r="D988" s="17"/>
      <c r="E988" s="1526" t="str">
        <f>Translations!$B$790</f>
        <v>Waste gas flared</v>
      </c>
      <c r="F988" s="1526"/>
      <c r="G988" s="1526"/>
      <c r="H988" s="939" t="str">
        <f>EUconst_TJpa</f>
        <v>TJ / year</v>
      </c>
      <c r="I988" s="436" t="str">
        <f>IF($I949="","",IF(INDEX(F_ProductBM!I:I,MATCH($P988,F_ProductBM!$P:$P,0))="","",INDEX(F_ProductBM!I:I,MATCH($P988,F_ProductBM!$P:$P,0))))</f>
        <v/>
      </c>
      <c r="J988" s="436" t="str">
        <f>IF($I949="","",IF(INDEX(F_ProductBM!J:J,MATCH($P988,F_ProductBM!$P:$P,0))="","",INDEX(F_ProductBM!J:J,MATCH($P988,F_ProductBM!$P:$P,0))))</f>
        <v/>
      </c>
      <c r="K988" s="436" t="str">
        <f>IF($I949="","",IF(INDEX(F_ProductBM!K:K,MATCH($P988,F_ProductBM!$P:$P,0))="","",INDEX(F_ProductBM!K:K,MATCH($P988,F_ProductBM!$P:$P,0))))</f>
        <v/>
      </c>
      <c r="L988" s="436" t="str">
        <f>IF($I949="","",IF(INDEX(F_ProductBM!L:L,MATCH($P988,F_ProductBM!$P:$P,0))="","",INDEX(F_ProductBM!L:L,MATCH($P988,F_ProductBM!$P:$P,0))))</f>
        <v/>
      </c>
      <c r="M988" s="436" t="str">
        <f>IF($I949="","",IF(INDEX(F_ProductBM!M:M,MATCH($P988,F_ProductBM!$P:$P,0))="","",INDEX(F_ProductBM!M:M,MATCH($P988,F_ProductBM!$P:$P,0))))</f>
        <v/>
      </c>
      <c r="N988" s="342"/>
      <c r="O988" s="17"/>
      <c r="P988" s="116" t="str">
        <f>EUconst_CNTR_WGFlared &amp; I949</f>
        <v>WasteGasFlare_</v>
      </c>
      <c r="T988" s="9"/>
    </row>
    <row r="989" spans="2:20" x14ac:dyDescent="0.25">
      <c r="B989" s="17"/>
      <c r="C989" s="17"/>
      <c r="D989" s="17"/>
      <c r="E989" s="1527" t="str">
        <f>Translations!$B$791</f>
        <v>Specific EF (flared waste gas)</v>
      </c>
      <c r="F989" s="1527"/>
      <c r="G989" s="1527"/>
      <c r="H989" s="343" t="str">
        <f>EUconst_tCO2pTJ</f>
        <v>t CO2 / TJ</v>
      </c>
      <c r="I989" s="437" t="str">
        <f>IF($I949="","",IF(INDEX(F_ProductBM!I:I,MATCH($P989,F_ProductBM!$P:$P,0))="","",INDEX(F_ProductBM!I:I,MATCH($P989,F_ProductBM!$P:$P,0))))</f>
        <v/>
      </c>
      <c r="J989" s="437" t="str">
        <f>IF($I949="","",IF(INDEX(F_ProductBM!J:J,MATCH($P989,F_ProductBM!$P:$P,0))="","",INDEX(F_ProductBM!J:J,MATCH($P989,F_ProductBM!$P:$P,0))))</f>
        <v/>
      </c>
      <c r="K989" s="437" t="str">
        <f>IF($I949="","",IF(INDEX(F_ProductBM!K:K,MATCH($P989,F_ProductBM!$P:$P,0))="","",INDEX(F_ProductBM!K:K,MATCH($P989,F_ProductBM!$P:$P,0))))</f>
        <v/>
      </c>
      <c r="L989" s="437" t="str">
        <f>IF($I949="","",IF(INDEX(F_ProductBM!L:L,MATCH($P989,F_ProductBM!$P:$P,0))="","",INDEX(F_ProductBM!L:L,MATCH($P989,F_ProductBM!$P:$P,0))))</f>
        <v/>
      </c>
      <c r="M989" s="437" t="str">
        <f>IF($I949="","",IF(INDEX(F_ProductBM!M:M,MATCH($P989,F_ProductBM!$P:$P,0))="","",INDEX(F_ProductBM!M:M,MATCH($P989,F_ProductBM!$P:$P,0))))</f>
        <v/>
      </c>
      <c r="N989" s="342"/>
      <c r="O989" s="17"/>
      <c r="P989" s="116" t="str">
        <f>EUconst_CNTR_WGFlaredEF &amp; I949</f>
        <v>WasteGasFlareEF_</v>
      </c>
      <c r="T989" s="9"/>
    </row>
    <row r="990" spans="2:20" x14ac:dyDescent="0.25">
      <c r="B990" s="17"/>
      <c r="C990" s="17"/>
      <c r="D990" s="17"/>
      <c r="E990" s="1526" t="str">
        <f>Translations!$B$796</f>
        <v>Waste gas imported</v>
      </c>
      <c r="F990" s="1526"/>
      <c r="G990" s="1526"/>
      <c r="H990" s="939" t="str">
        <f>EUconst_TJpa</f>
        <v>TJ / year</v>
      </c>
      <c r="I990" s="436" t="str">
        <f>IF($I949="","",IF(INDEX(F_ProductBM!I:I,MATCH($P990,F_ProductBM!$P:$P,0))="","",INDEX(F_ProductBM!I:I,MATCH($P990,F_ProductBM!$P:$P,0))))</f>
        <v/>
      </c>
      <c r="J990" s="436" t="str">
        <f>IF($I949="","",IF(INDEX(F_ProductBM!J:J,MATCH($P990,F_ProductBM!$P:$P,0))="","",INDEX(F_ProductBM!J:J,MATCH($P990,F_ProductBM!$P:$P,0))))</f>
        <v/>
      </c>
      <c r="K990" s="436" t="str">
        <f>IF($I949="","",IF(INDEX(F_ProductBM!K:K,MATCH($P990,F_ProductBM!$P:$P,0))="","",INDEX(F_ProductBM!K:K,MATCH($P990,F_ProductBM!$P:$P,0))))</f>
        <v/>
      </c>
      <c r="L990" s="436" t="str">
        <f>IF($I949="","",IF(INDEX(F_ProductBM!L:L,MATCH($P990,F_ProductBM!$P:$P,0))="","",INDEX(F_ProductBM!L:L,MATCH($P990,F_ProductBM!$P:$P,0))))</f>
        <v/>
      </c>
      <c r="M990" s="436" t="str">
        <f>IF($I949="","",IF(INDEX(F_ProductBM!M:M,MATCH($P990,F_ProductBM!$P:$P,0))="","",INDEX(F_ProductBM!M:M,MATCH($P990,F_ProductBM!$P:$P,0))))</f>
        <v/>
      </c>
      <c r="N990" s="342"/>
      <c r="O990" s="17"/>
      <c r="P990" s="116" t="str">
        <f>EUconst_CNTR_WGImport &amp; I949</f>
        <v>WasteGasIm_</v>
      </c>
      <c r="T990" s="9"/>
    </row>
    <row r="991" spans="2:20" x14ac:dyDescent="0.25">
      <c r="B991" s="17"/>
      <c r="C991" s="17"/>
      <c r="D991" s="17"/>
      <c r="E991" s="1527" t="str">
        <f>Translations!$B$797</f>
        <v>Specific EF (imported waste gas)</v>
      </c>
      <c r="F991" s="1527"/>
      <c r="G991" s="1527"/>
      <c r="H991" s="343" t="str">
        <f>EUconst_tCO2pTJ</f>
        <v>t CO2 / TJ</v>
      </c>
      <c r="I991" s="437" t="str">
        <f>IF($I949="","",IF(INDEX(F_ProductBM!I:I,MATCH($P991,F_ProductBM!$P:$P,0))="","",INDEX(F_ProductBM!I:I,MATCH($P991,F_ProductBM!$P:$P,0))))</f>
        <v/>
      </c>
      <c r="J991" s="437" t="str">
        <f>IF($I949="","",IF(INDEX(F_ProductBM!J:J,MATCH($P991,F_ProductBM!$P:$P,0))="","",INDEX(F_ProductBM!J:J,MATCH($P991,F_ProductBM!$P:$P,0))))</f>
        <v/>
      </c>
      <c r="K991" s="437" t="str">
        <f>IF($I949="","",IF(INDEX(F_ProductBM!K:K,MATCH($P991,F_ProductBM!$P:$P,0))="","",INDEX(F_ProductBM!K:K,MATCH($P991,F_ProductBM!$P:$P,0))))</f>
        <v/>
      </c>
      <c r="L991" s="437" t="str">
        <f>IF($I949="","",IF(INDEX(F_ProductBM!L:L,MATCH($P991,F_ProductBM!$P:$P,0))="","",INDEX(F_ProductBM!L:L,MATCH($P991,F_ProductBM!$P:$P,0))))</f>
        <v/>
      </c>
      <c r="M991" s="437" t="str">
        <f>IF($I949="","",IF(INDEX(F_ProductBM!M:M,MATCH($P991,F_ProductBM!$P:$P,0))="","",INDEX(F_ProductBM!M:M,MATCH($P991,F_ProductBM!$P:$P,0))))</f>
        <v/>
      </c>
      <c r="N991" s="342"/>
      <c r="O991" s="17"/>
      <c r="P991" s="116" t="str">
        <f>EUconst_CNTR_WGImportEF &amp; I949</f>
        <v>WasteGasImEF_</v>
      </c>
      <c r="T991" s="9"/>
    </row>
    <row r="992" spans="2:20" x14ac:dyDescent="0.25">
      <c r="B992" s="17"/>
      <c r="C992" s="17"/>
      <c r="D992" s="17"/>
      <c r="E992" s="1526" t="str">
        <f>Translations!$B$801</f>
        <v>Waste gas exported</v>
      </c>
      <c r="F992" s="1526"/>
      <c r="G992" s="1526"/>
      <c r="H992" s="939" t="str">
        <f>EUconst_TJpa</f>
        <v>TJ / year</v>
      </c>
      <c r="I992" s="436" t="str">
        <f>IF($I949="","",IF(INDEX(F_ProductBM!I:I,MATCH($P992,F_ProductBM!$P:$P,0))="","",INDEX(F_ProductBM!I:I,MATCH($P992,F_ProductBM!$P:$P,0))))</f>
        <v/>
      </c>
      <c r="J992" s="436" t="str">
        <f>IF($I949="","",IF(INDEX(F_ProductBM!J:J,MATCH($P992,F_ProductBM!$P:$P,0))="","",INDEX(F_ProductBM!J:J,MATCH($P992,F_ProductBM!$P:$P,0))))</f>
        <v/>
      </c>
      <c r="K992" s="436" t="str">
        <f>IF($I949="","",IF(INDEX(F_ProductBM!K:K,MATCH($P992,F_ProductBM!$P:$P,0))="","",INDEX(F_ProductBM!K:K,MATCH($P992,F_ProductBM!$P:$P,0))))</f>
        <v/>
      </c>
      <c r="L992" s="436" t="str">
        <f>IF($I949="","",IF(INDEX(F_ProductBM!L:L,MATCH($P992,F_ProductBM!$P:$P,0))="","",INDEX(F_ProductBM!L:L,MATCH($P992,F_ProductBM!$P:$P,0))))</f>
        <v/>
      </c>
      <c r="M992" s="436" t="str">
        <f>IF($I949="","",IF(INDEX(F_ProductBM!M:M,MATCH($P992,F_ProductBM!$P:$P,0))="","",INDEX(F_ProductBM!M:M,MATCH($P992,F_ProductBM!$P:$P,0))))</f>
        <v/>
      </c>
      <c r="N992" s="342"/>
      <c r="O992" s="17"/>
      <c r="P992" s="116" t="str">
        <f>EUconst_CNTR_WGExport &amp; I949</f>
        <v>WasteGasEx_</v>
      </c>
      <c r="T992" s="9"/>
    </row>
    <row r="993" spans="2:20" x14ac:dyDescent="0.25">
      <c r="B993" s="17"/>
      <c r="C993" s="17"/>
      <c r="D993" s="17"/>
      <c r="E993" s="1527" t="str">
        <f>Translations!$B$802</f>
        <v>Specific EF (exported waste gas)</v>
      </c>
      <c r="F993" s="1527"/>
      <c r="G993" s="1527"/>
      <c r="H993" s="343" t="str">
        <f>EUconst_tCO2pTJ</f>
        <v>t CO2 / TJ</v>
      </c>
      <c r="I993" s="437" t="str">
        <f>IF($I949="","",IF(INDEX(F_ProductBM!I:I,MATCH($P993,F_ProductBM!$P:$P,0))="","",INDEX(F_ProductBM!I:I,MATCH($P993,F_ProductBM!$P:$P,0))))</f>
        <v/>
      </c>
      <c r="J993" s="437" t="str">
        <f>IF($I949="","",IF(INDEX(F_ProductBM!J:J,MATCH($P993,F_ProductBM!$P:$P,0))="","",INDEX(F_ProductBM!J:J,MATCH($P993,F_ProductBM!$P:$P,0))))</f>
        <v/>
      </c>
      <c r="K993" s="437" t="str">
        <f>IF($I949="","",IF(INDEX(F_ProductBM!K:K,MATCH($P993,F_ProductBM!$P:$P,0))="","",INDEX(F_ProductBM!K:K,MATCH($P993,F_ProductBM!$P:$P,0))))</f>
        <v/>
      </c>
      <c r="L993" s="437" t="str">
        <f>IF($I949="","",IF(INDEX(F_ProductBM!L:L,MATCH($P993,F_ProductBM!$P:$P,0))="","",INDEX(F_ProductBM!L:L,MATCH($P993,F_ProductBM!$P:$P,0))))</f>
        <v/>
      </c>
      <c r="M993" s="437" t="str">
        <f>IF($I949="","",IF(INDEX(F_ProductBM!M:M,MATCH($P993,F_ProductBM!$P:$P,0))="","",INDEX(F_ProductBM!M:M,MATCH($P993,F_ProductBM!$P:$P,0))))</f>
        <v/>
      </c>
      <c r="N993" s="342"/>
      <c r="O993" s="17"/>
      <c r="P993" s="116" t="str">
        <f>EUconst_CNTR_WGExportEF &amp; I949</f>
        <v>WasteGasExEF_</v>
      </c>
      <c r="T993" s="9"/>
    </row>
    <row r="994" spans="2:20" ht="5.0999999999999996" customHeight="1" x14ac:dyDescent="0.25">
      <c r="B994" s="17"/>
      <c r="C994" s="17"/>
      <c r="D994" s="17"/>
      <c r="E994" s="193"/>
      <c r="F994" s="193"/>
      <c r="G994" s="193"/>
      <c r="H994" s="193"/>
      <c r="I994" s="438"/>
      <c r="J994" s="438"/>
      <c r="K994" s="438"/>
      <c r="L994" s="438"/>
      <c r="M994" s="438"/>
      <c r="N994" s="342"/>
      <c r="O994" s="17"/>
      <c r="P994" s="9"/>
      <c r="T994" s="9"/>
    </row>
    <row r="995" spans="2:20" x14ac:dyDescent="0.25">
      <c r="B995" s="17"/>
      <c r="C995" s="17"/>
      <c r="D995" s="17"/>
      <c r="E995" s="1528" t="str">
        <f>Translations!$B$689</f>
        <v>Relevant electricity consumption</v>
      </c>
      <c r="F995" s="1528"/>
      <c r="G995" s="1528"/>
      <c r="H995" s="154" t="str">
        <f>EUconst_MWhpa</f>
        <v>MWh / year</v>
      </c>
      <c r="I995" s="439" t="str">
        <f>IF($I949="","",IF(INDEX(F_ProductBM!I:I,MATCH($P995,F_ProductBM!$Q:$Q,0))="","",INDEX(F_ProductBM!I:I,MATCH($P995,F_ProductBM!$Q:$Q,0))))</f>
        <v/>
      </c>
      <c r="J995" s="439" t="str">
        <f>IF($I949="","",IF(INDEX(F_ProductBM!J:J,MATCH($P995,F_ProductBM!$Q:$Q,0))="","",INDEX(F_ProductBM!J:J,MATCH($P995,F_ProductBM!$Q:$Q,0))))</f>
        <v/>
      </c>
      <c r="K995" s="439" t="str">
        <f>IF($I949="","",IF(INDEX(F_ProductBM!K:K,MATCH($P995,F_ProductBM!$Q:$Q,0))="","",INDEX(F_ProductBM!K:K,MATCH($P995,F_ProductBM!$Q:$Q,0))))</f>
        <v/>
      </c>
      <c r="L995" s="439" t="str">
        <f>IF($I949="","",IF(INDEX(F_ProductBM!L:L,MATCH($P995,F_ProductBM!$Q:$Q,0))="","",INDEX(F_ProductBM!L:L,MATCH($P995,F_ProductBM!$Q:$Q,0))))</f>
        <v/>
      </c>
      <c r="M995" s="439" t="str">
        <f>IF($I949="","",IF(INDEX(F_ProductBM!M:M,MATCH($P995,F_ProductBM!$Q:$Q,0))="","",INDEX(F_ProductBM!M:M,MATCH($P995,F_ProductBM!$Q:$Q,0))))</f>
        <v/>
      </c>
      <c r="N995" s="342"/>
      <c r="O995" s="17"/>
      <c r="P995" s="63" t="str">
        <f>EUconst_CNTR_HAL&amp;EUconst_CNTR_ELEXCH &amp; I949</f>
        <v>HAL_ELEXCH_</v>
      </c>
      <c r="T995" s="9"/>
    </row>
    <row r="996" spans="2:20" x14ac:dyDescent="0.25">
      <c r="B996" s="17"/>
      <c r="C996" s="17"/>
      <c r="D996" s="17"/>
      <c r="E996" s="1528" t="str">
        <f>Translations!$B$805</f>
        <v>Electricity produced</v>
      </c>
      <c r="F996" s="1528"/>
      <c r="G996" s="1528"/>
      <c r="H996" s="154" t="str">
        <f>EUconst_MWhpa</f>
        <v>MWh / year</v>
      </c>
      <c r="I996" s="439" t="str">
        <f>IF($I949="","",IF(INDEX(F_ProductBM!I:I,MATCH($P996,F_ProductBM!$P:$P,0))="","",INDEX(F_ProductBM!I:I,MATCH($P996,F_ProductBM!$P:$P,0))))</f>
        <v/>
      </c>
      <c r="J996" s="439" t="str">
        <f>IF($I949="","",IF(INDEX(F_ProductBM!J:J,MATCH($P996,F_ProductBM!$P:$P,0))="","",INDEX(F_ProductBM!J:J,MATCH($P996,F_ProductBM!$P:$P,0))))</f>
        <v/>
      </c>
      <c r="K996" s="439" t="str">
        <f>IF($I949="","",IF(INDEX(F_ProductBM!K:K,MATCH($P996,F_ProductBM!$P:$P,0))="","",INDEX(F_ProductBM!K:K,MATCH($P996,F_ProductBM!$P:$P,0))))</f>
        <v/>
      </c>
      <c r="L996" s="439" t="str">
        <f>IF($I949="","",IF(INDEX(F_ProductBM!L:L,MATCH($P996,F_ProductBM!$P:$P,0))="","",INDEX(F_ProductBM!L:L,MATCH($P996,F_ProductBM!$P:$P,0))))</f>
        <v/>
      </c>
      <c r="M996" s="439" t="str">
        <f>IF($I949="","",IF(INDEX(F_ProductBM!M:M,MATCH($P996,F_ProductBM!$P:$P,0))="","",INDEX(F_ProductBM!M:M,MATCH($P996,F_ProductBM!$P:$P,0))))</f>
        <v/>
      </c>
      <c r="N996" s="342"/>
      <c r="O996" s="17"/>
      <c r="P996" s="116" t="str">
        <f>EUconst_CNTR_ElectricityExported &amp; I949</f>
        <v>ElecEx_</v>
      </c>
      <c r="T996" s="9"/>
    </row>
    <row r="997" spans="2:20" ht="5.0999999999999996" customHeight="1" x14ac:dyDescent="0.25">
      <c r="B997" s="17"/>
      <c r="C997" s="17"/>
      <c r="D997" s="17"/>
      <c r="E997" s="193"/>
      <c r="F997" s="193"/>
      <c r="G997" s="193"/>
      <c r="H997" s="193"/>
      <c r="I997" s="438"/>
      <c r="J997" s="438"/>
      <c r="K997" s="438"/>
      <c r="L997" s="438"/>
      <c r="M997" s="438"/>
      <c r="N997" s="342"/>
      <c r="O997" s="17"/>
      <c r="P997" s="9"/>
      <c r="T997" s="9"/>
    </row>
    <row r="998" spans="2:20" x14ac:dyDescent="0.25">
      <c r="B998" s="17"/>
      <c r="C998" s="17"/>
      <c r="D998" s="17"/>
      <c r="E998" s="1528" t="str">
        <f>Translations!$B$806</f>
        <v>Total amount of pulp produced</v>
      </c>
      <c r="F998" s="1528"/>
      <c r="G998" s="1528"/>
      <c r="H998" s="154" t="str">
        <f>EUconst_Tons</f>
        <v>tonnes</v>
      </c>
      <c r="I998" s="439" t="str">
        <f>IF($I949="","",IF(INDEX(F_ProductBM!I:I,MATCH($P998,F_ProductBM!$P:$P,0))="","",INDEX(F_ProductBM!I:I,MATCH($P998,F_ProductBM!$P:$P,0))))</f>
        <v/>
      </c>
      <c r="J998" s="439" t="str">
        <f>IF($I949="","",IF(INDEX(F_ProductBM!J:J,MATCH($P998,F_ProductBM!$P:$P,0))="","",INDEX(F_ProductBM!J:J,MATCH($P998,F_ProductBM!$P:$P,0))))</f>
        <v/>
      </c>
      <c r="K998" s="439" t="str">
        <f>IF($I949="","",IF(INDEX(F_ProductBM!K:K,MATCH($P998,F_ProductBM!$P:$P,0))="","",INDEX(F_ProductBM!K:K,MATCH($P998,F_ProductBM!$P:$P,0))))</f>
        <v/>
      </c>
      <c r="L998" s="439" t="str">
        <f>IF($I949="","",IF(INDEX(F_ProductBM!L:L,MATCH($P998,F_ProductBM!$P:$P,0))="","",INDEX(F_ProductBM!L:L,MATCH($P998,F_ProductBM!$P:$P,0))))</f>
        <v/>
      </c>
      <c r="M998" s="439" t="str">
        <f>IF($I949="","",IF(INDEX(F_ProductBM!M:M,MATCH($P998,F_ProductBM!$P:$P,0))="","",INDEX(F_ProductBM!M:M,MATCH($P998,F_ProductBM!$P:$P,0))))</f>
        <v/>
      </c>
      <c r="N998" s="342"/>
      <c r="O998" s="17"/>
      <c r="P998" s="116" t="str">
        <f>EUconst_CNTR_HALPulpTotal &amp; I949</f>
        <v>HALPulpTotal_</v>
      </c>
      <c r="T998" s="9"/>
    </row>
    <row r="999" spans="2:20" ht="5.0999999999999996" customHeight="1" x14ac:dyDescent="0.25">
      <c r="B999" s="17"/>
      <c r="C999" s="17"/>
      <c r="D999" s="17"/>
      <c r="E999" s="193"/>
      <c r="F999" s="193"/>
      <c r="G999" s="193"/>
      <c r="H999" s="193"/>
      <c r="I999" s="438"/>
      <c r="J999" s="438"/>
      <c r="K999" s="438"/>
      <c r="L999" s="438"/>
      <c r="M999" s="438"/>
      <c r="N999" s="342"/>
      <c r="O999" s="17"/>
      <c r="P999" s="9"/>
      <c r="T999" s="9"/>
    </row>
    <row r="1000" spans="2:20" x14ac:dyDescent="0.25">
      <c r="B1000" s="17"/>
      <c r="C1000" s="17"/>
      <c r="D1000" s="17"/>
      <c r="E1000" s="605" t="str">
        <f>Translations!$B$1239</f>
        <v>Intermediate import:</v>
      </c>
      <c r="F1000" s="193"/>
      <c r="G1000" s="193"/>
      <c r="H1000" s="193"/>
      <c r="I1000" s="438"/>
      <c r="J1000" s="438"/>
      <c r="K1000" s="438"/>
      <c r="L1000" s="438"/>
      <c r="M1000" s="438"/>
      <c r="N1000" s="342"/>
      <c r="O1000" s="17"/>
      <c r="P1000" s="9"/>
      <c r="T1000" s="9"/>
    </row>
    <row r="1001" spans="2:20" x14ac:dyDescent="0.25">
      <c r="B1001" s="17"/>
      <c r="C1001" s="17"/>
      <c r="D1001" s="17"/>
      <c r="E1001" s="1510" t="str">
        <f>IF($I949="","",IF(INDEX(F_ProductBM!E:E,MATCH($P1001,F_ProductBM!$P:$P,0))="","",INDEX(F_ProductBM!E:E,MATCH($P1001,F_ProductBM!$P:$P,0))))</f>
        <v/>
      </c>
      <c r="F1001" s="1510"/>
      <c r="G1001" s="1510"/>
      <c r="H1001" s="154" t="str">
        <f>EUconst_Tons</f>
        <v>tonnes</v>
      </c>
      <c r="I1001" s="439" t="str">
        <f>IF($I949="","",IF(INDEX(F_ProductBM!I:I,MATCH($P1001,F_ProductBM!$P:$P,0))="","",INDEX(F_ProductBM!I:I,MATCH($P1001,F_ProductBM!$P:$P,0))))</f>
        <v/>
      </c>
      <c r="J1001" s="439" t="str">
        <f>IF($I949="","",IF(INDEX(F_ProductBM!J:J,MATCH($P1001,F_ProductBM!$P:$P,0))="","",INDEX(F_ProductBM!J:J,MATCH($P1001,F_ProductBM!$P:$P,0))))</f>
        <v/>
      </c>
      <c r="K1001" s="439" t="str">
        <f>IF($I949="","",IF(INDEX(F_ProductBM!K:K,MATCH($P1001,F_ProductBM!$P:$P,0))="","",INDEX(F_ProductBM!K:K,MATCH($P1001,F_ProductBM!$P:$P,0))))</f>
        <v/>
      </c>
      <c r="L1001" s="439" t="str">
        <f>IF($I949="","",IF(INDEX(F_ProductBM!L:L,MATCH($P1001,F_ProductBM!$P:$P,0))="","",INDEX(F_ProductBM!L:L,MATCH($P1001,F_ProductBM!$P:$P,0))))</f>
        <v/>
      </c>
      <c r="M1001" s="439" t="str">
        <f>IF($I949="","",IF(INDEX(F_ProductBM!M:M,MATCH($P1001,F_ProductBM!$P:$P,0))="","",INDEX(F_ProductBM!M:M,MATCH($P1001,F_ProductBM!$P:$P,0))))</f>
        <v/>
      </c>
      <c r="N1001" s="342"/>
      <c r="O1001" s="17"/>
      <c r="P1001" s="116" t="str">
        <f>EUconst_CNTR_IntermediateImport &amp; R1001 &amp; "_" &amp; I949</f>
        <v>IntImp_1_</v>
      </c>
      <c r="R1001" s="372">
        <v>1</v>
      </c>
      <c r="T1001" s="9"/>
    </row>
    <row r="1002" spans="2:20" x14ac:dyDescent="0.25">
      <c r="B1002" s="17"/>
      <c r="C1002" s="17"/>
      <c r="D1002" s="17"/>
      <c r="E1002" s="1510" t="str">
        <f>IF($I949="","",IF(INDEX(F_ProductBM!E:E,MATCH($P1002,F_ProductBM!$P:$P,0))="","",INDEX(F_ProductBM!E:E,MATCH($P1002,F_ProductBM!$P:$P,0))))</f>
        <v/>
      </c>
      <c r="F1002" s="1510"/>
      <c r="G1002" s="1510"/>
      <c r="H1002" s="154" t="str">
        <f>EUconst_Tons</f>
        <v>tonnes</v>
      </c>
      <c r="I1002" s="439" t="str">
        <f>IF($I949="","",IF(INDEX(F_ProductBM!I:I,MATCH($P1002,F_ProductBM!$P:$P,0))="","",INDEX(F_ProductBM!I:I,MATCH($P1002,F_ProductBM!$P:$P,0))))</f>
        <v/>
      </c>
      <c r="J1002" s="439" t="str">
        <f>IF($I949="","",IF(INDEX(F_ProductBM!J:J,MATCH($P1002,F_ProductBM!$P:$P,0))="","",INDEX(F_ProductBM!J:J,MATCH($P1002,F_ProductBM!$P:$P,0))))</f>
        <v/>
      </c>
      <c r="K1002" s="439" t="str">
        <f>IF($I949="","",IF(INDEX(F_ProductBM!K:K,MATCH($P1002,F_ProductBM!$P:$P,0))="","",INDEX(F_ProductBM!K:K,MATCH($P1002,F_ProductBM!$P:$P,0))))</f>
        <v/>
      </c>
      <c r="L1002" s="439" t="str">
        <f>IF($I949="","",IF(INDEX(F_ProductBM!L:L,MATCH($P1002,F_ProductBM!$P:$P,0))="","",INDEX(F_ProductBM!L:L,MATCH($P1002,F_ProductBM!$P:$P,0))))</f>
        <v/>
      </c>
      <c r="M1002" s="439" t="str">
        <f>IF($I949="","",IF(INDEX(F_ProductBM!M:M,MATCH($P1002,F_ProductBM!$P:$P,0))="","",INDEX(F_ProductBM!M:M,MATCH($P1002,F_ProductBM!$P:$P,0))))</f>
        <v/>
      </c>
      <c r="N1002" s="342"/>
      <c r="O1002" s="17"/>
      <c r="P1002" s="116" t="str">
        <f>EUconst_CNTR_IntermediateImport &amp; R1002 &amp; "_" &amp; I949</f>
        <v>IntImp_2_</v>
      </c>
      <c r="R1002" s="372">
        <v>2</v>
      </c>
      <c r="T1002" s="9"/>
    </row>
    <row r="1003" spans="2:20" x14ac:dyDescent="0.25">
      <c r="B1003" s="17"/>
      <c r="C1003" s="17"/>
      <c r="D1003" s="17"/>
      <c r="E1003" s="605" t="str">
        <f>Translations!$B$1240</f>
        <v>Intermediate export:</v>
      </c>
      <c r="F1003" s="193"/>
      <c r="G1003" s="193"/>
      <c r="H1003" s="193"/>
      <c r="I1003" s="438"/>
      <c r="J1003" s="438"/>
      <c r="K1003" s="438"/>
      <c r="L1003" s="438"/>
      <c r="M1003" s="438"/>
      <c r="N1003" s="342"/>
      <c r="O1003" s="17"/>
      <c r="P1003" s="9"/>
      <c r="T1003" s="9"/>
    </row>
    <row r="1004" spans="2:20" x14ac:dyDescent="0.25">
      <c r="B1004" s="17"/>
      <c r="C1004" s="17"/>
      <c r="D1004" s="17"/>
      <c r="E1004" s="1510" t="str">
        <f>IF($I949="","",IF(INDEX(F_ProductBM!E:E,MATCH($P1004,F_ProductBM!$P:$P,0))="","",INDEX(F_ProductBM!E:E,MATCH($P1004,F_ProductBM!$P:$P,0))))</f>
        <v/>
      </c>
      <c r="F1004" s="1510"/>
      <c r="G1004" s="1510"/>
      <c r="H1004" s="154" t="str">
        <f>EUconst_Tons</f>
        <v>tonnes</v>
      </c>
      <c r="I1004" s="439" t="str">
        <f>IF($I949="","",IF(INDEX(F_ProductBM!I:I,MATCH($P1004,F_ProductBM!$P:$P,0))="","",INDEX(F_ProductBM!I:I,MATCH($P1004,F_ProductBM!$P:$P,0))))</f>
        <v/>
      </c>
      <c r="J1004" s="439" t="str">
        <f>IF($I949="","",IF(INDEX(F_ProductBM!J:J,MATCH($P1004,F_ProductBM!$P:$P,0))="","",INDEX(F_ProductBM!J:J,MATCH($P1004,F_ProductBM!$P:$P,0))))</f>
        <v/>
      </c>
      <c r="K1004" s="439" t="str">
        <f>IF($I949="","",IF(INDEX(F_ProductBM!K:K,MATCH($P1004,F_ProductBM!$P:$P,0))="","",INDEX(F_ProductBM!K:K,MATCH($P1004,F_ProductBM!$P:$P,0))))</f>
        <v/>
      </c>
      <c r="L1004" s="439" t="str">
        <f>IF($I949="","",IF(INDEX(F_ProductBM!L:L,MATCH($P1004,F_ProductBM!$P:$P,0))="","",INDEX(F_ProductBM!L:L,MATCH($P1004,F_ProductBM!$P:$P,0))))</f>
        <v/>
      </c>
      <c r="M1004" s="439" t="str">
        <f>IF($I949="","",IF(INDEX(F_ProductBM!M:M,MATCH($P1004,F_ProductBM!$P:$P,0))="","",INDEX(F_ProductBM!M:M,MATCH($P1004,F_ProductBM!$P:$P,0))))</f>
        <v/>
      </c>
      <c r="N1004" s="342"/>
      <c r="O1004" s="17"/>
      <c r="P1004" s="116" t="str">
        <f>EUconst_CNTR_IntermediateExport &amp; R1001 &amp; "_" &amp; I949</f>
        <v>IntExp_1_</v>
      </c>
      <c r="R1004" s="372">
        <v>1</v>
      </c>
      <c r="T1004" s="9"/>
    </row>
    <row r="1005" spans="2:20" x14ac:dyDescent="0.25">
      <c r="B1005" s="17"/>
      <c r="C1005" s="17"/>
      <c r="D1005" s="17"/>
      <c r="E1005" s="1510" t="str">
        <f>IF($I949="","",IF(INDEX(F_ProductBM!E:E,MATCH($P1005,F_ProductBM!$P:$P,0))="","",INDEX(F_ProductBM!E:E,MATCH($P1005,F_ProductBM!$P:$P,0))))</f>
        <v/>
      </c>
      <c r="F1005" s="1510"/>
      <c r="G1005" s="1510"/>
      <c r="H1005" s="154" t="str">
        <f>EUconst_Tons</f>
        <v>tonnes</v>
      </c>
      <c r="I1005" s="439" t="str">
        <f>IF($I949="","",IF(INDEX(F_ProductBM!I:I,MATCH($P1005,F_ProductBM!$P:$P,0))="","",INDEX(F_ProductBM!I:I,MATCH($P1005,F_ProductBM!$P:$P,0))))</f>
        <v/>
      </c>
      <c r="J1005" s="439" t="str">
        <f>IF($I949="","",IF(INDEX(F_ProductBM!J:J,MATCH($P1005,F_ProductBM!$P:$P,0))="","",INDEX(F_ProductBM!J:J,MATCH($P1005,F_ProductBM!$P:$P,0))))</f>
        <v/>
      </c>
      <c r="K1005" s="439" t="str">
        <f>IF($I949="","",IF(INDEX(F_ProductBM!K:K,MATCH($P1005,F_ProductBM!$P:$P,0))="","",INDEX(F_ProductBM!K:K,MATCH($P1005,F_ProductBM!$P:$P,0))))</f>
        <v/>
      </c>
      <c r="L1005" s="439" t="str">
        <f>IF($I949="","",IF(INDEX(F_ProductBM!L:L,MATCH($P1005,F_ProductBM!$P:$P,0))="","",INDEX(F_ProductBM!L:L,MATCH($P1005,F_ProductBM!$P:$P,0))))</f>
        <v/>
      </c>
      <c r="M1005" s="439" t="str">
        <f>IF($I949="","",IF(INDEX(F_ProductBM!M:M,MATCH($P1005,F_ProductBM!$P:$P,0))="","",INDEX(F_ProductBM!M:M,MATCH($P1005,F_ProductBM!$P:$P,0))))</f>
        <v/>
      </c>
      <c r="N1005" s="342"/>
      <c r="O1005" s="17"/>
      <c r="P1005" s="116" t="str">
        <f>EUconst_CNTR_IntermediateExport &amp; R1005 &amp; "_" &amp; I949</f>
        <v>IntExp_2_</v>
      </c>
      <c r="R1005" s="372">
        <v>2</v>
      </c>
      <c r="T1005" s="9"/>
    </row>
    <row r="1006" spans="2:20" ht="12.75" customHeight="1" x14ac:dyDescent="0.25">
      <c r="B1006" s="17"/>
      <c r="C1006" s="17"/>
      <c r="D1006" s="17"/>
      <c r="E1006" s="193"/>
      <c r="F1006" s="193"/>
      <c r="G1006" s="193"/>
      <c r="H1006" s="193"/>
      <c r="I1006" s="342"/>
      <c r="J1006" s="342"/>
      <c r="K1006" s="342"/>
      <c r="L1006" s="342"/>
      <c r="M1006" s="342"/>
      <c r="N1006" s="342"/>
      <c r="O1006" s="17"/>
      <c r="P1006" s="9"/>
      <c r="T1006" s="9"/>
    </row>
    <row r="1007" spans="2:20" ht="5.0999999999999996" customHeight="1" thickBot="1" x14ac:dyDescent="0.3">
      <c r="B1007" s="17"/>
      <c r="C1007" s="17"/>
      <c r="D1007" s="17"/>
      <c r="E1007" s="445"/>
      <c r="F1007" s="276"/>
      <c r="G1007" s="276"/>
      <c r="H1007" s="276"/>
      <c r="I1007" s="276"/>
      <c r="J1007" s="276"/>
      <c r="K1007" s="276"/>
      <c r="L1007" s="276"/>
      <c r="M1007" s="276"/>
      <c r="N1007" s="276"/>
      <c r="O1007" s="17"/>
      <c r="T1007" s="9"/>
    </row>
    <row r="1008" spans="2:20" ht="5.0999999999999996" customHeight="1" thickBot="1" x14ac:dyDescent="0.3">
      <c r="B1008" s="8"/>
      <c r="C1008" s="906"/>
      <c r="D1008" s="906"/>
      <c r="E1008" s="906"/>
      <c r="F1008" s="906"/>
      <c r="G1008" s="906"/>
      <c r="H1008" s="906"/>
      <c r="I1008" s="906"/>
      <c r="J1008" s="906"/>
      <c r="K1008" s="906"/>
      <c r="L1008" s="906"/>
      <c r="M1008" s="906"/>
      <c r="N1008" s="906"/>
      <c r="O1008" s="17"/>
      <c r="T1008" s="9" t="s">
        <v>644</v>
      </c>
    </row>
    <row r="1009" spans="2:20" ht="15" customHeight="1" thickBot="1" x14ac:dyDescent="0.3">
      <c r="B1009" s="17"/>
      <c r="C1009" s="19">
        <f>C949+1</f>
        <v>10</v>
      </c>
      <c r="D1009" s="1234" t="str">
        <f>CONCATENATE(EUconst_BMSubinst," ",C1009, ":")</f>
        <v>Sub-installation with product benchmark 10:</v>
      </c>
      <c r="E1009" s="1234"/>
      <c r="F1009" s="1234"/>
      <c r="G1009" s="1234"/>
      <c r="H1009" s="1704"/>
      <c r="I1009" s="1550" t="str">
        <f>IF(INDEX(CNTR_SubInstListIsProdBM,$C1009),INDEX(CNTR_SubInstListNames,$C1009),"")</f>
        <v/>
      </c>
      <c r="J1009" s="1705"/>
      <c r="K1009" s="1705"/>
      <c r="L1009" s="1705"/>
      <c r="M1009" s="1705"/>
      <c r="N1009" s="1706"/>
      <c r="O1009" s="17"/>
      <c r="Q1009" s="427">
        <f>C1009</f>
        <v>10</v>
      </c>
      <c r="R1009" s="424" t="str">
        <f>I1009</f>
        <v/>
      </c>
      <c r="S1009" s="426" t="str">
        <f>H1012</f>
        <v>N.A.</v>
      </c>
      <c r="T1009" s="425" t="str">
        <f>IF(M1021="","",IF(S1012=0,0,SUM(M1021)/S1012))</f>
        <v/>
      </c>
    </row>
    <row r="1010" spans="2:20" ht="5.0999999999999996" customHeight="1" thickBot="1" x14ac:dyDescent="0.3">
      <c r="B1010" s="17"/>
      <c r="C1010" s="17"/>
      <c r="D1010" s="17"/>
      <c r="E1010" s="17"/>
      <c r="F1010" s="17"/>
      <c r="G1010" s="17"/>
      <c r="H1010" s="17"/>
      <c r="I1010" s="17"/>
      <c r="J1010" s="17"/>
      <c r="K1010" s="17"/>
      <c r="L1010" s="17"/>
      <c r="M1010" s="17"/>
      <c r="N1010" s="17"/>
      <c r="O1010" s="17"/>
      <c r="T1010" s="9"/>
    </row>
    <row r="1011" spans="2:20" x14ac:dyDescent="0.25">
      <c r="B1011" s="17"/>
      <c r="C1011" s="17"/>
      <c r="D1011" s="17"/>
      <c r="E1011" s="17"/>
      <c r="F1011" s="17"/>
      <c r="G1011" s="17"/>
      <c r="H1011" s="253" t="str">
        <f>Translations!$B$1204</f>
        <v>CL-exposed</v>
      </c>
      <c r="I1011" s="254" t="s">
        <v>629</v>
      </c>
      <c r="J1011" s="254" t="str">
        <f>Translations!$B$1208</f>
        <v>Started</v>
      </c>
      <c r="K1011" s="254" t="str">
        <f>Translations!$B$1206</f>
        <v>No. of BM</v>
      </c>
      <c r="L1011" s="329" t="str">
        <f>Translations!$B$1212</f>
        <v>15(7).3?</v>
      </c>
      <c r="M1011" s="468" t="str">
        <f>Translations!$B$1234</f>
        <v>BM value (min/max/actual)</v>
      </c>
      <c r="N1011" s="469"/>
      <c r="O1011" s="17"/>
      <c r="T1011" s="9"/>
    </row>
    <row r="1012" spans="2:20" x14ac:dyDescent="0.25">
      <c r="B1012" s="17"/>
      <c r="C1012" s="17"/>
      <c r="D1012" s="17"/>
      <c r="E1012" s="255" t="str">
        <f>I1009</f>
        <v/>
      </c>
      <c r="F1012" s="256"/>
      <c r="G1012" s="230"/>
      <c r="H1012" s="257" t="str">
        <f>IF(K1012=EUconst_NA,EUconst_NA,INDEX(EUconst_BMlistCLstatus,K1012))</f>
        <v>N.A.</v>
      </c>
      <c r="I1012" s="258" t="str">
        <f>IF(E1012="","",INDEX(EUconst_BMlistElExchangability,K1012))</f>
        <v/>
      </c>
      <c r="J1012" s="355" t="str">
        <f>IF($I1009="",EUconst_NA,INDEX(CNTR_SubInstStartDate,MATCH(E1012,CNTR_SubInstListNames,0)))</f>
        <v>N.A.</v>
      </c>
      <c r="K1012" s="203" t="str">
        <f>IF($I1009="",EUconst_NA,MATCH(E1012,EUconst_BMlistNames,0))</f>
        <v>N.A.</v>
      </c>
      <c r="L1012" s="467" t="str">
        <f>IF(E1012="","",INDEX(CNTR_SubInstLess1Year,MATCH(E1012,CNTR_SubInstListNames,0)))</f>
        <v/>
      </c>
      <c r="M1012" s="470" t="str">
        <f>IF(I1009="",EUconst_NA,INDEX(EUconst_BMlistBMvaluesMatrix,K1012,2))</f>
        <v>N.A.</v>
      </c>
      <c r="N1012" s="471" t="str">
        <f>EUconst_EUA &amp; "/" &amp; H1017</f>
        <v>UKA/tonnes</v>
      </c>
      <c r="O1012" s="17"/>
      <c r="R1012" s="288" t="s">
        <v>639</v>
      </c>
      <c r="S1012" s="335" t="str">
        <f>IF(H1012=EUconst_NA,"",IF(H1012,1,INDEX(EUconst_CLEFYears,1)))</f>
        <v/>
      </c>
      <c r="T1012" s="9"/>
    </row>
    <row r="1013" spans="2:20" x14ac:dyDescent="0.25">
      <c r="B1013" s="17"/>
      <c r="C1013" s="17"/>
      <c r="D1013" s="17"/>
      <c r="E1013" s="276"/>
      <c r="F1013" s="276"/>
      <c r="G1013" s="254" t="str">
        <f>Translations!$B$1218</f>
        <v>non-ETS heat</v>
      </c>
      <c r="H1013" s="329" t="str">
        <f>Translations!$B$1220</f>
        <v>WGflare</v>
      </c>
      <c r="I1013" s="254" t="s">
        <v>630</v>
      </c>
      <c r="J1013" s="254" t="s">
        <v>631</v>
      </c>
      <c r="K1013" s="254" t="s">
        <v>632</v>
      </c>
      <c r="L1013" s="329" t="str">
        <f>Translations!$B$1214</f>
        <v>15(7).3 HAL</v>
      </c>
      <c r="M1013" s="470" t="str">
        <f>IF(I1009="",EUconst_NA,INDEX(EUconst_BMlistBMvaluesMatrix,K1012,1))</f>
        <v>N.A.</v>
      </c>
      <c r="N1013" s="471" t="str">
        <f>EUconst_EUA &amp; "/" &amp; H1017</f>
        <v>UKA/tonnes</v>
      </c>
      <c r="O1013" s="17"/>
      <c r="R1013" s="288"/>
      <c r="S1013" s="368"/>
      <c r="T1013" s="9"/>
    </row>
    <row r="1014" spans="2:20" ht="13.8" thickBot="1" x14ac:dyDescent="0.3">
      <c r="B1014" s="17"/>
      <c r="C1014" s="17"/>
      <c r="D1014" s="17"/>
      <c r="E1014" s="370" t="str">
        <f>Translations!$B$1235</f>
        <v>Special factors:</v>
      </c>
      <c r="F1014" s="371"/>
      <c r="G1014" s="203" t="str">
        <f>IF($I1009="","",SUMIF(F_ProductBM!$P:$P,EUconst_CNTR_HEAT&amp;$I1009,F_ProductBM!$Q:$Q))</f>
        <v/>
      </c>
      <c r="H1014" s="353" t="str">
        <f>IF(OR($I1009="",CNTR_BaselinePeriod&lt;&gt;2),"",SUMIF(F_ProductBM!$P:$P,EUconst_CNTR_WGFlaredEF &amp; I1009,F_ProductBM!$R:$R))</f>
        <v/>
      </c>
      <c r="I1014" s="334">
        <f>IF(AND($I1009&lt;&gt;"",$I1012=TRUE),IF(ISNUMBER(INDEX(F_ProductBM!$Q:$Q,MATCH(EUconst_CNTR_ELEXCH&amp;$I1009,F_ProductBM!$P:$P,0))),INDEX(F_ProductBM!$Q:$Q,MATCH(EUconst_CNTR_ELEXCH&amp;$I1009,F_ProductBM!$P:$P,0)),1),1)</f>
        <v>1</v>
      </c>
      <c r="J1014" s="203" t="str">
        <f>IF($I1009="","",IF($K1012=42,SUMIF(H_SpecialBM!$P$9:$P$384,EUconst_CNTR_HVC,H_SpecialBM!$I$9:$I$384),0))</f>
        <v/>
      </c>
      <c r="K1014" s="369" t="str">
        <f>IF($I1009="","",IF($K1012=47,IF(ISNUMBER(INDEX(H_SpecialBM!$Q$9:$Q$384,MATCH(EUconst_CNTR_VCM,H_SpecialBM!$P$9:$P$384,0))),INDEX(H_SpecialBM!$Q$9:$Q$384,MATCH(EUconst_CNTR_VCM,H_SpecialBM!$P$9:$P$384,0)),1),1))</f>
        <v/>
      </c>
      <c r="L1014" s="353" t="str">
        <f>IF($L1012=TRUE,SUMIF(F_ProductBM!$P$11:$P$2192,EUconst_CNTR_HAL&amp;$I1009,F_ProductBM!$N$11:$N$2192),"")</f>
        <v/>
      </c>
      <c r="M1014" s="472" t="str">
        <f>IF(I1009="",EUconst_NA,IF(EUconst_StatusOfDataCollection,INDEX(EUconst_BMlistBMvaluesMatrix,K1012,3),""))</f>
        <v>N.A.</v>
      </c>
      <c r="N1014" s="473" t="str">
        <f>EUconst_EUA &amp; "/" &amp; H1017</f>
        <v>UKA/tonnes</v>
      </c>
      <c r="O1014" s="17"/>
      <c r="R1014" s="288"/>
      <c r="S1014" s="368"/>
      <c r="T1014" s="9"/>
    </row>
    <row r="1015" spans="2:20" ht="5.0999999999999996" customHeight="1" x14ac:dyDescent="0.25">
      <c r="B1015" s="17"/>
      <c r="C1015" s="17"/>
      <c r="D1015" s="17"/>
      <c r="E1015" s="17"/>
      <c r="F1015" s="17"/>
      <c r="G1015" s="17"/>
      <c r="H1015" s="17"/>
      <c r="I1015" s="17"/>
      <c r="J1015" s="17"/>
      <c r="K1015" s="17"/>
      <c r="L1015" s="17"/>
      <c r="M1015" s="17"/>
      <c r="N1015" s="17"/>
      <c r="O1015" s="17"/>
      <c r="T1015" s="9"/>
    </row>
    <row r="1016" spans="2:20" x14ac:dyDescent="0.25">
      <c r="B1016" s="17"/>
      <c r="C1016" s="17"/>
      <c r="D1016" s="17"/>
      <c r="E1016" s="78"/>
      <c r="F1016" s="78"/>
      <c r="G1016" s="259"/>
      <c r="H1016" s="366" t="str">
        <f>EUconst_Unit</f>
        <v>Unit</v>
      </c>
      <c r="I1016" s="149">
        <f>I$1397</f>
        <v>2019</v>
      </c>
      <c r="J1016" s="149">
        <f>J$1397</f>
        <v>2020</v>
      </c>
      <c r="K1016" s="149">
        <f>K$1397</f>
        <v>2021</v>
      </c>
      <c r="L1016" s="149">
        <f>L$1397</f>
        <v>2022</v>
      </c>
      <c r="M1016" s="149">
        <f>M$1397</f>
        <v>2023</v>
      </c>
      <c r="N1016" s="17"/>
      <c r="O1016" s="17"/>
      <c r="P1016" s="63" t="s">
        <v>397</v>
      </c>
      <c r="T1016" s="9"/>
    </row>
    <row r="1017" spans="2:20" x14ac:dyDescent="0.25">
      <c r="B1017" s="17"/>
      <c r="C1017" s="17"/>
      <c r="D1017" s="17"/>
      <c r="E1017" s="260" t="str">
        <f>Translations!$B$1236</f>
        <v>HAL (Historic activity level) reported</v>
      </c>
      <c r="F1017" s="261"/>
      <c r="G1017" s="262"/>
      <c r="H1017" s="257" t="str">
        <f>IF(ISNUMBER(K1012),INDEX(EUconst_BMlistUnits,K1012),EUconst_Tons)</f>
        <v>tonnes</v>
      </c>
      <c r="I1017" s="203" t="str">
        <f>IF($I1009="","",SUMIF(F_ProductBM!$P$11:$P$1876,$P1017,F_ProductBM!I$11:I$1876))</f>
        <v/>
      </c>
      <c r="J1017" s="203" t="str">
        <f>IF($I1009="","",SUMIF(F_ProductBM!$P$11:$P$1876,$P1017,F_ProductBM!J$11:J$1876))</f>
        <v/>
      </c>
      <c r="K1017" s="203" t="str">
        <f>IF($I1009="","",SUMIF(F_ProductBM!$P$11:$P$1876,$P1017,F_ProductBM!K$11:K$1876))</f>
        <v/>
      </c>
      <c r="L1017" s="203" t="str">
        <f>IF($I1009="","",SUMIF(F_ProductBM!$P$11:$P$1876,$P1017,F_ProductBM!L$11:L$1876))</f>
        <v/>
      </c>
      <c r="M1017" s="203" t="str">
        <f>IF($I1009="","",SUMIF(F_ProductBM!$P$11:$P$1876,$P1017,F_ProductBM!M$11:M$1876))</f>
        <v/>
      </c>
      <c r="N1017" s="254" t="str">
        <f>Translations!$B$1224</f>
        <v>Average</v>
      </c>
      <c r="O1017" s="17"/>
      <c r="P1017" s="63" t="str">
        <f>EUconst_CNTR_HAL&amp;I1009</f>
        <v>HAL_</v>
      </c>
      <c r="T1017" s="9"/>
    </row>
    <row r="1018" spans="2:20" x14ac:dyDescent="0.25">
      <c r="B1018" s="17"/>
      <c r="C1018" s="17"/>
      <c r="D1018" s="17"/>
      <c r="E1018" s="260" t="str">
        <f>Translations!$B$1237</f>
        <v>Values used for HAL calculation:</v>
      </c>
      <c r="F1018" s="261"/>
      <c r="G1018" s="262"/>
      <c r="H1018" s="257" t="str">
        <f>H1017</f>
        <v>tonnes</v>
      </c>
      <c r="I1018" s="203" t="str">
        <f>IF($I1009="","",INDEX(F_ProductBM!S$11:S$1876,MATCH($P1018,F_ProductBM!$P$11:$P$1876,0)))</f>
        <v/>
      </c>
      <c r="J1018" s="203" t="str">
        <f>IF($I1009="","",INDEX(F_ProductBM!T$11:T$1876,MATCH($P1018,F_ProductBM!$P$11:$P$1876,0)))</f>
        <v/>
      </c>
      <c r="K1018" s="203" t="str">
        <f>IF($I1009="","",INDEX(F_ProductBM!U$11:U$1876,MATCH($P1018,F_ProductBM!$P$11:$P$1876,0)))</f>
        <v/>
      </c>
      <c r="L1018" s="203" t="str">
        <f>IF($I1009="","",INDEX(F_ProductBM!V$11:V$1876,MATCH($P1018,F_ProductBM!$P$11:$P$1876,0)))</f>
        <v/>
      </c>
      <c r="M1018" s="203" t="str">
        <f>IF($I1009="","",INDEX(F_ProductBM!W$11:W$1876,MATCH($P1018,F_ProductBM!$P$11:$P$1876,0)))</f>
        <v/>
      </c>
      <c r="N1018" s="203" t="str">
        <f>IF(OR($I1009="",$L1012=TRUE),"",IF(COUNT($I1018:$M1018)&gt;0,AVERAGE($I1018:$M1018),""))</f>
        <v/>
      </c>
      <c r="O1018" s="17"/>
      <c r="P1018" s="63" t="str">
        <f>EUconst_CNTR_HAL&amp;I1009</f>
        <v>HAL_</v>
      </c>
      <c r="R1018" s="442" t="s">
        <v>640</v>
      </c>
      <c r="S1018" s="442" t="s">
        <v>641</v>
      </c>
      <c r="T1018" s="442" t="s">
        <v>642</v>
      </c>
    </row>
    <row r="1019" spans="2:20" ht="5.0999999999999996" customHeight="1" thickBot="1" x14ac:dyDescent="0.3">
      <c r="B1019" s="17"/>
      <c r="C1019" s="17"/>
      <c r="D1019" s="17"/>
      <c r="E1019" s="367"/>
      <c r="F1019" s="367"/>
      <c r="G1019" s="367"/>
      <c r="H1019" s="367"/>
      <c r="I1019" s="367"/>
      <c r="J1019" s="367"/>
      <c r="K1019" s="367"/>
      <c r="L1019" s="367"/>
      <c r="M1019" s="276"/>
      <c r="N1019" s="276"/>
      <c r="O1019" s="17"/>
      <c r="T1019" s="9"/>
    </row>
    <row r="1020" spans="2:20" ht="13.8" thickBot="1" x14ac:dyDescent="0.3">
      <c r="B1020" s="17"/>
      <c r="C1020" s="276"/>
      <c r="D1020" s="17"/>
      <c r="E1020" s="367"/>
      <c r="F1020" s="336" t="s">
        <v>643</v>
      </c>
      <c r="G1020" s="337"/>
      <c r="H1020" s="276"/>
      <c r="I1020" s="336" t="str">
        <f>Translations!$B$1226</f>
        <v>Prelim Alloc Year 1 (min)</v>
      </c>
      <c r="J1020" s="337"/>
      <c r="K1020" s="336" t="str">
        <f>Translations!$B$1229</f>
        <v>Prelim Alloc Year 1 (max)</v>
      </c>
      <c r="L1020" s="337"/>
      <c r="M1020" s="336" t="str">
        <f>Translations!$B$1231</f>
        <v>Prelim Alloc Year 1 (actual)</v>
      </c>
      <c r="N1020" s="337"/>
      <c r="O1020" s="17"/>
      <c r="P1020" s="63" t="str">
        <f>EUconst_AllocPrelim&amp;I1009</f>
        <v>AllocPrelim_</v>
      </c>
      <c r="R1020" s="423" t="str">
        <f>IF(I1021="","",IF(S1012=0,0,SUM(I1021)/S1012))</f>
        <v/>
      </c>
      <c r="S1020" s="423" t="str">
        <f>IF(K1021="","",IF(S1012=0,0,SUM(K1021)/S1012))</f>
        <v/>
      </c>
      <c r="T1020" s="423" t="str">
        <f>T1009</f>
        <v/>
      </c>
    </row>
    <row r="1021" spans="2:20" ht="13.8" thickBot="1" x14ac:dyDescent="0.3">
      <c r="B1021" s="17"/>
      <c r="C1021" s="276"/>
      <c r="D1021" s="276"/>
      <c r="E1021" s="367"/>
      <c r="F1021" s="264" t="str">
        <f>IF(I1009="","",MAX(0, IF(L1012=TRUE, SUM(L1014), SUM(N1018))))</f>
        <v/>
      </c>
      <c r="G1021" s="265" t="str">
        <f>H1017&amp;" / "&amp;EUconst_Year</f>
        <v>tonnes / year</v>
      </c>
      <c r="H1021" s="276"/>
      <c r="I1021" s="333" t="str">
        <f>IF(I1009="","",ROUND((SUM(M1012)*SUM(F1021)*SUM(I1014)*SUM(K1014)-SUM(G1014)-SUM(H1014)+SUM(J1014))*SUM(S1012),0))</f>
        <v/>
      </c>
      <c r="J1021" s="409" t="s">
        <v>645</v>
      </c>
      <c r="K1021" s="333" t="str">
        <f>IF(I1009="","",ROUND((SUM(M1013)*SUM(F1021)*SUM(I1014)*SUM(K1014)-SUM(G1014)-SUM(H1014)+SUM(J1014))*SUM(S1012),0))</f>
        <v/>
      </c>
      <c r="L1021" s="409" t="s">
        <v>645</v>
      </c>
      <c r="M1021" s="333" t="str">
        <f>IF(OR(I1009="",M1014=""),"",ROUND((SUM(M1014)*SUM(F1021)*SUM(I1014)*SUM(K1014)-SUM(G1014)-SUM(H1014)+SUM(J1014))*SUM(S1012),0))</f>
        <v/>
      </c>
      <c r="N1021" s="409" t="s">
        <v>645</v>
      </c>
      <c r="O1021" s="17"/>
      <c r="P1021" s="63" t="str">
        <f>EUconst_HALsum &amp; I1009</f>
        <v>HALsum_</v>
      </c>
      <c r="T1021" s="9"/>
    </row>
    <row r="1022" spans="2:20" ht="5.0999999999999996" customHeight="1" x14ac:dyDescent="0.25">
      <c r="B1022" s="17"/>
      <c r="C1022" s="17"/>
      <c r="D1022" s="276"/>
      <c r="E1022" s="113"/>
      <c r="F1022" s="17"/>
      <c r="G1022" s="17"/>
      <c r="H1022" s="17"/>
      <c r="I1022" s="17"/>
      <c r="J1022" s="17"/>
      <c r="K1022" s="17"/>
      <c r="L1022" s="17"/>
      <c r="M1022" s="17"/>
      <c r="N1022" s="17"/>
      <c r="O1022" s="17"/>
      <c r="T1022" s="9"/>
    </row>
    <row r="1023" spans="2:20" ht="12.75" customHeight="1" x14ac:dyDescent="0.25">
      <c r="B1023" s="17"/>
      <c r="C1023" s="17"/>
      <c r="D1023" s="17"/>
      <c r="E1023" s="193"/>
      <c r="F1023" s="342"/>
      <c r="G1023" s="342"/>
      <c r="H1023" s="342"/>
      <c r="I1023" s="342"/>
      <c r="J1023" s="342"/>
      <c r="K1023" s="342"/>
      <c r="L1023" s="342"/>
      <c r="M1023" s="342"/>
      <c r="N1023" s="342"/>
      <c r="O1023" s="17"/>
      <c r="T1023" s="9"/>
    </row>
    <row r="1024" spans="2:20" ht="13.8" thickBot="1" x14ac:dyDescent="0.3">
      <c r="B1024" s="17"/>
      <c r="C1024" s="17"/>
      <c r="D1024" s="17"/>
      <c r="E1024" s="193"/>
      <c r="F1024" s="342"/>
      <c r="G1024" s="342"/>
      <c r="H1024" s="192" t="str">
        <f>EUconst_Unit</f>
        <v>Unit</v>
      </c>
      <c r="I1024" s="441">
        <f>I$1397</f>
        <v>2019</v>
      </c>
      <c r="J1024" s="153">
        <f>J$1397</f>
        <v>2020</v>
      </c>
      <c r="K1024" s="153">
        <f>K$1397</f>
        <v>2021</v>
      </c>
      <c r="L1024" s="153">
        <f>L$1397</f>
        <v>2022</v>
      </c>
      <c r="M1024" s="153">
        <f>M$1397</f>
        <v>2023</v>
      </c>
      <c r="N1024" s="342"/>
      <c r="O1024" s="17"/>
      <c r="T1024" s="9"/>
    </row>
    <row r="1025" spans="2:20" ht="13.8" thickBot="1" x14ac:dyDescent="0.3">
      <c r="B1025" s="17"/>
      <c r="C1025" s="17"/>
      <c r="D1025" s="17"/>
      <c r="E1025" s="1610" t="str">
        <f>Translations!$B$1238</f>
        <v>Total attributed emissions</v>
      </c>
      <c r="F1025" s="1610"/>
      <c r="G1025" s="1610"/>
      <c r="H1025" s="411" t="str">
        <f>EUconst_tCO2epa</f>
        <v>t CO2e/year</v>
      </c>
      <c r="I1025" s="432" t="str">
        <f>INDEX(I$93:I$109,MATCH($I1009,$E$93:$E$109,0))</f>
        <v/>
      </c>
      <c r="J1025" s="433" t="str">
        <f>INDEX(J$93:J$109,MATCH($I1009,$E$93:$E$109,0))</f>
        <v/>
      </c>
      <c r="K1025" s="433" t="str">
        <f>INDEX(K$93:K$109,MATCH($I1009,$E$93:$E$109,0))</f>
        <v/>
      </c>
      <c r="L1025" s="433" t="str">
        <f>INDEX(L$93:L$109,MATCH($I1009,$E$93:$E$109,0))</f>
        <v/>
      </c>
      <c r="M1025" s="434" t="str">
        <f>INDEX(M$93:M$109,MATCH($I1009,$E$93:$E$109,0))</f>
        <v/>
      </c>
      <c r="N1025" s="342"/>
      <c r="O1025" s="17"/>
      <c r="T1025" s="9"/>
    </row>
    <row r="1026" spans="2:20" ht="5.0999999999999996" customHeight="1" x14ac:dyDescent="0.25">
      <c r="B1026" s="17"/>
      <c r="C1026" s="17"/>
      <c r="D1026" s="17"/>
      <c r="E1026" s="193"/>
      <c r="F1026" s="193"/>
      <c r="G1026" s="193"/>
      <c r="H1026" s="193"/>
      <c r="I1026" s="435"/>
      <c r="J1026" s="435"/>
      <c r="K1026" s="435"/>
      <c r="L1026" s="435"/>
      <c r="M1026" s="435"/>
      <c r="N1026" s="193"/>
      <c r="O1026" s="17"/>
      <c r="T1026" s="9"/>
    </row>
    <row r="1027" spans="2:20" x14ac:dyDescent="0.25">
      <c r="B1027" s="17"/>
      <c r="C1027" s="17"/>
      <c r="D1027" s="17"/>
      <c r="E1027" s="1526" t="str">
        <f>Translations!$B$731</f>
        <v>Fuel input</v>
      </c>
      <c r="F1027" s="1526"/>
      <c r="G1027" s="1526"/>
      <c r="H1027" s="939" t="str">
        <f>EUconst_TJpa</f>
        <v>TJ / year</v>
      </c>
      <c r="I1027" s="436" t="str">
        <f>IF($I1009="","",IF(INDEX(F_ProductBM!I:I,MATCH($P1027,F_ProductBM!$P:$P,0))="","",INDEX(F_ProductBM!I:I,MATCH($P1027,F_ProductBM!$P:$P,0))))</f>
        <v/>
      </c>
      <c r="J1027" s="436" t="str">
        <f>IF($I1009="","",IF(INDEX(F_ProductBM!J:J,MATCH($P1027,F_ProductBM!$P:$P,0))="","",INDEX(F_ProductBM!J:J,MATCH($P1027,F_ProductBM!$P:$P,0))))</f>
        <v/>
      </c>
      <c r="K1027" s="436" t="str">
        <f>IF($I1009="","",IF(INDEX(F_ProductBM!K:K,MATCH($P1027,F_ProductBM!$P:$P,0))="","",INDEX(F_ProductBM!K:K,MATCH($P1027,F_ProductBM!$P:$P,0))))</f>
        <v/>
      </c>
      <c r="L1027" s="436" t="str">
        <f>IF($I1009="","",IF(INDEX(F_ProductBM!L:L,MATCH($P1027,F_ProductBM!$P:$P,0))="","",INDEX(F_ProductBM!L:L,MATCH($P1027,F_ProductBM!$P:$P,0))))</f>
        <v/>
      </c>
      <c r="M1027" s="436" t="str">
        <f>IF($I1009="","",IF(INDEX(F_ProductBM!M:M,MATCH($P1027,F_ProductBM!$P:$P,0))="","",INDEX(F_ProductBM!M:M,MATCH($P1027,F_ProductBM!$P:$P,0))))</f>
        <v/>
      </c>
      <c r="N1027" s="342"/>
      <c r="O1027" s="17"/>
      <c r="P1027" s="341" t="str">
        <f>EUconst_CNTR_FuelInput &amp; I1009</f>
        <v>FuelInput_</v>
      </c>
      <c r="T1027" s="9"/>
    </row>
    <row r="1028" spans="2:20" x14ac:dyDescent="0.25">
      <c r="B1028" s="17"/>
      <c r="C1028" s="17"/>
      <c r="D1028" s="17"/>
      <c r="E1028" s="1527" t="str">
        <f>Translations!$B$732</f>
        <v>Weighted emission factor</v>
      </c>
      <c r="F1028" s="1527"/>
      <c r="G1028" s="1527"/>
      <c r="H1028" s="343" t="str">
        <f>EUconst_tCO2pTJ</f>
        <v>t CO2 / TJ</v>
      </c>
      <c r="I1028" s="437" t="str">
        <f>IF($I1009="","",IF(INDEX(F_ProductBM!I:I,MATCH($P1028,F_ProductBM!$P:$P,0))="","",INDEX(F_ProductBM!I:I,MATCH($P1028,F_ProductBM!$P:$P,0))))</f>
        <v/>
      </c>
      <c r="J1028" s="437" t="str">
        <f>IF($I1009="","",IF(INDEX(F_ProductBM!J:J,MATCH($P1028,F_ProductBM!$P:$P,0))="","",INDEX(F_ProductBM!J:J,MATCH($P1028,F_ProductBM!$P:$P,0))))</f>
        <v/>
      </c>
      <c r="K1028" s="437" t="str">
        <f>IF($I1009="","",IF(INDEX(F_ProductBM!K:K,MATCH($P1028,F_ProductBM!$P:$P,0))="","",INDEX(F_ProductBM!K:K,MATCH($P1028,F_ProductBM!$P:$P,0))))</f>
        <v/>
      </c>
      <c r="L1028" s="437" t="str">
        <f>IF($I1009="","",IF(INDEX(F_ProductBM!L:L,MATCH($P1028,F_ProductBM!$P:$P,0))="","",INDEX(F_ProductBM!L:L,MATCH($P1028,F_ProductBM!$P:$P,0))))</f>
        <v/>
      </c>
      <c r="M1028" s="437" t="str">
        <f>IF($I1009="","",IF(INDEX(F_ProductBM!M:M,MATCH($P1028,F_ProductBM!$P:$P,0))="","",INDEX(F_ProductBM!M:M,MATCH($P1028,F_ProductBM!$P:$P,0))))</f>
        <v/>
      </c>
      <c r="N1028" s="342"/>
      <c r="O1028" s="17"/>
      <c r="P1028" s="116" t="str">
        <f>EUconst_CNTR_FuelEF &amp; I1009</f>
        <v>FuelEF_</v>
      </c>
      <c r="T1028" s="9"/>
    </row>
    <row r="1029" spans="2:20" ht="5.0999999999999996" customHeight="1" x14ac:dyDescent="0.25">
      <c r="B1029" s="17"/>
      <c r="C1029" s="17"/>
      <c r="D1029" s="276"/>
      <c r="E1029" s="193"/>
      <c r="F1029" s="342"/>
      <c r="G1029" s="342"/>
      <c r="H1029" s="342"/>
      <c r="I1029" s="438"/>
      <c r="J1029" s="438"/>
      <c r="K1029" s="438"/>
      <c r="L1029" s="438"/>
      <c r="M1029" s="438"/>
      <c r="N1029" s="342"/>
      <c r="O1029" s="17"/>
      <c r="T1029" s="9"/>
    </row>
    <row r="1030" spans="2:20" ht="12.75" customHeight="1" x14ac:dyDescent="0.25">
      <c r="B1030" s="17"/>
      <c r="C1030" s="17"/>
      <c r="D1030" s="276"/>
      <c r="E1030" s="1528" t="str">
        <f>Translations!$B$687</f>
        <v>Direct emissions</v>
      </c>
      <c r="F1030" s="1528"/>
      <c r="G1030" s="1528"/>
      <c r="H1030" s="154" t="str">
        <f>EUconst_tCO2pa</f>
        <v>t CO2 / year</v>
      </c>
      <c r="I1030" s="439" t="str">
        <f>IF($I1009="","",IF(INDEX(F_ProductBM!I:I,MATCH($P1030,F_ProductBM!$P:$P,0))="","",INDEX(F_ProductBM!I:I,MATCH($P1030,F_ProductBM!$P:$P,0))))</f>
        <v/>
      </c>
      <c r="J1030" s="439" t="str">
        <f>IF($I1009="","",IF(INDEX(F_ProductBM!J:J,MATCH($P1030,F_ProductBM!$P:$P,0))="","",INDEX(F_ProductBM!J:J,MATCH($P1030,F_ProductBM!$P:$P,0))))</f>
        <v/>
      </c>
      <c r="K1030" s="439" t="str">
        <f>IF($I1009="","",IF(INDEX(F_ProductBM!K:K,MATCH($P1030,F_ProductBM!$P:$P,0))="","",INDEX(F_ProductBM!K:K,MATCH($P1030,F_ProductBM!$P:$P,0))))</f>
        <v/>
      </c>
      <c r="L1030" s="439" t="str">
        <f>IF($I1009="","",IF(INDEX(F_ProductBM!L:L,MATCH($P1030,F_ProductBM!$P:$P,0))="","",INDEX(F_ProductBM!L:L,MATCH($P1030,F_ProductBM!$P:$P,0))))</f>
        <v/>
      </c>
      <c r="M1030" s="439" t="str">
        <f>IF($I1009="","",IF(INDEX(F_ProductBM!M:M,MATCH($P1030,F_ProductBM!$P:$P,0))="","",INDEX(F_ProductBM!M:M,MATCH($P1030,F_ProductBM!$P:$P,0))))</f>
        <v/>
      </c>
      <c r="N1030" s="342"/>
      <c r="O1030" s="17"/>
      <c r="P1030" s="116" t="str">
        <f>EUconst_CNTR_Emissions &amp; I1009</f>
        <v>DirEmissions_</v>
      </c>
      <c r="T1030" s="9"/>
    </row>
    <row r="1031" spans="2:20" x14ac:dyDescent="0.25">
      <c r="B1031" s="17"/>
      <c r="C1031" s="17"/>
      <c r="D1031" s="276"/>
      <c r="E1031" s="1528" t="str">
        <f>Translations!$B$742</f>
        <v>Further source streams - 1</v>
      </c>
      <c r="F1031" s="1528"/>
      <c r="G1031" s="1528"/>
      <c r="H1031" s="154" t="str">
        <f>EUconst_tCO2pa</f>
        <v>t CO2 / year</v>
      </c>
      <c r="I1031" s="439" t="str">
        <f>IF($I1009="","",IF(INDEX(F_ProductBM!I:I,MATCH($P1031,F_ProductBM!$P:$P,0))="","",INDEX(F_ProductBM!I:I,MATCH($P1031,F_ProductBM!$P:$P,0))))</f>
        <v/>
      </c>
      <c r="J1031" s="439" t="str">
        <f>IF($I1009="","",IF(INDEX(F_ProductBM!J:J,MATCH($P1031,F_ProductBM!$P:$P,0))="","",INDEX(F_ProductBM!J:J,MATCH($P1031,F_ProductBM!$P:$P,0))))</f>
        <v/>
      </c>
      <c r="K1031" s="439" t="str">
        <f>IF($I1009="","",IF(INDEX(F_ProductBM!K:K,MATCH($P1031,F_ProductBM!$P:$P,0))="","",INDEX(F_ProductBM!K:K,MATCH($P1031,F_ProductBM!$P:$P,0))))</f>
        <v/>
      </c>
      <c r="L1031" s="439" t="str">
        <f>IF($I1009="","",IF(INDEX(F_ProductBM!L:L,MATCH($P1031,F_ProductBM!$P:$P,0))="","",INDEX(F_ProductBM!L:L,MATCH($P1031,F_ProductBM!$P:$P,0))))</f>
        <v/>
      </c>
      <c r="M1031" s="439" t="str">
        <f>IF($I1009="","",IF(INDEX(F_ProductBM!M:M,MATCH($P1031,F_ProductBM!$P:$P,0))="","",INDEX(F_ProductBM!M:M,MATCH($P1031,F_ProductBM!$P:$P,0))))</f>
        <v/>
      </c>
      <c r="N1031" s="342"/>
      <c r="O1031" s="17"/>
      <c r="P1031" s="116" t="str">
        <f>EUconst_CNTR_EmissionsIntSource1 &amp; I1009</f>
        <v>EmInternalSource1_</v>
      </c>
      <c r="T1031" s="9"/>
    </row>
    <row r="1032" spans="2:20" x14ac:dyDescent="0.25">
      <c r="B1032" s="17"/>
      <c r="C1032" s="17"/>
      <c r="D1032" s="276"/>
      <c r="E1032" s="1528" t="str">
        <f>Translations!$B$752</f>
        <v>Further source streams - 2</v>
      </c>
      <c r="F1032" s="1528"/>
      <c r="G1032" s="1528"/>
      <c r="H1032" s="154" t="str">
        <f>EUconst_tCO2pa</f>
        <v>t CO2 / year</v>
      </c>
      <c r="I1032" s="439" t="str">
        <f>IF($I1009="","",IF(INDEX(F_ProductBM!I:I,MATCH($P1032,F_ProductBM!$P:$P,0))="","",INDEX(F_ProductBM!I:I,MATCH($P1032,F_ProductBM!$P:$P,0))))</f>
        <v/>
      </c>
      <c r="J1032" s="439" t="str">
        <f>IF($I1009="","",IF(INDEX(F_ProductBM!J:J,MATCH($P1032,F_ProductBM!$P:$P,0))="","",INDEX(F_ProductBM!J:J,MATCH($P1032,F_ProductBM!$P:$P,0))))</f>
        <v/>
      </c>
      <c r="K1032" s="439" t="str">
        <f>IF($I1009="","",IF(INDEX(F_ProductBM!K:K,MATCH($P1032,F_ProductBM!$P:$P,0))="","",INDEX(F_ProductBM!K:K,MATCH($P1032,F_ProductBM!$P:$P,0))))</f>
        <v/>
      </c>
      <c r="L1032" s="439" t="str">
        <f>IF($I1009="","",IF(INDEX(F_ProductBM!L:L,MATCH($P1032,F_ProductBM!$P:$P,0))="","",INDEX(F_ProductBM!L:L,MATCH($P1032,F_ProductBM!$P:$P,0))))</f>
        <v/>
      </c>
      <c r="M1032" s="439" t="str">
        <f>IF($I1009="","",IF(INDEX(F_ProductBM!M:M,MATCH($P1032,F_ProductBM!$P:$P,0))="","",INDEX(F_ProductBM!M:M,MATCH($P1032,F_ProductBM!$P:$P,0))))</f>
        <v/>
      </c>
      <c r="N1032" s="342"/>
      <c r="O1032" s="17"/>
      <c r="P1032" s="116" t="str">
        <f>EUconst_CNTR_EmissionsIntSource2 &amp; I1009</f>
        <v>EmInternalSource2_</v>
      </c>
      <c r="T1032" s="9"/>
    </row>
    <row r="1033" spans="2:20" x14ac:dyDescent="0.25">
      <c r="B1033" s="17"/>
      <c r="C1033" s="17"/>
      <c r="D1033" s="17"/>
      <c r="E1033" s="1528" t="str">
        <f>Translations!$B$756</f>
        <v>GHG imported or exported</v>
      </c>
      <c r="F1033" s="1528"/>
      <c r="G1033" s="1528"/>
      <c r="H1033" s="154" t="str">
        <f>EUconst_tCO2epa</f>
        <v>t CO2e/year</v>
      </c>
      <c r="I1033" s="439" t="str">
        <f>IF($I1009="","",IF(INDEX(F_ProductBM!I:I,MATCH($P1033,F_ProductBM!$P:$P,0))="","",INDEX(F_ProductBM!I:I,MATCH($P1033,F_ProductBM!$P:$P,0))))</f>
        <v/>
      </c>
      <c r="J1033" s="439" t="str">
        <f>IF($I1009="","",IF(INDEX(F_ProductBM!J:J,MATCH($P1033,F_ProductBM!$P:$P,0))="","",INDEX(F_ProductBM!J:J,MATCH($P1033,F_ProductBM!$P:$P,0))))</f>
        <v/>
      </c>
      <c r="K1033" s="439" t="str">
        <f>IF($I1009="","",IF(INDEX(F_ProductBM!K:K,MATCH($P1033,F_ProductBM!$P:$P,0))="","",INDEX(F_ProductBM!K:K,MATCH($P1033,F_ProductBM!$P:$P,0))))</f>
        <v/>
      </c>
      <c r="L1033" s="439" t="str">
        <f>IF($I1009="","",IF(INDEX(F_ProductBM!L:L,MATCH($P1033,F_ProductBM!$P:$P,0))="","",INDEX(F_ProductBM!L:L,MATCH($P1033,F_ProductBM!$P:$P,0))))</f>
        <v/>
      </c>
      <c r="M1033" s="439" t="str">
        <f>IF($I1009="","",IF(INDEX(F_ProductBM!M:M,MATCH($P1033,F_ProductBM!$P:$P,0))="","",INDEX(F_ProductBM!M:M,MATCH($P1033,F_ProductBM!$P:$P,0))))</f>
        <v/>
      </c>
      <c r="N1033" s="342"/>
      <c r="O1033" s="17"/>
      <c r="P1033" s="116" t="str">
        <f>EUconst_CNTR_CO2Feedstock &amp; I1009</f>
        <v>EmCO2Feedstock_</v>
      </c>
      <c r="T1033" s="9"/>
    </row>
    <row r="1034" spans="2:20" ht="5.0999999999999996" customHeight="1" x14ac:dyDescent="0.25">
      <c r="B1034" s="17"/>
      <c r="C1034" s="17"/>
      <c r="D1034" s="17"/>
      <c r="E1034" s="342"/>
      <c r="F1034" s="342"/>
      <c r="G1034" s="342"/>
      <c r="H1034" s="342"/>
      <c r="I1034" s="438"/>
      <c r="J1034" s="438"/>
      <c r="K1034" s="438"/>
      <c r="L1034" s="438"/>
      <c r="M1034" s="438"/>
      <c r="N1034" s="342"/>
      <c r="O1034" s="17"/>
      <c r="T1034" s="9"/>
    </row>
    <row r="1035" spans="2:20" x14ac:dyDescent="0.25">
      <c r="B1035" s="17"/>
      <c r="C1035" s="17"/>
      <c r="D1035" s="17"/>
      <c r="E1035" s="1526" t="str">
        <f>Translations!$B$764</f>
        <v>Net heat imported</v>
      </c>
      <c r="F1035" s="1526"/>
      <c r="G1035" s="1526"/>
      <c r="H1035" s="939" t="str">
        <f>EUconst_TJpa</f>
        <v>TJ / year</v>
      </c>
      <c r="I1035" s="436" t="str">
        <f>IF($I1009="","",IF(INDEX(F_ProductBM!I:I,MATCH($P1035,F_ProductBM!$P:$P,0))="","",INDEX(F_ProductBM!I:I,MATCH($P1035,F_ProductBM!$P:$P,0))))</f>
        <v/>
      </c>
      <c r="J1035" s="436" t="str">
        <f>IF($I1009="","",IF(INDEX(F_ProductBM!J:J,MATCH($P1035,F_ProductBM!$P:$P,0))="","",INDEX(F_ProductBM!J:J,MATCH($P1035,F_ProductBM!$P:$P,0))))</f>
        <v/>
      </c>
      <c r="K1035" s="436" t="str">
        <f>IF($I1009="","",IF(INDEX(F_ProductBM!K:K,MATCH($P1035,F_ProductBM!$P:$P,0))="","",INDEX(F_ProductBM!K:K,MATCH($P1035,F_ProductBM!$P:$P,0))))</f>
        <v/>
      </c>
      <c r="L1035" s="436" t="str">
        <f>IF($I1009="","",IF(INDEX(F_ProductBM!L:L,MATCH($P1035,F_ProductBM!$P:$P,0))="","",INDEX(F_ProductBM!L:L,MATCH($P1035,F_ProductBM!$P:$P,0))))</f>
        <v/>
      </c>
      <c r="M1035" s="436" t="str">
        <f>IF($I1009="","",IF(INDEX(F_ProductBM!M:M,MATCH($P1035,F_ProductBM!$P:$P,0))="","",INDEX(F_ProductBM!M:M,MATCH($P1035,F_ProductBM!$P:$P,0))))</f>
        <v/>
      </c>
      <c r="N1035" s="342"/>
      <c r="O1035" s="17"/>
      <c r="P1035" s="116" t="str">
        <f>EUconst_CNTR_HeatImport &amp; I1009</f>
        <v>HeatIm_</v>
      </c>
      <c r="T1035" s="9"/>
    </row>
    <row r="1036" spans="2:20" x14ac:dyDescent="0.25">
      <c r="B1036" s="17"/>
      <c r="C1036" s="17"/>
      <c r="D1036" s="17"/>
      <c r="E1036" s="1527" t="str">
        <f>Translations!$B$765</f>
        <v>Specific EF (imported heat)</v>
      </c>
      <c r="F1036" s="1527"/>
      <c r="G1036" s="1527"/>
      <c r="H1036" s="343" t="str">
        <f>EUconst_tCO2pTJ</f>
        <v>t CO2 / TJ</v>
      </c>
      <c r="I1036" s="437" t="str">
        <f>IF($I1009="","",IF(INDEX(F_ProductBM!I:I,MATCH($P1036,F_ProductBM!$P:$P,0))="","",INDEX(F_ProductBM!I:I,MATCH($P1036,F_ProductBM!$P:$P,0))))</f>
        <v/>
      </c>
      <c r="J1036" s="437" t="str">
        <f>IF($I1009="","",IF(INDEX(F_ProductBM!J:J,MATCH($P1036,F_ProductBM!$P:$P,0))="","",INDEX(F_ProductBM!J:J,MATCH($P1036,F_ProductBM!$P:$P,0))))</f>
        <v/>
      </c>
      <c r="K1036" s="437" t="str">
        <f>IF($I1009="","",IF(INDEX(F_ProductBM!K:K,MATCH($P1036,F_ProductBM!$P:$P,0))="","",INDEX(F_ProductBM!K:K,MATCH($P1036,F_ProductBM!$P:$P,0))))</f>
        <v/>
      </c>
      <c r="L1036" s="437" t="str">
        <f>IF($I1009="","",IF(INDEX(F_ProductBM!L:L,MATCH($P1036,F_ProductBM!$P:$P,0))="","",INDEX(F_ProductBM!L:L,MATCH($P1036,F_ProductBM!$P:$P,0))))</f>
        <v/>
      </c>
      <c r="M1036" s="437" t="str">
        <f>IF($I1009="","",IF(INDEX(F_ProductBM!M:M,MATCH($P1036,F_ProductBM!$P:$P,0))="","",INDEX(F_ProductBM!M:M,MATCH($P1036,F_ProductBM!$P:$P,0))))</f>
        <v/>
      </c>
      <c r="N1036" s="342"/>
      <c r="O1036" s="17"/>
      <c r="P1036" s="116" t="str">
        <f>EUconst_CNTR_HeatImportEF &amp; I1009</f>
        <v>HeatImEF_</v>
      </c>
      <c r="T1036" s="9"/>
    </row>
    <row r="1037" spans="2:20" ht="5.0999999999999996" customHeight="1" x14ac:dyDescent="0.25">
      <c r="B1037" s="17"/>
      <c r="C1037" s="17"/>
      <c r="D1037" s="17"/>
      <c r="E1037" s="193"/>
      <c r="F1037" s="342"/>
      <c r="G1037" s="342"/>
      <c r="H1037" s="342"/>
      <c r="I1037" s="438"/>
      <c r="J1037" s="438"/>
      <c r="K1037" s="438"/>
      <c r="L1037" s="438"/>
      <c r="M1037" s="438"/>
      <c r="N1037" s="342"/>
      <c r="O1037" s="17"/>
      <c r="P1037" s="9"/>
      <c r="T1037" s="9"/>
    </row>
    <row r="1038" spans="2:20" x14ac:dyDescent="0.25">
      <c r="B1038" s="17"/>
      <c r="C1038" s="17"/>
      <c r="D1038" s="17"/>
      <c r="E1038" s="1528" t="str">
        <f>Translations!$B$820</f>
        <v>Net heat imported from pulp</v>
      </c>
      <c r="F1038" s="1528"/>
      <c r="G1038" s="1528"/>
      <c r="H1038" s="154" t="str">
        <f>EUconst_TJpa</f>
        <v>TJ / year</v>
      </c>
      <c r="I1038" s="439" t="str">
        <f>IF($I1009="","",IF(INDEX(F_ProductBM!I:I,MATCH($P1038,F_ProductBM!$P:$P,0))="","",INDEX(F_ProductBM!I:I,MATCH($P1038,F_ProductBM!$P:$P,0))))</f>
        <v/>
      </c>
      <c r="J1038" s="439" t="str">
        <f>IF($I1009="","",IF(INDEX(F_ProductBM!J:J,MATCH($P1038,F_ProductBM!$P:$P,0))="","",INDEX(F_ProductBM!J:J,MATCH($P1038,F_ProductBM!$P:$P,0))))</f>
        <v/>
      </c>
      <c r="K1038" s="439" t="str">
        <f>IF($I1009="","",IF(INDEX(F_ProductBM!K:K,MATCH($P1038,F_ProductBM!$P:$P,0))="","",INDEX(F_ProductBM!K:K,MATCH($P1038,F_ProductBM!$P:$P,0))))</f>
        <v/>
      </c>
      <c r="L1038" s="439" t="str">
        <f>IF($I1009="","",IF(INDEX(F_ProductBM!L:L,MATCH($P1038,F_ProductBM!$P:$P,0))="","",INDEX(F_ProductBM!L:L,MATCH($P1038,F_ProductBM!$P:$P,0))))</f>
        <v/>
      </c>
      <c r="M1038" s="439" t="str">
        <f>IF($I1009="","",IF(INDEX(F_ProductBM!M:M,MATCH($P1038,F_ProductBM!$P:$P,0))="","",INDEX(F_ProductBM!M:M,MATCH($P1038,F_ProductBM!$P:$P,0))))</f>
        <v/>
      </c>
      <c r="N1038" s="342"/>
      <c r="O1038" s="17"/>
      <c r="P1038" s="116" t="str">
        <f>EUconst_CNTR_HeatImportPulp &amp; I1009</f>
        <v>HeatImPulp_</v>
      </c>
      <c r="T1038" s="9"/>
    </row>
    <row r="1039" spans="2:20" x14ac:dyDescent="0.25">
      <c r="B1039" s="17"/>
      <c r="C1039" s="17"/>
      <c r="D1039" s="17"/>
      <c r="E1039" s="1528" t="str">
        <f>Translations!$B$768</f>
        <v>Net heat imported from nitric acid sub-installation</v>
      </c>
      <c r="F1039" s="1528"/>
      <c r="G1039" s="1528"/>
      <c r="H1039" s="154" t="str">
        <f>EUconst_TJpa</f>
        <v>TJ / year</v>
      </c>
      <c r="I1039" s="439" t="str">
        <f>IF($I1009="","",IF(INDEX(F_ProductBM!I:I,MATCH($P1039,F_ProductBM!$P:$P,0))="","",INDEX(F_ProductBM!I:I,MATCH($P1039,F_ProductBM!$P:$P,0))))</f>
        <v/>
      </c>
      <c r="J1039" s="439" t="str">
        <f>IF($I1009="","",IF(INDEX(F_ProductBM!J:J,MATCH($P1039,F_ProductBM!$P:$P,0))="","",INDEX(F_ProductBM!J:J,MATCH($P1039,F_ProductBM!$P:$P,0))))</f>
        <v/>
      </c>
      <c r="K1039" s="439" t="str">
        <f>IF($I1009="","",IF(INDEX(F_ProductBM!K:K,MATCH($P1039,F_ProductBM!$P:$P,0))="","",INDEX(F_ProductBM!K:K,MATCH($P1039,F_ProductBM!$P:$P,0))))</f>
        <v/>
      </c>
      <c r="L1039" s="439" t="str">
        <f>IF($I1009="","",IF(INDEX(F_ProductBM!L:L,MATCH($P1039,F_ProductBM!$P:$P,0))="","",INDEX(F_ProductBM!L:L,MATCH($P1039,F_ProductBM!$P:$P,0))))</f>
        <v/>
      </c>
      <c r="M1039" s="439" t="str">
        <f>IF($I1009="","",IF(INDEX(F_ProductBM!M:M,MATCH($P1039,F_ProductBM!$P:$P,0))="","",INDEX(F_ProductBM!M:M,MATCH($P1039,F_ProductBM!$P:$P,0))))</f>
        <v/>
      </c>
      <c r="N1039" s="342"/>
      <c r="O1039" s="17"/>
      <c r="P1039" s="116" t="str">
        <f>EUconst_CNTR_HeatImportNitric &amp; I1009</f>
        <v>HeatImNitric_</v>
      </c>
      <c r="T1039" s="9"/>
    </row>
    <row r="1040" spans="2:20" ht="5.0999999999999996" customHeight="1" x14ac:dyDescent="0.25">
      <c r="B1040" s="17"/>
      <c r="C1040" s="17"/>
      <c r="D1040" s="17"/>
      <c r="E1040" s="193"/>
      <c r="F1040" s="193"/>
      <c r="G1040" s="193"/>
      <c r="H1040" s="193"/>
      <c r="I1040" s="438"/>
      <c r="J1040" s="438"/>
      <c r="K1040" s="438"/>
      <c r="L1040" s="438"/>
      <c r="M1040" s="438"/>
      <c r="N1040" s="342"/>
      <c r="O1040" s="17"/>
      <c r="P1040" s="9"/>
      <c r="T1040" s="9"/>
    </row>
    <row r="1041" spans="2:20" x14ac:dyDescent="0.25">
      <c r="B1041" s="17"/>
      <c r="C1041" s="17"/>
      <c r="D1041" s="17"/>
      <c r="E1041" s="1526" t="str">
        <f>Translations!$B$770</f>
        <v>Net heat exported</v>
      </c>
      <c r="F1041" s="1526"/>
      <c r="G1041" s="1526"/>
      <c r="H1041" s="939" t="str">
        <f>EUconst_TJpa</f>
        <v>TJ / year</v>
      </c>
      <c r="I1041" s="436" t="str">
        <f>IF($I1009="","",IF(INDEX(F_ProductBM!I:I,MATCH($P1041,F_ProductBM!$P:$P,0))="","",INDEX(F_ProductBM!I:I,MATCH($P1041,F_ProductBM!$P:$P,0))))</f>
        <v/>
      </c>
      <c r="J1041" s="436" t="str">
        <f>IF($I1009="","",IF(INDEX(F_ProductBM!J:J,MATCH($P1041,F_ProductBM!$P:$P,0))="","",INDEX(F_ProductBM!J:J,MATCH($P1041,F_ProductBM!$P:$P,0))))</f>
        <v/>
      </c>
      <c r="K1041" s="436" t="str">
        <f>IF($I1009="","",IF(INDEX(F_ProductBM!K:K,MATCH($P1041,F_ProductBM!$P:$P,0))="","",INDEX(F_ProductBM!K:K,MATCH($P1041,F_ProductBM!$P:$P,0))))</f>
        <v/>
      </c>
      <c r="L1041" s="436" t="str">
        <f>IF($I1009="","",IF(INDEX(F_ProductBM!L:L,MATCH($P1041,F_ProductBM!$P:$P,0))="","",INDEX(F_ProductBM!L:L,MATCH($P1041,F_ProductBM!$P:$P,0))))</f>
        <v/>
      </c>
      <c r="M1041" s="436" t="str">
        <f>IF($I1009="","",IF(INDEX(F_ProductBM!M:M,MATCH($P1041,F_ProductBM!$P:$P,0))="","",INDEX(F_ProductBM!M:M,MATCH($P1041,F_ProductBM!$P:$P,0))))</f>
        <v/>
      </c>
      <c r="N1041" s="342"/>
      <c r="O1041" s="17"/>
      <c r="P1041" s="116" t="str">
        <f>EUconst_CNTR_HeatExport &amp; I1009</f>
        <v>HeatEx_</v>
      </c>
      <c r="T1041" s="9"/>
    </row>
    <row r="1042" spans="2:20" x14ac:dyDescent="0.25">
      <c r="B1042" s="17"/>
      <c r="C1042" s="17"/>
      <c r="D1042" s="17"/>
      <c r="E1042" s="1527" t="str">
        <f>Translations!$B$771</f>
        <v>Specific EF (exported heat)</v>
      </c>
      <c r="F1042" s="1527"/>
      <c r="G1042" s="1527"/>
      <c r="H1042" s="343" t="str">
        <f>EUconst_tCO2pTJ</f>
        <v>t CO2 / TJ</v>
      </c>
      <c r="I1042" s="437" t="str">
        <f>IF($I1009="","",IF(INDEX(F_ProductBM!I:I,MATCH($P1042,F_ProductBM!$P:$P,0))="","",INDEX(F_ProductBM!I:I,MATCH($P1042,F_ProductBM!$P:$P,0))))</f>
        <v/>
      </c>
      <c r="J1042" s="437" t="str">
        <f>IF($I1009="","",IF(INDEX(F_ProductBM!J:J,MATCH($P1042,F_ProductBM!$P:$P,0))="","",INDEX(F_ProductBM!J:J,MATCH($P1042,F_ProductBM!$P:$P,0))))</f>
        <v/>
      </c>
      <c r="K1042" s="437" t="str">
        <f>IF($I1009="","",IF(INDEX(F_ProductBM!K:K,MATCH($P1042,F_ProductBM!$P:$P,0))="","",INDEX(F_ProductBM!K:K,MATCH($P1042,F_ProductBM!$P:$P,0))))</f>
        <v/>
      </c>
      <c r="L1042" s="437" t="str">
        <f>IF($I1009="","",IF(INDEX(F_ProductBM!L:L,MATCH($P1042,F_ProductBM!$P:$P,0))="","",INDEX(F_ProductBM!L:L,MATCH($P1042,F_ProductBM!$P:$P,0))))</f>
        <v/>
      </c>
      <c r="M1042" s="437" t="str">
        <f>IF($I1009="","",IF(INDEX(F_ProductBM!M:M,MATCH($P1042,F_ProductBM!$P:$P,0))="","",INDEX(F_ProductBM!M:M,MATCH($P1042,F_ProductBM!$P:$P,0))))</f>
        <v/>
      </c>
      <c r="N1042" s="342"/>
      <c r="O1042" s="17"/>
      <c r="P1042" s="116" t="str">
        <f>EUconst_CNTR_HeatExportEF &amp; I1009</f>
        <v>HeatExEF_</v>
      </c>
      <c r="T1042" s="9"/>
    </row>
    <row r="1043" spans="2:20" ht="5.0999999999999996" customHeight="1" x14ac:dyDescent="0.25">
      <c r="B1043" s="17"/>
      <c r="C1043" s="17"/>
      <c r="D1043" s="17"/>
      <c r="E1043" s="193"/>
      <c r="F1043" s="193"/>
      <c r="G1043" s="193"/>
      <c r="H1043" s="193"/>
      <c r="I1043" s="438"/>
      <c r="J1043" s="438"/>
      <c r="K1043" s="438"/>
      <c r="L1043" s="438"/>
      <c r="M1043" s="438"/>
      <c r="N1043" s="342"/>
      <c r="O1043" s="17"/>
      <c r="P1043" s="9"/>
      <c r="T1043" s="9"/>
    </row>
    <row r="1044" spans="2:20" x14ac:dyDescent="0.25">
      <c r="B1044" s="17"/>
      <c r="C1044" s="17"/>
      <c r="D1044" s="17"/>
      <c r="E1044" s="1526" t="str">
        <f>Translations!$B$778</f>
        <v>Waste gas produced</v>
      </c>
      <c r="F1044" s="1526"/>
      <c r="G1044" s="1526"/>
      <c r="H1044" s="939" t="str">
        <f>EUconst_TJpa</f>
        <v>TJ / year</v>
      </c>
      <c r="I1044" s="436" t="str">
        <f>IF($I1009="","",IF(INDEX(F_ProductBM!I:I,MATCH($P1044,F_ProductBM!$P:$P,0))="","",INDEX(F_ProductBM!I:I,MATCH($P1044,F_ProductBM!$P:$P,0))))</f>
        <v/>
      </c>
      <c r="J1044" s="436" t="str">
        <f>IF($I1009="","",IF(INDEX(F_ProductBM!J:J,MATCH($P1044,F_ProductBM!$P:$P,0))="","",INDEX(F_ProductBM!J:J,MATCH($P1044,F_ProductBM!$P:$P,0))))</f>
        <v/>
      </c>
      <c r="K1044" s="436" t="str">
        <f>IF($I1009="","",IF(INDEX(F_ProductBM!K:K,MATCH($P1044,F_ProductBM!$P:$P,0))="","",INDEX(F_ProductBM!K:K,MATCH($P1044,F_ProductBM!$P:$P,0))))</f>
        <v/>
      </c>
      <c r="L1044" s="436" t="str">
        <f>IF($I1009="","",IF(INDEX(F_ProductBM!L:L,MATCH($P1044,F_ProductBM!$P:$P,0))="","",INDEX(F_ProductBM!L:L,MATCH($P1044,F_ProductBM!$P:$P,0))))</f>
        <v/>
      </c>
      <c r="M1044" s="436" t="str">
        <f>IF($I1009="","",IF(INDEX(F_ProductBM!M:M,MATCH($P1044,F_ProductBM!$P:$P,0))="","",INDEX(F_ProductBM!M:M,MATCH($P1044,F_ProductBM!$P:$P,0))))</f>
        <v/>
      </c>
      <c r="N1044" s="342"/>
      <c r="O1044" s="17"/>
      <c r="P1044" s="341" t="str">
        <f>EUconst_CNTR_WGProduced &amp; I1009</f>
        <v>WasteGasProd_</v>
      </c>
      <c r="T1044" s="9"/>
    </row>
    <row r="1045" spans="2:20" x14ac:dyDescent="0.25">
      <c r="B1045" s="17"/>
      <c r="C1045" s="17"/>
      <c r="D1045" s="17"/>
      <c r="E1045" s="1527" t="str">
        <f>Translations!$B$779</f>
        <v>Specific EF (produced waste gas)</v>
      </c>
      <c r="F1045" s="1527"/>
      <c r="G1045" s="1527"/>
      <c r="H1045" s="343" t="str">
        <f>EUconst_tCO2pTJ</f>
        <v>t CO2 / TJ</v>
      </c>
      <c r="I1045" s="437" t="str">
        <f>IF($I1009="","",IF(INDEX(F_ProductBM!I:I,MATCH($P1045,F_ProductBM!$P:$P,0))="","",INDEX(F_ProductBM!I:I,MATCH($P1045,F_ProductBM!$P:$P,0))))</f>
        <v/>
      </c>
      <c r="J1045" s="437" t="str">
        <f>IF($I1009="","",IF(INDEX(F_ProductBM!J:J,MATCH($P1045,F_ProductBM!$P:$P,0))="","",INDEX(F_ProductBM!J:J,MATCH($P1045,F_ProductBM!$P:$P,0))))</f>
        <v/>
      </c>
      <c r="K1045" s="437" t="str">
        <f>IF($I1009="","",IF(INDEX(F_ProductBM!K:K,MATCH($P1045,F_ProductBM!$P:$P,0))="","",INDEX(F_ProductBM!K:K,MATCH($P1045,F_ProductBM!$P:$P,0))))</f>
        <v/>
      </c>
      <c r="L1045" s="437" t="str">
        <f>IF($I1009="","",IF(INDEX(F_ProductBM!L:L,MATCH($P1045,F_ProductBM!$P:$P,0))="","",INDEX(F_ProductBM!L:L,MATCH($P1045,F_ProductBM!$P:$P,0))))</f>
        <v/>
      </c>
      <c r="M1045" s="437" t="str">
        <f>IF($I1009="","",IF(INDEX(F_ProductBM!M:M,MATCH($P1045,F_ProductBM!$P:$P,0))="","",INDEX(F_ProductBM!M:M,MATCH($P1045,F_ProductBM!$P:$P,0))))</f>
        <v/>
      </c>
      <c r="N1045" s="342"/>
      <c r="O1045" s="17"/>
      <c r="P1045" s="116" t="str">
        <f>EUconst_CNTR_WGProducedEF &amp; I1009</f>
        <v>WasteGasProdEF_</v>
      </c>
      <c r="T1045" s="9"/>
    </row>
    <row r="1046" spans="2:20" x14ac:dyDescent="0.25">
      <c r="B1046" s="17"/>
      <c r="C1046" s="17"/>
      <c r="D1046" s="17"/>
      <c r="E1046" s="1526" t="str">
        <f>Translations!$B$783</f>
        <v>Waste gas consumed</v>
      </c>
      <c r="F1046" s="1526"/>
      <c r="G1046" s="1526"/>
      <c r="H1046" s="939" t="str">
        <f>EUconst_TJpa</f>
        <v>TJ / year</v>
      </c>
      <c r="I1046" s="436" t="str">
        <f>IF($I1009="","",IF(INDEX(F_ProductBM!I:I,MATCH($P1046,F_ProductBM!$P:$P,0))="","",INDEX(F_ProductBM!I:I,MATCH($P1046,F_ProductBM!$P:$P,0))))</f>
        <v/>
      </c>
      <c r="J1046" s="436" t="str">
        <f>IF($I1009="","",IF(INDEX(F_ProductBM!J:J,MATCH($P1046,F_ProductBM!$P:$P,0))="","",INDEX(F_ProductBM!J:J,MATCH($P1046,F_ProductBM!$P:$P,0))))</f>
        <v/>
      </c>
      <c r="K1046" s="436" t="str">
        <f>IF($I1009="","",IF(INDEX(F_ProductBM!K:K,MATCH($P1046,F_ProductBM!$P:$P,0))="","",INDEX(F_ProductBM!K:K,MATCH($P1046,F_ProductBM!$P:$P,0))))</f>
        <v/>
      </c>
      <c r="L1046" s="436" t="str">
        <f>IF($I1009="","",IF(INDEX(F_ProductBM!L:L,MATCH($P1046,F_ProductBM!$P:$P,0))="","",INDEX(F_ProductBM!L:L,MATCH($P1046,F_ProductBM!$P:$P,0))))</f>
        <v/>
      </c>
      <c r="M1046" s="436" t="str">
        <f>IF($I1009="","",IF(INDEX(F_ProductBM!M:M,MATCH($P1046,F_ProductBM!$P:$P,0))="","",INDEX(F_ProductBM!M:M,MATCH($P1046,F_ProductBM!$P:$P,0))))</f>
        <v/>
      </c>
      <c r="N1046" s="342"/>
      <c r="O1046" s="17"/>
      <c r="P1046" s="116" t="str">
        <f>EUconst_CNTR_WGConsumed &amp; I1009</f>
        <v>WasteGasCons_</v>
      </c>
      <c r="T1046" s="9"/>
    </row>
    <row r="1047" spans="2:20" x14ac:dyDescent="0.25">
      <c r="B1047" s="17"/>
      <c r="C1047" s="17"/>
      <c r="D1047" s="17"/>
      <c r="E1047" s="1527" t="str">
        <f>Translations!$B$784</f>
        <v>Specific EF (consumed waste gas)</v>
      </c>
      <c r="F1047" s="1527"/>
      <c r="G1047" s="1527"/>
      <c r="H1047" s="343" t="str">
        <f>EUconst_tCO2pTJ</f>
        <v>t CO2 / TJ</v>
      </c>
      <c r="I1047" s="437" t="str">
        <f>IF($I1009="","",IF(INDEX(F_ProductBM!I:I,MATCH($P1047,F_ProductBM!$P:$P,0))="","",INDEX(F_ProductBM!I:I,MATCH($P1047,F_ProductBM!$P:$P,0))))</f>
        <v/>
      </c>
      <c r="J1047" s="437" t="str">
        <f>IF($I1009="","",IF(INDEX(F_ProductBM!J:J,MATCH($P1047,F_ProductBM!$P:$P,0))="","",INDEX(F_ProductBM!J:J,MATCH($P1047,F_ProductBM!$P:$P,0))))</f>
        <v/>
      </c>
      <c r="K1047" s="437" t="str">
        <f>IF($I1009="","",IF(INDEX(F_ProductBM!K:K,MATCH($P1047,F_ProductBM!$P:$P,0))="","",INDEX(F_ProductBM!K:K,MATCH($P1047,F_ProductBM!$P:$P,0))))</f>
        <v/>
      </c>
      <c r="L1047" s="437" t="str">
        <f>IF($I1009="","",IF(INDEX(F_ProductBM!L:L,MATCH($P1047,F_ProductBM!$P:$P,0))="","",INDEX(F_ProductBM!L:L,MATCH($P1047,F_ProductBM!$P:$P,0))))</f>
        <v/>
      </c>
      <c r="M1047" s="437" t="str">
        <f>IF($I1009="","",IF(INDEX(F_ProductBM!M:M,MATCH($P1047,F_ProductBM!$P:$P,0))="","",INDEX(F_ProductBM!M:M,MATCH($P1047,F_ProductBM!$P:$P,0))))</f>
        <v/>
      </c>
      <c r="N1047" s="342"/>
      <c r="O1047" s="17"/>
      <c r="P1047" s="116" t="str">
        <f>EUconst_CNTR_WGConsumedEF &amp; I1009</f>
        <v>WasteGasConsEF_</v>
      </c>
      <c r="T1047" s="9"/>
    </row>
    <row r="1048" spans="2:20" x14ac:dyDescent="0.25">
      <c r="B1048" s="17"/>
      <c r="C1048" s="17"/>
      <c r="D1048" s="17"/>
      <c r="E1048" s="1526" t="str">
        <f>Translations!$B$790</f>
        <v>Waste gas flared</v>
      </c>
      <c r="F1048" s="1526"/>
      <c r="G1048" s="1526"/>
      <c r="H1048" s="939" t="str">
        <f>EUconst_TJpa</f>
        <v>TJ / year</v>
      </c>
      <c r="I1048" s="436" t="str">
        <f>IF($I1009="","",IF(INDEX(F_ProductBM!I:I,MATCH($P1048,F_ProductBM!$P:$P,0))="","",INDEX(F_ProductBM!I:I,MATCH($P1048,F_ProductBM!$P:$P,0))))</f>
        <v/>
      </c>
      <c r="J1048" s="436" t="str">
        <f>IF($I1009="","",IF(INDEX(F_ProductBM!J:J,MATCH($P1048,F_ProductBM!$P:$P,0))="","",INDEX(F_ProductBM!J:J,MATCH($P1048,F_ProductBM!$P:$P,0))))</f>
        <v/>
      </c>
      <c r="K1048" s="436" t="str">
        <f>IF($I1009="","",IF(INDEX(F_ProductBM!K:K,MATCH($P1048,F_ProductBM!$P:$P,0))="","",INDEX(F_ProductBM!K:K,MATCH($P1048,F_ProductBM!$P:$P,0))))</f>
        <v/>
      </c>
      <c r="L1048" s="436" t="str">
        <f>IF($I1009="","",IF(INDEX(F_ProductBM!L:L,MATCH($P1048,F_ProductBM!$P:$P,0))="","",INDEX(F_ProductBM!L:L,MATCH($P1048,F_ProductBM!$P:$P,0))))</f>
        <v/>
      </c>
      <c r="M1048" s="436" t="str">
        <f>IF($I1009="","",IF(INDEX(F_ProductBM!M:M,MATCH($P1048,F_ProductBM!$P:$P,0))="","",INDEX(F_ProductBM!M:M,MATCH($P1048,F_ProductBM!$P:$P,0))))</f>
        <v/>
      </c>
      <c r="N1048" s="342"/>
      <c r="O1048" s="17"/>
      <c r="P1048" s="116" t="str">
        <f>EUconst_CNTR_WGFlared &amp; I1009</f>
        <v>WasteGasFlare_</v>
      </c>
      <c r="T1048" s="9"/>
    </row>
    <row r="1049" spans="2:20" x14ac:dyDescent="0.25">
      <c r="B1049" s="17"/>
      <c r="C1049" s="17"/>
      <c r="D1049" s="17"/>
      <c r="E1049" s="1527" t="str">
        <f>Translations!$B$791</f>
        <v>Specific EF (flared waste gas)</v>
      </c>
      <c r="F1049" s="1527"/>
      <c r="G1049" s="1527"/>
      <c r="H1049" s="343" t="str">
        <f>EUconst_tCO2pTJ</f>
        <v>t CO2 / TJ</v>
      </c>
      <c r="I1049" s="437" t="str">
        <f>IF($I1009="","",IF(INDEX(F_ProductBM!I:I,MATCH($P1049,F_ProductBM!$P:$P,0))="","",INDEX(F_ProductBM!I:I,MATCH($P1049,F_ProductBM!$P:$P,0))))</f>
        <v/>
      </c>
      <c r="J1049" s="437" t="str">
        <f>IF($I1009="","",IF(INDEX(F_ProductBM!J:J,MATCH($P1049,F_ProductBM!$P:$P,0))="","",INDEX(F_ProductBM!J:J,MATCH($P1049,F_ProductBM!$P:$P,0))))</f>
        <v/>
      </c>
      <c r="K1049" s="437" t="str">
        <f>IF($I1009="","",IF(INDEX(F_ProductBM!K:K,MATCH($P1049,F_ProductBM!$P:$P,0))="","",INDEX(F_ProductBM!K:K,MATCH($P1049,F_ProductBM!$P:$P,0))))</f>
        <v/>
      </c>
      <c r="L1049" s="437" t="str">
        <f>IF($I1009="","",IF(INDEX(F_ProductBM!L:L,MATCH($P1049,F_ProductBM!$P:$P,0))="","",INDEX(F_ProductBM!L:L,MATCH($P1049,F_ProductBM!$P:$P,0))))</f>
        <v/>
      </c>
      <c r="M1049" s="437" t="str">
        <f>IF($I1009="","",IF(INDEX(F_ProductBM!M:M,MATCH($P1049,F_ProductBM!$P:$P,0))="","",INDEX(F_ProductBM!M:M,MATCH($P1049,F_ProductBM!$P:$P,0))))</f>
        <v/>
      </c>
      <c r="N1049" s="342"/>
      <c r="O1049" s="17"/>
      <c r="P1049" s="116" t="str">
        <f>EUconst_CNTR_WGFlaredEF &amp; I1009</f>
        <v>WasteGasFlareEF_</v>
      </c>
      <c r="T1049" s="9"/>
    </row>
    <row r="1050" spans="2:20" x14ac:dyDescent="0.25">
      <c r="B1050" s="17"/>
      <c r="C1050" s="17"/>
      <c r="D1050" s="17"/>
      <c r="E1050" s="1526" t="str">
        <f>Translations!$B$796</f>
        <v>Waste gas imported</v>
      </c>
      <c r="F1050" s="1526"/>
      <c r="G1050" s="1526"/>
      <c r="H1050" s="939" t="str">
        <f>EUconst_TJpa</f>
        <v>TJ / year</v>
      </c>
      <c r="I1050" s="436" t="str">
        <f>IF($I1009="","",IF(INDEX(F_ProductBM!I:I,MATCH($P1050,F_ProductBM!$P:$P,0))="","",INDEX(F_ProductBM!I:I,MATCH($P1050,F_ProductBM!$P:$P,0))))</f>
        <v/>
      </c>
      <c r="J1050" s="436" t="str">
        <f>IF($I1009="","",IF(INDEX(F_ProductBM!J:J,MATCH($P1050,F_ProductBM!$P:$P,0))="","",INDEX(F_ProductBM!J:J,MATCH($P1050,F_ProductBM!$P:$P,0))))</f>
        <v/>
      </c>
      <c r="K1050" s="436" t="str">
        <f>IF($I1009="","",IF(INDEX(F_ProductBM!K:K,MATCH($P1050,F_ProductBM!$P:$P,0))="","",INDEX(F_ProductBM!K:K,MATCH($P1050,F_ProductBM!$P:$P,0))))</f>
        <v/>
      </c>
      <c r="L1050" s="436" t="str">
        <f>IF($I1009="","",IF(INDEX(F_ProductBM!L:L,MATCH($P1050,F_ProductBM!$P:$P,0))="","",INDEX(F_ProductBM!L:L,MATCH($P1050,F_ProductBM!$P:$P,0))))</f>
        <v/>
      </c>
      <c r="M1050" s="436" t="str">
        <f>IF($I1009="","",IF(INDEX(F_ProductBM!M:M,MATCH($P1050,F_ProductBM!$P:$P,0))="","",INDEX(F_ProductBM!M:M,MATCH($P1050,F_ProductBM!$P:$P,0))))</f>
        <v/>
      </c>
      <c r="N1050" s="342"/>
      <c r="O1050" s="17"/>
      <c r="P1050" s="116" t="str">
        <f>EUconst_CNTR_WGImport &amp; I1009</f>
        <v>WasteGasIm_</v>
      </c>
      <c r="T1050" s="9"/>
    </row>
    <row r="1051" spans="2:20" x14ac:dyDescent="0.25">
      <c r="B1051" s="17"/>
      <c r="C1051" s="17"/>
      <c r="D1051" s="17"/>
      <c r="E1051" s="1527" t="str">
        <f>Translations!$B$797</f>
        <v>Specific EF (imported waste gas)</v>
      </c>
      <c r="F1051" s="1527"/>
      <c r="G1051" s="1527"/>
      <c r="H1051" s="343" t="str">
        <f>EUconst_tCO2pTJ</f>
        <v>t CO2 / TJ</v>
      </c>
      <c r="I1051" s="437" t="str">
        <f>IF($I1009="","",IF(INDEX(F_ProductBM!I:I,MATCH($P1051,F_ProductBM!$P:$P,0))="","",INDEX(F_ProductBM!I:I,MATCH($P1051,F_ProductBM!$P:$P,0))))</f>
        <v/>
      </c>
      <c r="J1051" s="437" t="str">
        <f>IF($I1009="","",IF(INDEX(F_ProductBM!J:J,MATCH($P1051,F_ProductBM!$P:$P,0))="","",INDEX(F_ProductBM!J:J,MATCH($P1051,F_ProductBM!$P:$P,0))))</f>
        <v/>
      </c>
      <c r="K1051" s="437" t="str">
        <f>IF($I1009="","",IF(INDEX(F_ProductBM!K:K,MATCH($P1051,F_ProductBM!$P:$P,0))="","",INDEX(F_ProductBM!K:K,MATCH($P1051,F_ProductBM!$P:$P,0))))</f>
        <v/>
      </c>
      <c r="L1051" s="437" t="str">
        <f>IF($I1009="","",IF(INDEX(F_ProductBM!L:L,MATCH($P1051,F_ProductBM!$P:$P,0))="","",INDEX(F_ProductBM!L:L,MATCH($P1051,F_ProductBM!$P:$P,0))))</f>
        <v/>
      </c>
      <c r="M1051" s="437" t="str">
        <f>IF($I1009="","",IF(INDEX(F_ProductBM!M:M,MATCH($P1051,F_ProductBM!$P:$P,0))="","",INDEX(F_ProductBM!M:M,MATCH($P1051,F_ProductBM!$P:$P,0))))</f>
        <v/>
      </c>
      <c r="N1051" s="342"/>
      <c r="O1051" s="17"/>
      <c r="P1051" s="116" t="str">
        <f>EUconst_CNTR_WGImportEF &amp; I1009</f>
        <v>WasteGasImEF_</v>
      </c>
      <c r="T1051" s="9"/>
    </row>
    <row r="1052" spans="2:20" x14ac:dyDescent="0.25">
      <c r="B1052" s="17"/>
      <c r="C1052" s="17"/>
      <c r="D1052" s="17"/>
      <c r="E1052" s="1526" t="str">
        <f>Translations!$B$801</f>
        <v>Waste gas exported</v>
      </c>
      <c r="F1052" s="1526"/>
      <c r="G1052" s="1526"/>
      <c r="H1052" s="939" t="str">
        <f>EUconst_TJpa</f>
        <v>TJ / year</v>
      </c>
      <c r="I1052" s="436" t="str">
        <f>IF($I1009="","",IF(INDEX(F_ProductBM!I:I,MATCH($P1052,F_ProductBM!$P:$P,0))="","",INDEX(F_ProductBM!I:I,MATCH($P1052,F_ProductBM!$P:$P,0))))</f>
        <v/>
      </c>
      <c r="J1052" s="436" t="str">
        <f>IF($I1009="","",IF(INDEX(F_ProductBM!J:J,MATCH($P1052,F_ProductBM!$P:$P,0))="","",INDEX(F_ProductBM!J:J,MATCH($P1052,F_ProductBM!$P:$P,0))))</f>
        <v/>
      </c>
      <c r="K1052" s="436" t="str">
        <f>IF($I1009="","",IF(INDEX(F_ProductBM!K:K,MATCH($P1052,F_ProductBM!$P:$P,0))="","",INDEX(F_ProductBM!K:K,MATCH($P1052,F_ProductBM!$P:$P,0))))</f>
        <v/>
      </c>
      <c r="L1052" s="436" t="str">
        <f>IF($I1009="","",IF(INDEX(F_ProductBM!L:L,MATCH($P1052,F_ProductBM!$P:$P,0))="","",INDEX(F_ProductBM!L:L,MATCH($P1052,F_ProductBM!$P:$P,0))))</f>
        <v/>
      </c>
      <c r="M1052" s="436" t="str">
        <f>IF($I1009="","",IF(INDEX(F_ProductBM!M:M,MATCH($P1052,F_ProductBM!$P:$P,0))="","",INDEX(F_ProductBM!M:M,MATCH($P1052,F_ProductBM!$P:$P,0))))</f>
        <v/>
      </c>
      <c r="N1052" s="342"/>
      <c r="O1052" s="17"/>
      <c r="P1052" s="116" t="str">
        <f>EUconst_CNTR_WGExport &amp; I1009</f>
        <v>WasteGasEx_</v>
      </c>
      <c r="T1052" s="9"/>
    </row>
    <row r="1053" spans="2:20" x14ac:dyDescent="0.25">
      <c r="B1053" s="17"/>
      <c r="C1053" s="17"/>
      <c r="D1053" s="17"/>
      <c r="E1053" s="1527" t="str">
        <f>Translations!$B$802</f>
        <v>Specific EF (exported waste gas)</v>
      </c>
      <c r="F1053" s="1527"/>
      <c r="G1053" s="1527"/>
      <c r="H1053" s="343" t="str">
        <f>EUconst_tCO2pTJ</f>
        <v>t CO2 / TJ</v>
      </c>
      <c r="I1053" s="437" t="str">
        <f>IF($I1009="","",IF(INDEX(F_ProductBM!I:I,MATCH($P1053,F_ProductBM!$P:$P,0))="","",INDEX(F_ProductBM!I:I,MATCH($P1053,F_ProductBM!$P:$P,0))))</f>
        <v/>
      </c>
      <c r="J1053" s="437" t="str">
        <f>IF($I1009="","",IF(INDEX(F_ProductBM!J:J,MATCH($P1053,F_ProductBM!$P:$P,0))="","",INDEX(F_ProductBM!J:J,MATCH($P1053,F_ProductBM!$P:$P,0))))</f>
        <v/>
      </c>
      <c r="K1053" s="437" t="str">
        <f>IF($I1009="","",IF(INDEX(F_ProductBM!K:K,MATCH($P1053,F_ProductBM!$P:$P,0))="","",INDEX(F_ProductBM!K:K,MATCH($P1053,F_ProductBM!$P:$P,0))))</f>
        <v/>
      </c>
      <c r="L1053" s="437" t="str">
        <f>IF($I1009="","",IF(INDEX(F_ProductBM!L:L,MATCH($P1053,F_ProductBM!$P:$P,0))="","",INDEX(F_ProductBM!L:L,MATCH($P1053,F_ProductBM!$P:$P,0))))</f>
        <v/>
      </c>
      <c r="M1053" s="437" t="str">
        <f>IF($I1009="","",IF(INDEX(F_ProductBM!M:M,MATCH($P1053,F_ProductBM!$P:$P,0))="","",INDEX(F_ProductBM!M:M,MATCH($P1053,F_ProductBM!$P:$P,0))))</f>
        <v/>
      </c>
      <c r="N1053" s="342"/>
      <c r="O1053" s="17"/>
      <c r="P1053" s="116" t="str">
        <f>EUconst_CNTR_WGExportEF &amp; I1009</f>
        <v>WasteGasExEF_</v>
      </c>
      <c r="T1053" s="9"/>
    </row>
    <row r="1054" spans="2:20" ht="5.0999999999999996" customHeight="1" x14ac:dyDescent="0.25">
      <c r="B1054" s="17"/>
      <c r="C1054" s="17"/>
      <c r="D1054" s="17"/>
      <c r="E1054" s="193"/>
      <c r="F1054" s="193"/>
      <c r="G1054" s="193"/>
      <c r="H1054" s="193"/>
      <c r="I1054" s="438"/>
      <c r="J1054" s="438"/>
      <c r="K1054" s="438"/>
      <c r="L1054" s="438"/>
      <c r="M1054" s="438"/>
      <c r="N1054" s="342"/>
      <c r="O1054" s="17"/>
      <c r="P1054" s="9"/>
      <c r="T1054" s="9"/>
    </row>
    <row r="1055" spans="2:20" x14ac:dyDescent="0.25">
      <c r="B1055" s="17"/>
      <c r="C1055" s="17"/>
      <c r="D1055" s="17"/>
      <c r="E1055" s="1528" t="str">
        <f>Translations!$B$689</f>
        <v>Relevant electricity consumption</v>
      </c>
      <c r="F1055" s="1528"/>
      <c r="G1055" s="1528"/>
      <c r="H1055" s="154" t="str">
        <f>EUconst_MWhpa</f>
        <v>MWh / year</v>
      </c>
      <c r="I1055" s="439" t="str">
        <f>IF($I1009="","",IF(INDEX(F_ProductBM!I:I,MATCH($P1055,F_ProductBM!$Q:$Q,0))="","",INDEX(F_ProductBM!I:I,MATCH($P1055,F_ProductBM!$Q:$Q,0))))</f>
        <v/>
      </c>
      <c r="J1055" s="439" t="str">
        <f>IF($I1009="","",IF(INDEX(F_ProductBM!J:J,MATCH($P1055,F_ProductBM!$Q:$Q,0))="","",INDEX(F_ProductBM!J:J,MATCH($P1055,F_ProductBM!$Q:$Q,0))))</f>
        <v/>
      </c>
      <c r="K1055" s="439" t="str">
        <f>IF($I1009="","",IF(INDEX(F_ProductBM!K:K,MATCH($P1055,F_ProductBM!$Q:$Q,0))="","",INDEX(F_ProductBM!K:K,MATCH($P1055,F_ProductBM!$Q:$Q,0))))</f>
        <v/>
      </c>
      <c r="L1055" s="439" t="str">
        <f>IF($I1009="","",IF(INDEX(F_ProductBM!L:L,MATCH($P1055,F_ProductBM!$Q:$Q,0))="","",INDEX(F_ProductBM!L:L,MATCH($P1055,F_ProductBM!$Q:$Q,0))))</f>
        <v/>
      </c>
      <c r="M1055" s="439" t="str">
        <f>IF($I1009="","",IF(INDEX(F_ProductBM!M:M,MATCH($P1055,F_ProductBM!$Q:$Q,0))="","",INDEX(F_ProductBM!M:M,MATCH($P1055,F_ProductBM!$Q:$Q,0))))</f>
        <v/>
      </c>
      <c r="N1055" s="342"/>
      <c r="O1055" s="17"/>
      <c r="P1055" s="63" t="str">
        <f>EUconst_CNTR_HAL&amp;EUconst_CNTR_ELEXCH &amp; I1009</f>
        <v>HAL_ELEXCH_</v>
      </c>
      <c r="T1055" s="9"/>
    </row>
    <row r="1056" spans="2:20" x14ac:dyDescent="0.25">
      <c r="B1056" s="17"/>
      <c r="C1056" s="17"/>
      <c r="D1056" s="17"/>
      <c r="E1056" s="1528" t="str">
        <f>Translations!$B$805</f>
        <v>Electricity produced</v>
      </c>
      <c r="F1056" s="1528"/>
      <c r="G1056" s="1528"/>
      <c r="H1056" s="154" t="str">
        <f>EUconst_MWhpa</f>
        <v>MWh / year</v>
      </c>
      <c r="I1056" s="439" t="str">
        <f>IF($I1009="","",IF(INDEX(F_ProductBM!I:I,MATCH($P1056,F_ProductBM!$P:$P,0))="","",INDEX(F_ProductBM!I:I,MATCH($P1056,F_ProductBM!$P:$P,0))))</f>
        <v/>
      </c>
      <c r="J1056" s="439" t="str">
        <f>IF($I1009="","",IF(INDEX(F_ProductBM!J:J,MATCH($P1056,F_ProductBM!$P:$P,0))="","",INDEX(F_ProductBM!J:J,MATCH($P1056,F_ProductBM!$P:$P,0))))</f>
        <v/>
      </c>
      <c r="K1056" s="439" t="str">
        <f>IF($I1009="","",IF(INDEX(F_ProductBM!K:K,MATCH($P1056,F_ProductBM!$P:$P,0))="","",INDEX(F_ProductBM!K:K,MATCH($P1056,F_ProductBM!$P:$P,0))))</f>
        <v/>
      </c>
      <c r="L1056" s="439" t="str">
        <f>IF($I1009="","",IF(INDEX(F_ProductBM!L:L,MATCH($P1056,F_ProductBM!$P:$P,0))="","",INDEX(F_ProductBM!L:L,MATCH($P1056,F_ProductBM!$P:$P,0))))</f>
        <v/>
      </c>
      <c r="M1056" s="439" t="str">
        <f>IF($I1009="","",IF(INDEX(F_ProductBM!M:M,MATCH($P1056,F_ProductBM!$P:$P,0))="","",INDEX(F_ProductBM!M:M,MATCH($P1056,F_ProductBM!$P:$P,0))))</f>
        <v/>
      </c>
      <c r="N1056" s="342"/>
      <c r="O1056" s="17"/>
      <c r="P1056" s="116" t="str">
        <f>EUconst_CNTR_ElectricityExported &amp; I1009</f>
        <v>ElecEx_</v>
      </c>
      <c r="T1056" s="9"/>
    </row>
    <row r="1057" spans="2:20" ht="5.0999999999999996" customHeight="1" x14ac:dyDescent="0.25">
      <c r="B1057" s="17"/>
      <c r="C1057" s="17"/>
      <c r="D1057" s="17"/>
      <c r="E1057" s="193"/>
      <c r="F1057" s="193"/>
      <c r="G1057" s="193"/>
      <c r="H1057" s="193"/>
      <c r="I1057" s="438"/>
      <c r="J1057" s="438"/>
      <c r="K1057" s="438"/>
      <c r="L1057" s="438"/>
      <c r="M1057" s="438"/>
      <c r="N1057" s="342"/>
      <c r="O1057" s="17"/>
      <c r="P1057" s="9"/>
      <c r="T1057" s="9"/>
    </row>
    <row r="1058" spans="2:20" x14ac:dyDescent="0.25">
      <c r="B1058" s="17"/>
      <c r="C1058" s="17"/>
      <c r="D1058" s="17"/>
      <c r="E1058" s="1528" t="str">
        <f>Translations!$B$806</f>
        <v>Total amount of pulp produced</v>
      </c>
      <c r="F1058" s="1528"/>
      <c r="G1058" s="1528"/>
      <c r="H1058" s="154" t="str">
        <f>EUconst_Tons</f>
        <v>tonnes</v>
      </c>
      <c r="I1058" s="439" t="str">
        <f>IF($I1009="","",IF(INDEX(F_ProductBM!I:I,MATCH($P1058,F_ProductBM!$P:$P,0))="","",INDEX(F_ProductBM!I:I,MATCH($P1058,F_ProductBM!$P:$P,0))))</f>
        <v/>
      </c>
      <c r="J1058" s="439" t="str">
        <f>IF($I1009="","",IF(INDEX(F_ProductBM!J:J,MATCH($P1058,F_ProductBM!$P:$P,0))="","",INDEX(F_ProductBM!J:J,MATCH($P1058,F_ProductBM!$P:$P,0))))</f>
        <v/>
      </c>
      <c r="K1058" s="439" t="str">
        <f>IF($I1009="","",IF(INDEX(F_ProductBM!K:K,MATCH($P1058,F_ProductBM!$P:$P,0))="","",INDEX(F_ProductBM!K:K,MATCH($P1058,F_ProductBM!$P:$P,0))))</f>
        <v/>
      </c>
      <c r="L1058" s="439" t="str">
        <f>IF($I1009="","",IF(INDEX(F_ProductBM!L:L,MATCH($P1058,F_ProductBM!$P:$P,0))="","",INDEX(F_ProductBM!L:L,MATCH($P1058,F_ProductBM!$P:$P,0))))</f>
        <v/>
      </c>
      <c r="M1058" s="439" t="str">
        <f>IF($I1009="","",IF(INDEX(F_ProductBM!M:M,MATCH($P1058,F_ProductBM!$P:$P,0))="","",INDEX(F_ProductBM!M:M,MATCH($P1058,F_ProductBM!$P:$P,0))))</f>
        <v/>
      </c>
      <c r="N1058" s="342"/>
      <c r="O1058" s="17"/>
      <c r="P1058" s="116" t="str">
        <f>EUconst_CNTR_HALPulpTotal &amp; I1009</f>
        <v>HALPulpTotal_</v>
      </c>
      <c r="T1058" s="9"/>
    </row>
    <row r="1059" spans="2:20" ht="5.0999999999999996" customHeight="1" x14ac:dyDescent="0.25">
      <c r="B1059" s="17"/>
      <c r="C1059" s="17"/>
      <c r="D1059" s="17"/>
      <c r="E1059" s="193"/>
      <c r="F1059" s="193"/>
      <c r="G1059" s="193"/>
      <c r="H1059" s="193"/>
      <c r="I1059" s="438"/>
      <c r="J1059" s="438"/>
      <c r="K1059" s="438"/>
      <c r="L1059" s="438"/>
      <c r="M1059" s="438"/>
      <c r="N1059" s="342"/>
      <c r="O1059" s="17"/>
      <c r="P1059" s="9"/>
      <c r="T1059" s="9"/>
    </row>
    <row r="1060" spans="2:20" x14ac:dyDescent="0.25">
      <c r="B1060" s="17"/>
      <c r="C1060" s="17"/>
      <c r="D1060" s="17"/>
      <c r="E1060" s="605" t="str">
        <f>Translations!$B$1239</f>
        <v>Intermediate import:</v>
      </c>
      <c r="F1060" s="193"/>
      <c r="G1060" s="193"/>
      <c r="H1060" s="193"/>
      <c r="I1060" s="438"/>
      <c r="J1060" s="438"/>
      <c r="K1060" s="438"/>
      <c r="L1060" s="438"/>
      <c r="M1060" s="438"/>
      <c r="N1060" s="342"/>
      <c r="O1060" s="17"/>
      <c r="P1060" s="9"/>
      <c r="T1060" s="9"/>
    </row>
    <row r="1061" spans="2:20" x14ac:dyDescent="0.25">
      <c r="B1061" s="17"/>
      <c r="C1061" s="17"/>
      <c r="D1061" s="17"/>
      <c r="E1061" s="1510" t="str">
        <f>IF($I1009="","",IF(INDEX(F_ProductBM!E:E,MATCH($P1061,F_ProductBM!$P:$P,0))="","",INDEX(F_ProductBM!E:E,MATCH($P1061,F_ProductBM!$P:$P,0))))</f>
        <v/>
      </c>
      <c r="F1061" s="1510"/>
      <c r="G1061" s="1510"/>
      <c r="H1061" s="154" t="str">
        <f>EUconst_Tons</f>
        <v>tonnes</v>
      </c>
      <c r="I1061" s="439" t="str">
        <f>IF($I1009="","",IF(INDEX(F_ProductBM!I:I,MATCH($P1061,F_ProductBM!$P:$P,0))="","",INDEX(F_ProductBM!I:I,MATCH($P1061,F_ProductBM!$P:$P,0))))</f>
        <v/>
      </c>
      <c r="J1061" s="439" t="str">
        <f>IF($I1009="","",IF(INDEX(F_ProductBM!J:J,MATCH($P1061,F_ProductBM!$P:$P,0))="","",INDEX(F_ProductBM!J:J,MATCH($P1061,F_ProductBM!$P:$P,0))))</f>
        <v/>
      </c>
      <c r="K1061" s="439" t="str">
        <f>IF($I1009="","",IF(INDEX(F_ProductBM!K:K,MATCH($P1061,F_ProductBM!$P:$P,0))="","",INDEX(F_ProductBM!K:K,MATCH($P1061,F_ProductBM!$P:$P,0))))</f>
        <v/>
      </c>
      <c r="L1061" s="439" t="str">
        <f>IF($I1009="","",IF(INDEX(F_ProductBM!L:L,MATCH($P1061,F_ProductBM!$P:$P,0))="","",INDEX(F_ProductBM!L:L,MATCH($P1061,F_ProductBM!$P:$P,0))))</f>
        <v/>
      </c>
      <c r="M1061" s="439" t="str">
        <f>IF($I1009="","",IF(INDEX(F_ProductBM!M:M,MATCH($P1061,F_ProductBM!$P:$P,0))="","",INDEX(F_ProductBM!M:M,MATCH($P1061,F_ProductBM!$P:$P,0))))</f>
        <v/>
      </c>
      <c r="N1061" s="342"/>
      <c r="O1061" s="17"/>
      <c r="P1061" s="116" t="str">
        <f>EUconst_CNTR_IntermediateImport &amp; R1061 &amp; "_" &amp; I1009</f>
        <v>IntImp_1_</v>
      </c>
      <c r="R1061" s="372">
        <v>1</v>
      </c>
      <c r="T1061" s="9"/>
    </row>
    <row r="1062" spans="2:20" x14ac:dyDescent="0.25">
      <c r="B1062" s="17"/>
      <c r="C1062" s="17"/>
      <c r="D1062" s="17"/>
      <c r="E1062" s="1510" t="str">
        <f>IF($I1009="","",IF(INDEX(F_ProductBM!E:E,MATCH($P1062,F_ProductBM!$P:$P,0))="","",INDEX(F_ProductBM!E:E,MATCH($P1062,F_ProductBM!$P:$P,0))))</f>
        <v/>
      </c>
      <c r="F1062" s="1510"/>
      <c r="G1062" s="1510"/>
      <c r="H1062" s="154" t="str">
        <f>EUconst_Tons</f>
        <v>tonnes</v>
      </c>
      <c r="I1062" s="439" t="str">
        <f>IF($I1009="","",IF(INDEX(F_ProductBM!I:I,MATCH($P1062,F_ProductBM!$P:$P,0))="","",INDEX(F_ProductBM!I:I,MATCH($P1062,F_ProductBM!$P:$P,0))))</f>
        <v/>
      </c>
      <c r="J1062" s="439" t="str">
        <f>IF($I1009="","",IF(INDEX(F_ProductBM!J:J,MATCH($P1062,F_ProductBM!$P:$P,0))="","",INDEX(F_ProductBM!J:J,MATCH($P1062,F_ProductBM!$P:$P,0))))</f>
        <v/>
      </c>
      <c r="K1062" s="439" t="str">
        <f>IF($I1009="","",IF(INDEX(F_ProductBM!K:K,MATCH($P1062,F_ProductBM!$P:$P,0))="","",INDEX(F_ProductBM!K:K,MATCH($P1062,F_ProductBM!$P:$P,0))))</f>
        <v/>
      </c>
      <c r="L1062" s="439" t="str">
        <f>IF($I1009="","",IF(INDEX(F_ProductBM!L:L,MATCH($P1062,F_ProductBM!$P:$P,0))="","",INDEX(F_ProductBM!L:L,MATCH($P1062,F_ProductBM!$P:$P,0))))</f>
        <v/>
      </c>
      <c r="M1062" s="439" t="str">
        <f>IF($I1009="","",IF(INDEX(F_ProductBM!M:M,MATCH($P1062,F_ProductBM!$P:$P,0))="","",INDEX(F_ProductBM!M:M,MATCH($P1062,F_ProductBM!$P:$P,0))))</f>
        <v/>
      </c>
      <c r="N1062" s="342"/>
      <c r="O1062" s="17"/>
      <c r="P1062" s="116" t="str">
        <f>EUconst_CNTR_IntermediateImport &amp; R1062 &amp; "_" &amp; I1009</f>
        <v>IntImp_2_</v>
      </c>
      <c r="R1062" s="372">
        <v>2</v>
      </c>
      <c r="T1062" s="9"/>
    </row>
    <row r="1063" spans="2:20" x14ac:dyDescent="0.25">
      <c r="B1063" s="17"/>
      <c r="C1063" s="17"/>
      <c r="D1063" s="17"/>
      <c r="E1063" s="605" t="str">
        <f>Translations!$B$1240</f>
        <v>Intermediate export:</v>
      </c>
      <c r="F1063" s="193"/>
      <c r="G1063" s="193"/>
      <c r="H1063" s="193"/>
      <c r="I1063" s="438"/>
      <c r="J1063" s="438"/>
      <c r="K1063" s="438"/>
      <c r="L1063" s="438"/>
      <c r="M1063" s="438"/>
      <c r="N1063" s="342"/>
      <c r="O1063" s="17"/>
      <c r="P1063" s="9"/>
      <c r="T1063" s="9"/>
    </row>
    <row r="1064" spans="2:20" x14ac:dyDescent="0.25">
      <c r="B1064" s="17"/>
      <c r="C1064" s="17"/>
      <c r="D1064" s="17"/>
      <c r="E1064" s="1510" t="str">
        <f>IF($I1009="","",IF(INDEX(F_ProductBM!E:E,MATCH($P1064,F_ProductBM!$P:$P,0))="","",INDEX(F_ProductBM!E:E,MATCH($P1064,F_ProductBM!$P:$P,0))))</f>
        <v/>
      </c>
      <c r="F1064" s="1510"/>
      <c r="G1064" s="1510"/>
      <c r="H1064" s="154" t="str">
        <f>EUconst_Tons</f>
        <v>tonnes</v>
      </c>
      <c r="I1064" s="439" t="str">
        <f>IF($I1009="","",IF(INDEX(F_ProductBM!I:I,MATCH($P1064,F_ProductBM!$P:$P,0))="","",INDEX(F_ProductBM!I:I,MATCH($P1064,F_ProductBM!$P:$P,0))))</f>
        <v/>
      </c>
      <c r="J1064" s="439" t="str">
        <f>IF($I1009="","",IF(INDEX(F_ProductBM!J:J,MATCH($P1064,F_ProductBM!$P:$P,0))="","",INDEX(F_ProductBM!J:J,MATCH($P1064,F_ProductBM!$P:$P,0))))</f>
        <v/>
      </c>
      <c r="K1064" s="439" t="str">
        <f>IF($I1009="","",IF(INDEX(F_ProductBM!K:K,MATCH($P1064,F_ProductBM!$P:$P,0))="","",INDEX(F_ProductBM!K:K,MATCH($P1064,F_ProductBM!$P:$P,0))))</f>
        <v/>
      </c>
      <c r="L1064" s="439" t="str">
        <f>IF($I1009="","",IF(INDEX(F_ProductBM!L:L,MATCH($P1064,F_ProductBM!$P:$P,0))="","",INDEX(F_ProductBM!L:L,MATCH($P1064,F_ProductBM!$P:$P,0))))</f>
        <v/>
      </c>
      <c r="M1064" s="439" t="str">
        <f>IF($I1009="","",IF(INDEX(F_ProductBM!M:M,MATCH($P1064,F_ProductBM!$P:$P,0))="","",INDEX(F_ProductBM!M:M,MATCH($P1064,F_ProductBM!$P:$P,0))))</f>
        <v/>
      </c>
      <c r="N1064" s="342"/>
      <c r="O1064" s="17"/>
      <c r="P1064" s="116" t="str">
        <f>EUconst_CNTR_IntermediateExport &amp; R1061 &amp; "_" &amp; I1009</f>
        <v>IntExp_1_</v>
      </c>
      <c r="R1064" s="372">
        <v>1</v>
      </c>
      <c r="T1064" s="9"/>
    </row>
    <row r="1065" spans="2:20" x14ac:dyDescent="0.25">
      <c r="B1065" s="17"/>
      <c r="C1065" s="17"/>
      <c r="D1065" s="17"/>
      <c r="E1065" s="1510" t="str">
        <f>IF($I1009="","",IF(INDEX(F_ProductBM!E:E,MATCH($P1065,F_ProductBM!$P:$P,0))="","",INDEX(F_ProductBM!E:E,MATCH($P1065,F_ProductBM!$P:$P,0))))</f>
        <v/>
      </c>
      <c r="F1065" s="1510"/>
      <c r="G1065" s="1510"/>
      <c r="H1065" s="154" t="str">
        <f>EUconst_Tons</f>
        <v>tonnes</v>
      </c>
      <c r="I1065" s="439" t="str">
        <f>IF($I1009="","",IF(INDEX(F_ProductBM!I:I,MATCH($P1065,F_ProductBM!$P:$P,0))="","",INDEX(F_ProductBM!I:I,MATCH($P1065,F_ProductBM!$P:$P,0))))</f>
        <v/>
      </c>
      <c r="J1065" s="439" t="str">
        <f>IF($I1009="","",IF(INDEX(F_ProductBM!J:J,MATCH($P1065,F_ProductBM!$P:$P,0))="","",INDEX(F_ProductBM!J:J,MATCH($P1065,F_ProductBM!$P:$P,0))))</f>
        <v/>
      </c>
      <c r="K1065" s="439" t="str">
        <f>IF($I1009="","",IF(INDEX(F_ProductBM!K:K,MATCH($P1065,F_ProductBM!$P:$P,0))="","",INDEX(F_ProductBM!K:K,MATCH($P1065,F_ProductBM!$P:$P,0))))</f>
        <v/>
      </c>
      <c r="L1065" s="439" t="str">
        <f>IF($I1009="","",IF(INDEX(F_ProductBM!L:L,MATCH($P1065,F_ProductBM!$P:$P,0))="","",INDEX(F_ProductBM!L:L,MATCH($P1065,F_ProductBM!$P:$P,0))))</f>
        <v/>
      </c>
      <c r="M1065" s="439" t="str">
        <f>IF($I1009="","",IF(INDEX(F_ProductBM!M:M,MATCH($P1065,F_ProductBM!$P:$P,0))="","",INDEX(F_ProductBM!M:M,MATCH($P1065,F_ProductBM!$P:$P,0))))</f>
        <v/>
      </c>
      <c r="N1065" s="342"/>
      <c r="O1065" s="17"/>
      <c r="P1065" s="116" t="str">
        <f>EUconst_CNTR_IntermediateExport &amp; R1065 &amp; "_" &amp; I1009</f>
        <v>IntExp_2_</v>
      </c>
      <c r="R1065" s="372">
        <v>2</v>
      </c>
      <c r="T1065" s="9"/>
    </row>
    <row r="1066" spans="2:20" ht="12.75" customHeight="1" x14ac:dyDescent="0.25">
      <c r="B1066" s="17"/>
      <c r="C1066" s="17"/>
      <c r="D1066" s="17"/>
      <c r="E1066" s="193"/>
      <c r="F1066" s="193"/>
      <c r="G1066" s="193"/>
      <c r="H1066" s="193"/>
      <c r="I1066" s="342"/>
      <c r="J1066" s="342"/>
      <c r="K1066" s="342"/>
      <c r="L1066" s="342"/>
      <c r="M1066" s="342"/>
      <c r="N1066" s="342"/>
      <c r="O1066" s="17"/>
      <c r="P1066" s="9"/>
      <c r="T1066" s="9"/>
    </row>
    <row r="1067" spans="2:20" x14ac:dyDescent="0.25">
      <c r="B1067" s="17"/>
      <c r="C1067" s="17"/>
      <c r="D1067" s="17"/>
      <c r="E1067" s="113"/>
      <c r="F1067" s="113"/>
      <c r="G1067" s="113"/>
      <c r="H1067" s="113"/>
      <c r="I1067" s="17"/>
      <c r="J1067" s="17"/>
      <c r="K1067" s="17"/>
      <c r="L1067" s="17"/>
      <c r="M1067" s="17"/>
      <c r="N1067" s="17"/>
      <c r="O1067" s="17"/>
      <c r="P1067" s="9"/>
      <c r="T1067" s="9"/>
    </row>
    <row r="1068" spans="2:20" ht="5.0999999999999996" customHeight="1" thickBot="1" x14ac:dyDescent="0.3">
      <c r="B1068" s="17"/>
      <c r="C1068" s="17"/>
      <c r="D1068" s="17"/>
      <c r="E1068" s="113"/>
      <c r="F1068" s="17"/>
      <c r="H1068" s="17"/>
      <c r="I1068" s="17"/>
      <c r="J1068" s="17"/>
      <c r="K1068" s="17"/>
      <c r="L1068" s="17"/>
      <c r="M1068" s="17"/>
      <c r="N1068" s="17"/>
      <c r="O1068" s="17"/>
      <c r="T1068" s="9"/>
    </row>
    <row r="1069" spans="2:20" ht="5.0999999999999996" customHeight="1" thickBot="1" x14ac:dyDescent="0.3">
      <c r="B1069" s="8"/>
      <c r="C1069" s="906"/>
      <c r="D1069" s="906"/>
      <c r="E1069" s="906"/>
      <c r="F1069" s="906"/>
      <c r="G1069" s="906"/>
      <c r="H1069" s="906"/>
      <c r="I1069" s="906"/>
      <c r="J1069" s="906"/>
      <c r="K1069" s="906"/>
      <c r="L1069" s="906"/>
      <c r="M1069" s="906"/>
      <c r="N1069" s="906"/>
      <c r="O1069" s="17"/>
      <c r="T1069" s="9" t="s">
        <v>644</v>
      </c>
    </row>
    <row r="1070" spans="2:20" ht="12.75" customHeight="1" thickBot="1" x14ac:dyDescent="0.3">
      <c r="B1070" s="8"/>
      <c r="C1070" s="906"/>
      <c r="D1070" s="906"/>
      <c r="E1070" s="906"/>
      <c r="F1070" s="906"/>
      <c r="G1070" s="906"/>
      <c r="H1070" s="906"/>
      <c r="I1070" s="906"/>
      <c r="J1070" s="906"/>
      <c r="K1070" s="906"/>
      <c r="L1070" s="906"/>
      <c r="M1070" s="906"/>
      <c r="N1070" s="906"/>
      <c r="O1070" s="17"/>
      <c r="T1070" s="9" t="s">
        <v>644</v>
      </c>
    </row>
    <row r="1071" spans="2:20" ht="15" customHeight="1" thickBot="1" x14ac:dyDescent="0.3">
      <c r="B1071" s="17"/>
      <c r="C1071" s="19">
        <v>11</v>
      </c>
      <c r="D1071" s="1234" t="str">
        <f>CONCATENATE(EUconst_FBSubinst," ",C1071-10, ":")</f>
        <v>Fall-Back sub-installation 1:</v>
      </c>
      <c r="E1071" s="1176"/>
      <c r="F1071" s="1176"/>
      <c r="G1071" s="1176"/>
      <c r="H1071" s="1260"/>
      <c r="I1071" s="1710" t="str">
        <f>INDEX(EUconst_FallBackListNames,$C1071-10)</f>
        <v>Heat benchmark sub-installation, CL</v>
      </c>
      <c r="J1071" s="1711"/>
      <c r="K1071" s="1711"/>
      <c r="L1071" s="1712"/>
      <c r="M1071" s="1608" t="str">
        <f>IF(ISBLANK(INDEX(CNTR_FallBackSubInstRelevant,C1071-10)),"",IF(INDEX(CNTR_FallBackSubInstRelevant,C1071-10),EUconst_Relevant,EUconst_NotRelevant))</f>
        <v/>
      </c>
      <c r="N1071" s="1609"/>
      <c r="O1071" s="17"/>
      <c r="Q1071" s="427">
        <f>C1071</f>
        <v>11</v>
      </c>
      <c r="R1071" s="424" t="str">
        <f>I1071</f>
        <v>Heat benchmark sub-installation, CL</v>
      </c>
      <c r="S1071" s="426" t="b">
        <f>H1074</f>
        <v>1</v>
      </c>
      <c r="T1071" s="425" t="str">
        <f>IF(M1083="","",IF(S1074=0,0,SUM(M1083)/S1074))</f>
        <v/>
      </c>
    </row>
    <row r="1072" spans="2:20" ht="5.0999999999999996" customHeight="1" thickBot="1" x14ac:dyDescent="0.3">
      <c r="B1072" s="17"/>
      <c r="C1072" s="17"/>
      <c r="D1072" s="17"/>
      <c r="E1072" s="17"/>
      <c r="F1072" s="17"/>
      <c r="G1072" s="17"/>
      <c r="H1072" s="17"/>
      <c r="I1072" s="17"/>
      <c r="J1072" s="17"/>
      <c r="K1072" s="17"/>
      <c r="L1072" s="17"/>
      <c r="M1072" s="17"/>
      <c r="N1072" s="17"/>
      <c r="O1072" s="17"/>
      <c r="T1072" s="9"/>
    </row>
    <row r="1073" spans="2:20" x14ac:dyDescent="0.25">
      <c r="B1073" s="17"/>
      <c r="C1073" s="17"/>
      <c r="D1073" s="17"/>
      <c r="E1073" s="17"/>
      <c r="F1073" s="17"/>
      <c r="G1073" s="17"/>
      <c r="H1073" s="253" t="str">
        <f>Translations!$B$1204</f>
        <v>CL-exposed</v>
      </c>
      <c r="I1073" s="254" t="str">
        <f>Translations!$B$1208</f>
        <v>Started</v>
      </c>
      <c r="J1073" s="254" t="str">
        <f>Translations!$B$1212</f>
        <v>15(7).3?</v>
      </c>
      <c r="K1073" s="254" t="str">
        <f>Translations!$B$1214</f>
        <v>15(7).3 HAL</v>
      </c>
      <c r="L1073" s="329" t="str">
        <f>Translations!$B$1206</f>
        <v>No. of BM</v>
      </c>
      <c r="M1073" s="468" t="str">
        <f>Translations!$B$1234</f>
        <v>BM value (min/max/actual)</v>
      </c>
      <c r="N1073" s="469"/>
      <c r="O1073" s="17"/>
      <c r="T1073" s="9"/>
    </row>
    <row r="1074" spans="2:20" x14ac:dyDescent="0.25">
      <c r="B1074" s="17"/>
      <c r="C1074" s="17"/>
      <c r="D1074" s="17"/>
      <c r="E1074" s="255" t="str">
        <f>I1071</f>
        <v>Heat benchmark sub-installation, CL</v>
      </c>
      <c r="F1074" s="256"/>
      <c r="G1074" s="230"/>
      <c r="H1074" s="257" t="b">
        <f>INDEX(EUconst_FallBackListCLstatus,MATCH(I1071,EUconst_FallBackListNames,0))</f>
        <v>1</v>
      </c>
      <c r="I1074" s="355" t="str">
        <f>IF(M1071&lt;&gt;EUconst_Relevant,"",INDEX(CNTR_SubInstStartDate,MATCH(E1074,CNTR_SubInstListNames,0)))</f>
        <v/>
      </c>
      <c r="J1074" s="258" t="str">
        <f>IF(M1071&lt;&gt;EUconst_Relevant,"",INDEX(CNTR_SubInstLess1Year,MATCH(E1074,CNTR_SubInstListNames,0)))</f>
        <v/>
      </c>
      <c r="K1074" s="203" t="str">
        <f>IF($J1074=TRUE,SUMIF('G_Fall-back'!$P:$P,EUconst_CNTR_HAL&amp;$E1074,'G_Fall-back'!$N:$N),"")</f>
        <v/>
      </c>
      <c r="L1074" s="353">
        <f>C1071-10</f>
        <v>1</v>
      </c>
      <c r="M1074" s="474" t="str">
        <f>IF(M1071&lt;&gt;EUconst_Relevant,"",INDEX(EUconst_FallBackListBMvaluesMatrix,L1074,2))</f>
        <v/>
      </c>
      <c r="N1074" s="471" t="str">
        <f>EUconst_EUA &amp; "/" &amp; H1079</f>
        <v>UKA/TJ</v>
      </c>
      <c r="O1074" s="17"/>
      <c r="R1074" s="288" t="s">
        <v>639</v>
      </c>
      <c r="S1074" s="335">
        <f>IF(H1074,1,INDEX(EUconst_CLEFYears,1))</f>
        <v>1</v>
      </c>
    </row>
    <row r="1075" spans="2:20" x14ac:dyDescent="0.25">
      <c r="B1075" s="17"/>
      <c r="C1075" s="17"/>
      <c r="D1075" s="276"/>
      <c r="E1075" s="276"/>
      <c r="F1075" s="276"/>
      <c r="G1075" s="276"/>
      <c r="H1075" s="276"/>
      <c r="I1075" s="276"/>
      <c r="J1075" s="276"/>
      <c r="K1075" s="276"/>
      <c r="L1075" s="276"/>
      <c r="M1075" s="474" t="str">
        <f>IF(M1071&lt;&gt;EUconst_Relevant,"",INDEX(EUconst_FallBackListBMvaluesMatrix,L1074,1))</f>
        <v/>
      </c>
      <c r="N1075" s="471" t="str">
        <f>EUconst_EUA &amp; "/" &amp; H1079</f>
        <v>UKA/TJ</v>
      </c>
      <c r="O1075" s="17"/>
      <c r="R1075" s="288"/>
      <c r="S1075" s="368"/>
    </row>
    <row r="1076" spans="2:20" ht="13.8" thickBot="1" x14ac:dyDescent="0.3">
      <c r="B1076" s="17"/>
      <c r="C1076" s="17"/>
      <c r="D1076" s="276"/>
      <c r="E1076" s="276"/>
      <c r="F1076" s="276"/>
      <c r="G1076" s="276"/>
      <c r="H1076" s="276"/>
      <c r="I1076" s="276"/>
      <c r="J1076" s="276"/>
      <c r="K1076" s="276"/>
      <c r="L1076" s="276"/>
      <c r="M1076" s="475" t="str">
        <f>IF(M1071&lt;&gt;EUconst_Relevant,"",IF(EUconst_StatusOfDataCollection,INDEX(EUconst_FallBackListBMvaluesMatrix,L1074,3),""))</f>
        <v/>
      </c>
      <c r="N1076" s="473" t="str">
        <f>EUconst_EUA &amp; "/" &amp; H1079</f>
        <v>UKA/TJ</v>
      </c>
      <c r="O1076" s="17"/>
      <c r="R1076" s="288"/>
      <c r="S1076" s="368"/>
    </row>
    <row r="1077" spans="2:20" ht="5.0999999999999996" customHeight="1" x14ac:dyDescent="0.25">
      <c r="B1077" s="17"/>
      <c r="C1077" s="17"/>
      <c r="D1077" s="17"/>
      <c r="E1077" s="17"/>
      <c r="F1077" s="17"/>
      <c r="G1077" s="17"/>
      <c r="H1077" s="17"/>
      <c r="I1077" s="17"/>
      <c r="J1077" s="17"/>
      <c r="K1077" s="17"/>
      <c r="L1077" s="17"/>
      <c r="M1077" s="17"/>
      <c r="N1077" s="17"/>
      <c r="O1077" s="17"/>
    </row>
    <row r="1078" spans="2:20" x14ac:dyDescent="0.25">
      <c r="B1078" s="17"/>
      <c r="C1078" s="17"/>
      <c r="D1078" s="17"/>
      <c r="E1078" s="78"/>
      <c r="F1078" s="78"/>
      <c r="G1078" s="259"/>
      <c r="H1078" s="253" t="str">
        <f>EUconst_Unit</f>
        <v>Unit</v>
      </c>
      <c r="I1078" s="149">
        <f>I$1397</f>
        <v>2019</v>
      </c>
      <c r="J1078" s="149">
        <f>J$1397</f>
        <v>2020</v>
      </c>
      <c r="K1078" s="149">
        <f>K$1397</f>
        <v>2021</v>
      </c>
      <c r="L1078" s="149">
        <f>L$1397</f>
        <v>2022</v>
      </c>
      <c r="M1078" s="149">
        <f>M$1397</f>
        <v>2023</v>
      </c>
      <c r="N1078" s="17"/>
      <c r="O1078" s="17"/>
      <c r="P1078" s="63" t="s">
        <v>397</v>
      </c>
    </row>
    <row r="1079" spans="2:20" x14ac:dyDescent="0.25">
      <c r="B1079" s="17"/>
      <c r="C1079" s="17"/>
      <c r="D1079" s="17"/>
      <c r="E1079" s="260" t="str">
        <f>Translations!$B$1236</f>
        <v>HAL (Historic activity level) reported</v>
      </c>
      <c r="F1079" s="261"/>
      <c r="G1079" s="262"/>
      <c r="H1079" s="257" t="str">
        <f>INDEX(EUconst_FallBackListUnits,L1074)</f>
        <v>TJ</v>
      </c>
      <c r="I1079" s="203" t="str">
        <f>IF($M1071&lt;&gt;EUconst_Relevant,"",SUMIF('G_Fall-back'!$P:$P,$P1080,'G_Fall-back'!I:I))</f>
        <v/>
      </c>
      <c r="J1079" s="203" t="str">
        <f>IF($M1071&lt;&gt;EUconst_Relevant,"",SUMIF('G_Fall-back'!$P:$P,$P1080,'G_Fall-back'!J:J))</f>
        <v/>
      </c>
      <c r="K1079" s="203" t="str">
        <f>IF($M1071&lt;&gt;EUconst_Relevant,"",SUMIF('G_Fall-back'!$P:$P,$P1080,'G_Fall-back'!K:K))</f>
        <v/>
      </c>
      <c r="L1079" s="203" t="str">
        <f>IF($M1071&lt;&gt;EUconst_Relevant,"",SUMIF('G_Fall-back'!$P:$P,$P1080,'G_Fall-back'!L:L))</f>
        <v/>
      </c>
      <c r="M1079" s="203" t="str">
        <f>IF($M1071&lt;&gt;EUconst_Relevant,"",SUMIF('G_Fall-back'!$P:$P,$P1080,'G_Fall-back'!M:M))</f>
        <v/>
      </c>
      <c r="N1079" s="254" t="str">
        <f>Translations!$B$1224</f>
        <v>Average</v>
      </c>
      <c r="O1079" s="17"/>
      <c r="P1079" s="63" t="str">
        <f>EUconst_CNTR_HAL&amp;I1071</f>
        <v>HAL_Heat benchmark sub-installation, CL</v>
      </c>
      <c r="T1079" s="9"/>
    </row>
    <row r="1080" spans="2:20" x14ac:dyDescent="0.25">
      <c r="B1080" s="17"/>
      <c r="C1080" s="17"/>
      <c r="D1080" s="17"/>
      <c r="E1080" s="260" t="str">
        <f>Translations!$B$1237</f>
        <v>Values used for HAL calculation:</v>
      </c>
      <c r="F1080" s="261"/>
      <c r="G1080" s="262"/>
      <c r="H1080" s="257" t="str">
        <f>H1079</f>
        <v>TJ</v>
      </c>
      <c r="I1080" s="148" t="str">
        <f>IF($M1071&lt;&gt;EUconst_Relevant,"",INDEX('G_Fall-back'!S:S,MATCH($P1080,'G_Fall-back'!$P:$P,0)))</f>
        <v/>
      </c>
      <c r="J1080" s="148" t="str">
        <f>IF($M1071&lt;&gt;EUconst_Relevant,"",INDEX('G_Fall-back'!T:T,MATCH($P1080,'G_Fall-back'!$P:$P,0)))</f>
        <v/>
      </c>
      <c r="K1080" s="148" t="str">
        <f>IF($M1071&lt;&gt;EUconst_Relevant,"",INDEX('G_Fall-back'!U:U,MATCH($P1080,'G_Fall-back'!$P:$P,0)))</f>
        <v/>
      </c>
      <c r="L1080" s="148" t="str">
        <f>IF($M1071&lt;&gt;EUconst_Relevant,"",INDEX('G_Fall-back'!V:V,MATCH($P1080,'G_Fall-back'!$P:$P,0)))</f>
        <v/>
      </c>
      <c r="M1080" s="148" t="str">
        <f>IF($M1071&lt;&gt;EUconst_Relevant,"",INDEX('G_Fall-back'!W:W,MATCH($P1080,'G_Fall-back'!$P:$P,0)))</f>
        <v/>
      </c>
      <c r="N1080" s="203" t="str">
        <f>IF(OR($M1071&lt;&gt;EUconst_Relevant,$J1074=TRUE),"",IF(COUNT($I1080:$M1080)&gt;0,AVERAGE($I1080:$M1080),""))</f>
        <v/>
      </c>
      <c r="O1080" s="17"/>
      <c r="P1080" s="63" t="str">
        <f>EUconst_CNTR_HAL&amp;I1071</f>
        <v>HAL_Heat benchmark sub-installation, CL</v>
      </c>
      <c r="R1080" s="442" t="s">
        <v>640</v>
      </c>
      <c r="S1080" s="442" t="s">
        <v>641</v>
      </c>
      <c r="T1080" s="442" t="s">
        <v>642</v>
      </c>
    </row>
    <row r="1081" spans="2:20" ht="5.0999999999999996" customHeight="1" thickBot="1" x14ac:dyDescent="0.3">
      <c r="B1081" s="17"/>
      <c r="C1081" s="17"/>
      <c r="D1081" s="17"/>
      <c r="E1081" s="17"/>
      <c r="F1081" s="17"/>
      <c r="G1081" s="17"/>
      <c r="H1081" s="17"/>
      <c r="I1081" s="17"/>
      <c r="J1081" s="17"/>
      <c r="K1081" s="17"/>
      <c r="L1081" s="17"/>
      <c r="M1081" s="17"/>
      <c r="N1081" s="17"/>
      <c r="O1081" s="17"/>
      <c r="T1081" s="9"/>
    </row>
    <row r="1082" spans="2:20" ht="13.8" thickBot="1" x14ac:dyDescent="0.3">
      <c r="B1082" s="17"/>
      <c r="C1082" s="17"/>
      <c r="D1082" s="17"/>
      <c r="E1082" s="17"/>
      <c r="F1082" s="263" t="s">
        <v>643</v>
      </c>
      <c r="G1082" s="337"/>
      <c r="H1082" s="17"/>
      <c r="I1082" s="336" t="str">
        <f>Translations!$B$1226</f>
        <v>Prelim Alloc Year 1 (min)</v>
      </c>
      <c r="J1082" s="337"/>
      <c r="K1082" s="336" t="str">
        <f>Translations!$B$1229</f>
        <v>Prelim Alloc Year 1 (max)</v>
      </c>
      <c r="L1082" s="337"/>
      <c r="M1082" s="336" t="str">
        <f>Translations!$B$1231</f>
        <v>Prelim Alloc Year 1 (actual)</v>
      </c>
      <c r="N1082" s="337"/>
      <c r="O1082" s="17"/>
      <c r="P1082" s="63" t="str">
        <f>EUconst_AllocPrelim&amp;I1071</f>
        <v>AllocPrelim_Heat benchmark sub-installation, CL</v>
      </c>
      <c r="R1082" s="423" t="str">
        <f>IF(I1083="","",IF(S1074=0,0,SUM(I1083)/S1074))</f>
        <v/>
      </c>
      <c r="S1082" s="423" t="str">
        <f>IF(K1083="","",IF(S1074=0,0,SUM(K1083)/S1074))</f>
        <v/>
      </c>
      <c r="T1082" s="423" t="str">
        <f>T1071</f>
        <v/>
      </c>
    </row>
    <row r="1083" spans="2:20" ht="13.8" thickBot="1" x14ac:dyDescent="0.3">
      <c r="B1083" s="17"/>
      <c r="C1083" s="17"/>
      <c r="D1083" s="17"/>
      <c r="E1083" s="17"/>
      <c r="F1083" s="264" t="str">
        <f>IF(M1071&lt;&gt;EUconst_Relevant,"",MAX(0, IF(J1074=TRUE, SUM(K1074), SUM(N1080))))</f>
        <v/>
      </c>
      <c r="G1083" s="409" t="str">
        <f>H1080&amp;" / "&amp;EUconst_Year</f>
        <v>TJ / year</v>
      </c>
      <c r="H1083" s="17"/>
      <c r="I1083" s="333" t="str">
        <f>IF(M1071&lt;&gt;EUconst_Relevant,"",ROUND(SUM(M1074)*SUM(F1083)*SUM(S1074),0))</f>
        <v/>
      </c>
      <c r="J1083" s="409" t="s">
        <v>645</v>
      </c>
      <c r="K1083" s="333" t="str">
        <f>IF(M1071&lt;&gt;EUconst_Relevant,"",ROUND(SUM(M1075)*SUM(F1083)*SUM(S1074),0))</f>
        <v/>
      </c>
      <c r="L1083" s="409" t="s">
        <v>645</v>
      </c>
      <c r="M1083" s="333" t="str">
        <f>IF(OR(M1071&lt;&gt;EUconst_Relevant,M1076=""),"",ROUND(SUM(M1076)*SUM(F1083)*SUM(S1074),0))</f>
        <v/>
      </c>
      <c r="N1083" s="409" t="s">
        <v>645</v>
      </c>
      <c r="O1083" s="17"/>
      <c r="P1083" s="63" t="str">
        <f>EUconst_HALsum &amp; I1071</f>
        <v>HALsum_Heat benchmark sub-installation, CL</v>
      </c>
    </row>
    <row r="1084" spans="2:20" x14ac:dyDescent="0.25">
      <c r="B1084" s="17"/>
      <c r="C1084" s="17"/>
      <c r="D1084" s="17"/>
      <c r="E1084" s="17"/>
      <c r="F1084" s="17"/>
      <c r="G1084" s="17"/>
      <c r="H1084" s="17"/>
      <c r="I1084" s="17"/>
      <c r="J1084" s="17"/>
      <c r="K1084" s="17"/>
      <c r="L1084" s="17"/>
      <c r="M1084" s="17"/>
      <c r="N1084" s="17"/>
      <c r="O1084" s="17"/>
    </row>
    <row r="1085" spans="2:20" ht="12.75" customHeight="1" x14ac:dyDescent="0.25">
      <c r="B1085" s="17"/>
      <c r="C1085" s="17"/>
      <c r="D1085" s="17"/>
      <c r="E1085" s="193"/>
      <c r="F1085" s="342"/>
      <c r="G1085" s="342"/>
      <c r="H1085" s="342"/>
      <c r="I1085" s="342"/>
      <c r="J1085" s="342"/>
      <c r="K1085" s="342"/>
      <c r="L1085" s="342"/>
      <c r="M1085" s="342"/>
      <c r="N1085" s="342"/>
      <c r="O1085" s="17"/>
    </row>
    <row r="1086" spans="2:20" ht="13.8" thickBot="1" x14ac:dyDescent="0.3">
      <c r="B1086" s="17"/>
      <c r="C1086" s="17"/>
      <c r="D1086" s="17"/>
      <c r="E1086" s="193"/>
      <c r="F1086" s="342"/>
      <c r="G1086" s="342"/>
      <c r="H1086" s="192" t="str">
        <f>EUconst_Unit</f>
        <v>Unit</v>
      </c>
      <c r="I1086" s="441">
        <f>I$1397</f>
        <v>2019</v>
      </c>
      <c r="J1086" s="153">
        <f>J$1397</f>
        <v>2020</v>
      </c>
      <c r="K1086" s="153">
        <f>K$1397</f>
        <v>2021</v>
      </c>
      <c r="L1086" s="153">
        <f>L$1397</f>
        <v>2022</v>
      </c>
      <c r="M1086" s="153">
        <f>M$1397</f>
        <v>2023</v>
      </c>
      <c r="N1086" s="342"/>
      <c r="O1086" s="17"/>
    </row>
    <row r="1087" spans="2:20" ht="13.8" thickBot="1" x14ac:dyDescent="0.3">
      <c r="B1087" s="17"/>
      <c r="C1087" s="17"/>
      <c r="D1087" s="17"/>
      <c r="E1087" s="1610" t="str">
        <f>Translations!$B$532</f>
        <v>Measurable heat produced</v>
      </c>
      <c r="F1087" s="1610"/>
      <c r="G1087" s="1610"/>
      <c r="H1087" s="411" t="str">
        <f>EUconst_TJpa</f>
        <v>TJ / year</v>
      </c>
      <c r="I1087" s="432" t="str">
        <f>IF($M1071&lt;&gt;EUconst_Relevant,"",IF(INDEX('G_Fall-back'!I:I,MATCH($P1087,'G_Fall-back'!$P:$P,0))="","",INDEX('G_Fall-back'!I:I,MATCH($P1087,'G_Fall-back'!$P:$P,0))))</f>
        <v/>
      </c>
      <c r="J1087" s="433" t="str">
        <f>IF($M1071&lt;&gt;EUconst_Relevant,"",IF(INDEX('G_Fall-back'!J:J,MATCH($P1087,'G_Fall-back'!$P:$P,0))="","",INDEX('G_Fall-back'!J:J,MATCH($P1087,'G_Fall-back'!$P:$P,0))))</f>
        <v/>
      </c>
      <c r="K1087" s="433" t="str">
        <f>IF($M1071&lt;&gt;EUconst_Relevant,"",IF(INDEX('G_Fall-back'!K:K,MATCH($P1087,'G_Fall-back'!$P:$P,0))="","",INDEX('G_Fall-back'!K:K,MATCH($P1087,'G_Fall-back'!$P:$P,0))))</f>
        <v/>
      </c>
      <c r="L1087" s="433" t="str">
        <f>IF($M1071&lt;&gt;EUconst_Relevant,"",IF(INDEX('G_Fall-back'!L:L,MATCH($P1087,'G_Fall-back'!$P:$P,0))="","",INDEX('G_Fall-back'!L:L,MATCH($P1087,'G_Fall-back'!$P:$P,0))))</f>
        <v/>
      </c>
      <c r="M1087" s="434" t="str">
        <f>IF($M1071&lt;&gt;EUconst_Relevant,"",IF(INDEX('G_Fall-back'!M:M,MATCH($P1087,'G_Fall-back'!$P:$P,0))="","",INDEX('G_Fall-back'!M:M,MATCH($P1087,'G_Fall-back'!$P:$P,0))))</f>
        <v/>
      </c>
      <c r="N1087" s="342"/>
      <c r="O1087" s="17"/>
      <c r="P1087" s="116" t="str">
        <f>EUconst_CNTR_HeatProduced &amp; I1071</f>
        <v>HeatProd_Heat benchmark sub-installation, CL</v>
      </c>
    </row>
    <row r="1088" spans="2:20" ht="5.0999999999999996" customHeight="1" thickBot="1" x14ac:dyDescent="0.3">
      <c r="B1088" s="17"/>
      <c r="C1088" s="17"/>
      <c r="D1088" s="17"/>
      <c r="E1088" s="193"/>
      <c r="F1088" s="193"/>
      <c r="G1088" s="193"/>
      <c r="H1088" s="193"/>
      <c r="I1088" s="438"/>
      <c r="J1088" s="438"/>
      <c r="K1088" s="438"/>
      <c r="L1088" s="438"/>
      <c r="M1088" s="438"/>
      <c r="N1088" s="342"/>
      <c r="O1088" s="17"/>
    </row>
    <row r="1089" spans="2:20" ht="13.8" thickBot="1" x14ac:dyDescent="0.3">
      <c r="B1089" s="17"/>
      <c r="C1089" s="17"/>
      <c r="D1089" s="17"/>
      <c r="E1089" s="1610" t="str">
        <f>Translations!$B$1238</f>
        <v>Total attributed emissions</v>
      </c>
      <c r="F1089" s="1610"/>
      <c r="G1089" s="1610"/>
      <c r="H1089" s="411" t="str">
        <f>EUconst_tCO2epa</f>
        <v>t CO2e/year</v>
      </c>
      <c r="I1089" s="432" t="str">
        <f>INDEX(I$93:I$109,MATCH($I1071,$E$93:$E$109,0))</f>
        <v/>
      </c>
      <c r="J1089" s="433" t="str">
        <f>INDEX(J$93:J$109,MATCH($I1071,$E$93:$E$109,0))</f>
        <v/>
      </c>
      <c r="K1089" s="433" t="str">
        <f>INDEX(K$93:K$109,MATCH($I1071,$E$93:$E$109,0))</f>
        <v/>
      </c>
      <c r="L1089" s="433" t="str">
        <f>INDEX(L$93:L$109,MATCH($I1071,$E$93:$E$109,0))</f>
        <v/>
      </c>
      <c r="M1089" s="434" t="str">
        <f>INDEX(M$93:M$109,MATCH($I1071,$E$93:$E$109,0))</f>
        <v/>
      </c>
      <c r="N1089" s="342"/>
      <c r="O1089" s="17"/>
      <c r="T1089" s="9"/>
    </row>
    <row r="1090" spans="2:20" ht="5.0999999999999996" customHeight="1" x14ac:dyDescent="0.25">
      <c r="B1090" s="17"/>
      <c r="C1090" s="17"/>
      <c r="D1090" s="17"/>
      <c r="E1090" s="193"/>
      <c r="F1090" s="193"/>
      <c r="G1090" s="193"/>
      <c r="H1090" s="193"/>
      <c r="I1090" s="435"/>
      <c r="J1090" s="435"/>
      <c r="K1090" s="435"/>
      <c r="L1090" s="435"/>
      <c r="M1090" s="435"/>
      <c r="N1090" s="193"/>
      <c r="O1090" s="17"/>
      <c r="T1090" s="9"/>
    </row>
    <row r="1091" spans="2:20" x14ac:dyDescent="0.25">
      <c r="B1091" s="17"/>
      <c r="C1091" s="17"/>
      <c r="D1091" s="17"/>
      <c r="E1091" s="1526" t="str">
        <f>Translations!$B$731</f>
        <v>Fuel input</v>
      </c>
      <c r="F1091" s="1526"/>
      <c r="G1091" s="1526"/>
      <c r="H1091" s="939" t="str">
        <f>EUconst_TJpa</f>
        <v>TJ / year</v>
      </c>
      <c r="I1091" s="436" t="str">
        <f>IF($M1071&lt;&gt;EUconst_Relevant,"",IF(INDEX('G_Fall-back'!I:I,MATCH($P1091,'G_Fall-back'!$P:$P,0))="","",INDEX('G_Fall-back'!I:I,MATCH($P1091,'G_Fall-back'!$P:$P,0))))</f>
        <v/>
      </c>
      <c r="J1091" s="436" t="str">
        <f>IF($M1071&lt;&gt;EUconst_Relevant,"",IF(INDEX('G_Fall-back'!J:J,MATCH($P1091,'G_Fall-back'!$P:$P,0))="","",INDEX('G_Fall-back'!J:J,MATCH($P1091,'G_Fall-back'!$P:$P,0))))</f>
        <v/>
      </c>
      <c r="K1091" s="436" t="str">
        <f>IF($M1071&lt;&gt;EUconst_Relevant,"",IF(INDEX('G_Fall-back'!K:K,MATCH($P1091,'G_Fall-back'!$P:$P,0))="","",INDEX('G_Fall-back'!K:K,MATCH($P1091,'G_Fall-back'!$P:$P,0))))</f>
        <v/>
      </c>
      <c r="L1091" s="436" t="str">
        <f>IF($M1071&lt;&gt;EUconst_Relevant,"",IF(INDEX('G_Fall-back'!L:L,MATCH($P1091,'G_Fall-back'!$P:$P,0))="","",INDEX('G_Fall-back'!L:L,MATCH($P1091,'G_Fall-back'!$P:$P,0))))</f>
        <v/>
      </c>
      <c r="M1091" s="436" t="str">
        <f>IF($M1071&lt;&gt;EUconst_Relevant,"",IF(INDEX('G_Fall-back'!M:M,MATCH($P1091,'G_Fall-back'!$P:$P,0))="","",INDEX('G_Fall-back'!M:M,MATCH($P1091,'G_Fall-back'!$P:$P,0))))</f>
        <v/>
      </c>
      <c r="N1091" s="342"/>
      <c r="O1091" s="17"/>
      <c r="P1091" s="341" t="str">
        <f>EUconst_CNTR_FuelInput &amp; I1071</f>
        <v>FuelInput_Heat benchmark sub-installation, CL</v>
      </c>
    </row>
    <row r="1092" spans="2:20" x14ac:dyDescent="0.25">
      <c r="B1092" s="17"/>
      <c r="C1092" s="17"/>
      <c r="D1092" s="17"/>
      <c r="E1092" s="1527" t="str">
        <f>Translations!$B$732</f>
        <v>Weighted emission factor</v>
      </c>
      <c r="F1092" s="1527"/>
      <c r="G1092" s="1527"/>
      <c r="H1092" s="343" t="str">
        <f>EUconst_tCO2pTJ</f>
        <v>t CO2 / TJ</v>
      </c>
      <c r="I1092" s="437" t="str">
        <f>IF($M1071&lt;&gt;EUconst_Relevant,"",IF(INDEX('G_Fall-back'!I:I,MATCH($P1092,'G_Fall-back'!$P:$P,0))="","",INDEX('G_Fall-back'!I:I,MATCH($P1092,'G_Fall-back'!$P:$P,0))))</f>
        <v/>
      </c>
      <c r="J1092" s="437" t="str">
        <f>IF($M1071&lt;&gt;EUconst_Relevant,"",IF(INDEX('G_Fall-back'!J:J,MATCH($P1092,'G_Fall-back'!$P:$P,0))="","",INDEX('G_Fall-back'!J:J,MATCH($P1092,'G_Fall-back'!$P:$P,0))))</f>
        <v/>
      </c>
      <c r="K1092" s="437" t="str">
        <f>IF($M1071&lt;&gt;EUconst_Relevant,"",IF(INDEX('G_Fall-back'!K:K,MATCH($P1092,'G_Fall-back'!$P:$P,0))="","",INDEX('G_Fall-back'!K:K,MATCH($P1092,'G_Fall-back'!$P:$P,0))))</f>
        <v/>
      </c>
      <c r="L1092" s="437" t="str">
        <f>IF($M1071&lt;&gt;EUconst_Relevant,"",IF(INDEX('G_Fall-back'!L:L,MATCH($P1092,'G_Fall-back'!$P:$P,0))="","",INDEX('G_Fall-back'!L:L,MATCH($P1092,'G_Fall-back'!$P:$P,0))))</f>
        <v/>
      </c>
      <c r="M1092" s="437" t="str">
        <f>IF($M1071&lt;&gt;EUconst_Relevant,"",IF(INDEX('G_Fall-back'!M:M,MATCH($P1092,'G_Fall-back'!$P:$P,0))="","",INDEX('G_Fall-back'!M:M,MATCH($P1092,'G_Fall-back'!$P:$P,0))))</f>
        <v/>
      </c>
      <c r="N1092" s="342"/>
      <c r="O1092" s="17"/>
      <c r="P1092" s="116" t="str">
        <f>EUconst_CNTR_FuelEF &amp; I1071</f>
        <v>FuelEF_Heat benchmark sub-installation, CL</v>
      </c>
    </row>
    <row r="1093" spans="2:20" x14ac:dyDescent="0.25">
      <c r="B1093" s="17"/>
      <c r="C1093" s="17"/>
      <c r="D1093" s="17"/>
      <c r="E1093" s="1526" t="str">
        <f>Translations!$B$853</f>
        <v>Fuel input from waste gases</v>
      </c>
      <c r="F1093" s="1526"/>
      <c r="G1093" s="1526"/>
      <c r="H1093" s="939" t="str">
        <f>EUconst_TJpa</f>
        <v>TJ / year</v>
      </c>
      <c r="I1093" s="436" t="str">
        <f>IF($M1071&lt;&gt;EUconst_Relevant,"",IF(INDEX('G_Fall-back'!I:I,MATCH($P1093,'G_Fall-back'!$P:$P,0))="","",INDEX('G_Fall-back'!I:I,MATCH($P1093,'G_Fall-back'!$P:$P,0))))</f>
        <v/>
      </c>
      <c r="J1093" s="436" t="str">
        <f>IF($M1071&lt;&gt;EUconst_Relevant,"",IF(INDEX('G_Fall-back'!J:J,MATCH($P1093,'G_Fall-back'!$P:$P,0))="","",INDEX('G_Fall-back'!J:J,MATCH($P1093,'G_Fall-back'!$P:$P,0))))</f>
        <v/>
      </c>
      <c r="K1093" s="436" t="str">
        <f>IF($M1071&lt;&gt;EUconst_Relevant,"",IF(INDEX('G_Fall-back'!K:K,MATCH($P1093,'G_Fall-back'!$P:$P,0))="","",INDEX('G_Fall-back'!K:K,MATCH($P1093,'G_Fall-back'!$P:$P,0))))</f>
        <v/>
      </c>
      <c r="L1093" s="436" t="str">
        <f>IF($M1071&lt;&gt;EUconst_Relevant,"",IF(INDEX('G_Fall-back'!L:L,MATCH($P1093,'G_Fall-back'!$P:$P,0))="","",INDEX('G_Fall-back'!L:L,MATCH($P1093,'G_Fall-back'!$P:$P,0))))</f>
        <v/>
      </c>
      <c r="M1093" s="436" t="str">
        <f>IF($M1071&lt;&gt;EUconst_Relevant,"",IF(INDEX('G_Fall-back'!M:M,MATCH($P1093,'G_Fall-back'!$P:$P,0))="","",INDEX('G_Fall-back'!M:M,MATCH($P1093,'G_Fall-back'!$P:$P,0))))</f>
        <v/>
      </c>
      <c r="N1093" s="342"/>
      <c r="O1093" s="17"/>
      <c r="P1093" s="626" t="str">
        <f>EUconst_CNTR_WGConsumed &amp; I1071</f>
        <v>WasteGasCons_Heat benchmark sub-installation, CL</v>
      </c>
    </row>
    <row r="1094" spans="2:20" x14ac:dyDescent="0.25">
      <c r="B1094" s="17"/>
      <c r="C1094" s="17"/>
      <c r="D1094" s="17"/>
      <c r="E1094" s="1527" t="str">
        <f>Translations!$B$732</f>
        <v>Weighted emission factor</v>
      </c>
      <c r="F1094" s="1527"/>
      <c r="G1094" s="1527"/>
      <c r="H1094" s="343" t="str">
        <f>EUconst_tCO2pTJ</f>
        <v>t CO2 / TJ</v>
      </c>
      <c r="I1094" s="437" t="str">
        <f>IF($M1071&lt;&gt;EUconst_Relevant,"",IF(INDEX('G_Fall-back'!I:I,MATCH($P1094,'G_Fall-back'!$P:$P,0))="","",INDEX('G_Fall-back'!I:I,MATCH($P1094,'G_Fall-back'!$P:$P,0))))</f>
        <v/>
      </c>
      <c r="J1094" s="437" t="str">
        <f>IF($M1071&lt;&gt;EUconst_Relevant,"",IF(INDEX('G_Fall-back'!J:J,MATCH($P1094,'G_Fall-back'!$P:$P,0))="","",INDEX('G_Fall-back'!J:J,MATCH($P1094,'G_Fall-back'!$P:$P,0))))</f>
        <v/>
      </c>
      <c r="K1094" s="437" t="str">
        <f>IF($M1071&lt;&gt;EUconst_Relevant,"",IF(INDEX('G_Fall-back'!K:K,MATCH($P1094,'G_Fall-back'!$P:$P,0))="","",INDEX('G_Fall-back'!K:K,MATCH($P1094,'G_Fall-back'!$P:$P,0))))</f>
        <v/>
      </c>
      <c r="L1094" s="437" t="str">
        <f>IF($M1071&lt;&gt;EUconst_Relevant,"",IF(INDEX('G_Fall-back'!L:L,MATCH($P1094,'G_Fall-back'!$P:$P,0))="","",INDEX('G_Fall-back'!L:L,MATCH($P1094,'G_Fall-back'!$P:$P,0))))</f>
        <v/>
      </c>
      <c r="M1094" s="437" t="str">
        <f>IF($M1071&lt;&gt;EUconst_Relevant,"",IF(INDEX('G_Fall-back'!M:M,MATCH($P1094,'G_Fall-back'!$P:$P,0))="","",INDEX('G_Fall-back'!M:M,MATCH($P1094,'G_Fall-back'!$P:$P,0))))</f>
        <v/>
      </c>
      <c r="N1094" s="342"/>
      <c r="O1094" s="17"/>
      <c r="P1094" s="116" t="str">
        <f>EUconst_CNTR_WGConsumedEF &amp; I1071</f>
        <v>WasteGasConsEF_Heat benchmark sub-installation, CL</v>
      </c>
    </row>
    <row r="1095" spans="2:20" ht="5.0999999999999996" customHeight="1" x14ac:dyDescent="0.25">
      <c r="B1095" s="17"/>
      <c r="C1095" s="17"/>
      <c r="D1095" s="17"/>
      <c r="E1095" s="193"/>
      <c r="F1095" s="342"/>
      <c r="G1095" s="342"/>
      <c r="H1095" s="342"/>
      <c r="I1095" s="438"/>
      <c r="J1095" s="438"/>
      <c r="K1095" s="438"/>
      <c r="L1095" s="438"/>
      <c r="M1095" s="438"/>
      <c r="N1095" s="342"/>
      <c r="O1095" s="17"/>
    </row>
    <row r="1096" spans="2:20" x14ac:dyDescent="0.25">
      <c r="B1096" s="17"/>
      <c r="C1096" s="17"/>
      <c r="D1096" s="17"/>
      <c r="E1096" s="1528" t="str">
        <f>Translations!$B$687</f>
        <v>Direct emissions</v>
      </c>
      <c r="F1096" s="1528"/>
      <c r="G1096" s="1528"/>
      <c r="H1096" s="154" t="str">
        <f>EUconst_tCO2pa</f>
        <v>t CO2 / year</v>
      </c>
      <c r="I1096" s="439" t="str">
        <f>IF($M1071&lt;&gt;EUconst_Relevant,"",IF(INDEX('G_Fall-back'!I:I,MATCH($P1096,'G_Fall-back'!$P:$P,0))="","",INDEX('G_Fall-back'!I:I,MATCH($P1096,'G_Fall-back'!$P:$P,0))))</f>
        <v/>
      </c>
      <c r="J1096" s="439" t="str">
        <f>IF($M1071&lt;&gt;EUconst_Relevant,"",IF(INDEX('G_Fall-back'!J:J,MATCH($P1096,'G_Fall-back'!$P:$P,0))="","",INDEX('G_Fall-back'!J:J,MATCH($P1096,'G_Fall-back'!$P:$P,0))))</f>
        <v/>
      </c>
      <c r="K1096" s="439" t="str">
        <f>IF($M1071&lt;&gt;EUconst_Relevant,"",IF(INDEX('G_Fall-back'!K:K,MATCH($P1096,'G_Fall-back'!$P:$P,0))="","",INDEX('G_Fall-back'!K:K,MATCH($P1096,'G_Fall-back'!$P:$P,0))))</f>
        <v/>
      </c>
      <c r="L1096" s="439" t="str">
        <f>IF($M1071&lt;&gt;EUconst_Relevant,"",IF(INDEX('G_Fall-back'!L:L,MATCH($P1096,'G_Fall-back'!$P:$P,0))="","",INDEX('G_Fall-back'!L:L,MATCH($P1096,'G_Fall-back'!$P:$P,0))))</f>
        <v/>
      </c>
      <c r="M1096" s="439" t="str">
        <f>IF($M1071&lt;&gt;EUconst_Relevant,"",IF(INDEX('G_Fall-back'!M:M,MATCH($P1096,'G_Fall-back'!$P:$P,0))="","",INDEX('G_Fall-back'!M:M,MATCH($P1096,'G_Fall-back'!$P:$P,0))))</f>
        <v/>
      </c>
      <c r="N1096" s="342"/>
      <c r="O1096" s="17"/>
      <c r="P1096" s="116" t="str">
        <f>EUconst_CNTR_Emissions &amp; I1071</f>
        <v>DirEmissions_Heat benchmark sub-installation, CL</v>
      </c>
    </row>
    <row r="1097" spans="2:20" ht="5.0999999999999996" customHeight="1" x14ac:dyDescent="0.25">
      <c r="B1097" s="17"/>
      <c r="C1097" s="17"/>
      <c r="D1097" s="17"/>
      <c r="E1097" s="193"/>
      <c r="F1097" s="193"/>
      <c r="G1097" s="193"/>
      <c r="H1097" s="193"/>
      <c r="I1097" s="438"/>
      <c r="J1097" s="438"/>
      <c r="K1097" s="438"/>
      <c r="L1097" s="438"/>
      <c r="M1097" s="438"/>
      <c r="N1097" s="342"/>
      <c r="O1097" s="17"/>
    </row>
    <row r="1098" spans="2:20" x14ac:dyDescent="0.25">
      <c r="B1098" s="17"/>
      <c r="C1098" s="17"/>
      <c r="D1098" s="17"/>
      <c r="E1098" s="1526" t="str">
        <f>Translations!$B$1241</f>
        <v>Net heat imported (other)</v>
      </c>
      <c r="F1098" s="1526"/>
      <c r="G1098" s="1526"/>
      <c r="H1098" s="939" t="str">
        <f>EUconst_TJpa</f>
        <v>TJ / year</v>
      </c>
      <c r="I1098" s="436" t="str">
        <f>IF($M1071&lt;&gt;EUconst_Relevant,"",IF(INDEX('G_Fall-back'!I:I,MATCH($P1098,'G_Fall-back'!$P:$P,0))="","",INDEX('G_Fall-back'!I:I,MATCH($P1098,'G_Fall-back'!$P:$P,0))))</f>
        <v/>
      </c>
      <c r="J1098" s="436" t="str">
        <f>IF($M1071&lt;&gt;EUconst_Relevant,"",IF(INDEX('G_Fall-back'!J:J,MATCH($P1098,'G_Fall-back'!$P:$P,0))="","",INDEX('G_Fall-back'!J:J,MATCH($P1098,'G_Fall-back'!$P:$P,0))))</f>
        <v/>
      </c>
      <c r="K1098" s="436" t="str">
        <f>IF($M1071&lt;&gt;EUconst_Relevant,"",IF(INDEX('G_Fall-back'!K:K,MATCH($P1098,'G_Fall-back'!$P:$P,0))="","",INDEX('G_Fall-back'!K:K,MATCH($P1098,'G_Fall-back'!$P:$P,0))))</f>
        <v/>
      </c>
      <c r="L1098" s="436" t="str">
        <f>IF($M1071&lt;&gt;EUconst_Relevant,"",IF(INDEX('G_Fall-back'!L:L,MATCH($P1098,'G_Fall-back'!$P:$P,0))="","",INDEX('G_Fall-back'!L:L,MATCH($P1098,'G_Fall-back'!$P:$P,0))))</f>
        <v/>
      </c>
      <c r="M1098" s="436" t="str">
        <f>IF($M1071&lt;&gt;EUconst_Relevant,"",IF(INDEX('G_Fall-back'!M:M,MATCH($P1098,'G_Fall-back'!$P:$P,0))="","",INDEX('G_Fall-back'!M:M,MATCH($P1098,'G_Fall-back'!$P:$P,0))))</f>
        <v/>
      </c>
      <c r="N1098" s="342"/>
      <c r="O1098" s="17"/>
      <c r="P1098" s="116" t="str">
        <f>EUconst_CNTR_HeatImport &amp; I1071</f>
        <v>HeatIm_Heat benchmark sub-installation, CL</v>
      </c>
    </row>
    <row r="1099" spans="2:20" x14ac:dyDescent="0.25">
      <c r="B1099" s="17"/>
      <c r="C1099" s="17"/>
      <c r="D1099" s="17"/>
      <c r="E1099" s="1527" t="str">
        <f>Translations!$B$765</f>
        <v>Specific EF (imported heat)</v>
      </c>
      <c r="F1099" s="1527"/>
      <c r="G1099" s="1527"/>
      <c r="H1099" s="343" t="str">
        <f>EUconst_tCO2pTJ</f>
        <v>t CO2 / TJ</v>
      </c>
      <c r="I1099" s="437" t="str">
        <f>IF($M1071&lt;&gt;EUconst_Relevant,"",IF(INDEX('G_Fall-back'!I:I,MATCH($P1099,'G_Fall-back'!$P:$P,0))="","",INDEX('G_Fall-back'!I:I,MATCH($P1099,'G_Fall-back'!$P:$P,0))))</f>
        <v/>
      </c>
      <c r="J1099" s="437" t="str">
        <f>IF($M1071&lt;&gt;EUconst_Relevant,"",IF(INDEX('G_Fall-back'!J:J,MATCH($P1099,'G_Fall-back'!$P:$P,0))="","",INDEX('G_Fall-back'!J:J,MATCH($P1099,'G_Fall-back'!$P:$P,0))))</f>
        <v/>
      </c>
      <c r="K1099" s="437" t="str">
        <f>IF($M1071&lt;&gt;EUconst_Relevant,"",IF(INDEX('G_Fall-back'!K:K,MATCH($P1099,'G_Fall-back'!$P:$P,0))="","",INDEX('G_Fall-back'!K:K,MATCH($P1099,'G_Fall-back'!$P:$P,0))))</f>
        <v/>
      </c>
      <c r="L1099" s="437" t="str">
        <f>IF($M1071&lt;&gt;EUconst_Relevant,"",IF(INDEX('G_Fall-back'!L:L,MATCH($P1099,'G_Fall-back'!$P:$P,0))="","",INDEX('G_Fall-back'!L:L,MATCH($P1099,'G_Fall-back'!$P:$P,0))))</f>
        <v/>
      </c>
      <c r="M1099" s="437" t="str">
        <f>IF($M1071&lt;&gt;EUconst_Relevant,"",IF(INDEX('G_Fall-back'!M:M,MATCH($P1099,'G_Fall-back'!$P:$P,0))="","",INDEX('G_Fall-back'!M:M,MATCH($P1099,'G_Fall-back'!$P:$P,0))))</f>
        <v/>
      </c>
      <c r="N1099" s="342"/>
      <c r="O1099" s="17"/>
      <c r="P1099" s="116" t="str">
        <f>EUconst_CNTR_HeatImportEF &amp; I1071</f>
        <v>HeatImEF_Heat benchmark sub-installation, CL</v>
      </c>
    </row>
    <row r="1100" spans="2:20" x14ac:dyDescent="0.25">
      <c r="B1100" s="17"/>
      <c r="C1100" s="17"/>
      <c r="D1100" s="17"/>
      <c r="E1100" s="1526" t="str">
        <f>Translations!$B$1242</f>
        <v>Net heat imported (product BM)</v>
      </c>
      <c r="F1100" s="1526"/>
      <c r="G1100" s="1526"/>
      <c r="H1100" s="939" t="str">
        <f>EUconst_TJpa</f>
        <v>TJ / year</v>
      </c>
      <c r="I1100" s="436" t="str">
        <f>IF($M1071&lt;&gt;EUconst_Relevant,"",IF(INDEX('G_Fall-back'!I:I,MATCH($P1100,'G_Fall-back'!$P:$P,0))="","",INDEX('G_Fall-back'!I:I,MATCH($P1100,'G_Fall-back'!$P:$P,0))))</f>
        <v/>
      </c>
      <c r="J1100" s="436" t="str">
        <f>IF($M1071&lt;&gt;EUconst_Relevant,"",IF(INDEX('G_Fall-back'!J:J,MATCH($P1100,'G_Fall-back'!$P:$P,0))="","",INDEX('G_Fall-back'!J:J,MATCH($P1100,'G_Fall-back'!$P:$P,0))))</f>
        <v/>
      </c>
      <c r="K1100" s="436" t="str">
        <f>IF($M1071&lt;&gt;EUconst_Relevant,"",IF(INDEX('G_Fall-back'!K:K,MATCH($P1100,'G_Fall-back'!$P:$P,0))="","",INDEX('G_Fall-back'!K:K,MATCH($P1100,'G_Fall-back'!$P:$P,0))))</f>
        <v/>
      </c>
      <c r="L1100" s="436" t="str">
        <f>IF($M1071&lt;&gt;EUconst_Relevant,"",IF(INDEX('G_Fall-back'!L:L,MATCH($P1100,'G_Fall-back'!$P:$P,0))="","",INDEX('G_Fall-back'!L:L,MATCH($P1100,'G_Fall-back'!$P:$P,0))))</f>
        <v/>
      </c>
      <c r="M1100" s="436" t="str">
        <f>IF($M1071&lt;&gt;EUconst_Relevant,"",IF(INDEX('G_Fall-back'!M:M,MATCH($P1100,'G_Fall-back'!$P:$P,0))="","",INDEX('G_Fall-back'!M:M,MATCH($P1100,'G_Fall-back'!$P:$P,0))))</f>
        <v/>
      </c>
      <c r="N1100" s="342"/>
      <c r="O1100" s="17"/>
      <c r="P1100" s="116" t="str">
        <f>EUconst_CNTR_HeatImportProduct &amp; I1071</f>
        <v>HeatImProd_Heat benchmark sub-installation, CL</v>
      </c>
    </row>
    <row r="1101" spans="2:20" x14ac:dyDescent="0.25">
      <c r="B1101" s="17"/>
      <c r="C1101" s="17"/>
      <c r="D1101" s="17"/>
      <c r="E1101" s="1527" t="str">
        <f>Translations!$B$868</f>
        <v>Specific EF (from product BM)</v>
      </c>
      <c r="F1101" s="1527"/>
      <c r="G1101" s="1527"/>
      <c r="H1101" s="343" t="str">
        <f>EUconst_tCO2pTJ</f>
        <v>t CO2 / TJ</v>
      </c>
      <c r="I1101" s="437" t="str">
        <f>IF($M1071&lt;&gt;EUconst_Relevant,"",IF(INDEX('G_Fall-back'!I:I,MATCH($P1101,'G_Fall-back'!$P:$P,0))="","",INDEX('G_Fall-back'!I:I,MATCH($P1101,'G_Fall-back'!$P:$P,0))))</f>
        <v/>
      </c>
      <c r="J1101" s="437" t="str">
        <f>IF($M1071&lt;&gt;EUconst_Relevant,"",IF(INDEX('G_Fall-back'!J:J,MATCH($P1101,'G_Fall-back'!$P:$P,0))="","",INDEX('G_Fall-back'!J:J,MATCH($P1101,'G_Fall-back'!$P:$P,0))))</f>
        <v/>
      </c>
      <c r="K1101" s="437" t="str">
        <f>IF($M1071&lt;&gt;EUconst_Relevant,"",IF(INDEX('G_Fall-back'!K:K,MATCH($P1101,'G_Fall-back'!$P:$P,0))="","",INDEX('G_Fall-back'!K:K,MATCH($P1101,'G_Fall-back'!$P:$P,0))))</f>
        <v/>
      </c>
      <c r="L1101" s="437" t="str">
        <f>IF($M1071&lt;&gt;EUconst_Relevant,"",IF(INDEX('G_Fall-back'!L:L,MATCH($P1101,'G_Fall-back'!$P:$P,0))="","",INDEX('G_Fall-back'!L:L,MATCH($P1101,'G_Fall-back'!$P:$P,0))))</f>
        <v/>
      </c>
      <c r="M1101" s="437" t="str">
        <f>IF($M1071&lt;&gt;EUconst_Relevant,"",IF(INDEX('G_Fall-back'!M:M,MATCH($P1101,'G_Fall-back'!$P:$P,0))="","",INDEX('G_Fall-back'!M:M,MATCH($P1101,'G_Fall-back'!$P:$P,0))))</f>
        <v/>
      </c>
      <c r="N1101" s="342"/>
      <c r="O1101" s="17"/>
      <c r="P1101" s="116" t="str">
        <f>EUconst_CNTR_HeatImportProductEF &amp; I1071</f>
        <v>HeatImProdEF_Heat benchmark sub-installation, CL</v>
      </c>
    </row>
    <row r="1102" spans="2:20" x14ac:dyDescent="0.25">
      <c r="B1102" s="17"/>
      <c r="C1102" s="17"/>
      <c r="D1102" s="17"/>
      <c r="E1102" s="1526" t="str">
        <f>Translations!$B$1243</f>
        <v>Net heat imported (pulp)</v>
      </c>
      <c r="F1102" s="1526"/>
      <c r="G1102" s="1526"/>
      <c r="H1102" s="939" t="str">
        <f>EUconst_TJpa</f>
        <v>TJ / year</v>
      </c>
      <c r="I1102" s="436" t="str">
        <f>IF($M1071&lt;&gt;EUconst_Relevant,"",IF(INDEX('G_Fall-back'!I:I,MATCH($P1102,'G_Fall-back'!$P:$P,0))="","",INDEX('G_Fall-back'!I:I,MATCH($P1102,'G_Fall-back'!$P:$P,0))))</f>
        <v/>
      </c>
      <c r="J1102" s="436" t="str">
        <f>IF($M1071&lt;&gt;EUconst_Relevant,"",IF(INDEX('G_Fall-back'!J:J,MATCH($P1102,'G_Fall-back'!$P:$P,0))="","",INDEX('G_Fall-back'!J:J,MATCH($P1102,'G_Fall-back'!$P:$P,0))))</f>
        <v/>
      </c>
      <c r="K1102" s="436" t="str">
        <f>IF($M1071&lt;&gt;EUconst_Relevant,"",IF(INDEX('G_Fall-back'!K:K,MATCH($P1102,'G_Fall-back'!$P:$P,0))="","",INDEX('G_Fall-back'!K:K,MATCH($P1102,'G_Fall-back'!$P:$P,0))))</f>
        <v/>
      </c>
      <c r="L1102" s="436" t="str">
        <f>IF($M1071&lt;&gt;EUconst_Relevant,"",IF(INDEX('G_Fall-back'!L:L,MATCH($P1102,'G_Fall-back'!$P:$P,0))="","",INDEX('G_Fall-back'!L:L,MATCH($P1102,'G_Fall-back'!$P:$P,0))))</f>
        <v/>
      </c>
      <c r="M1102" s="436" t="str">
        <f>IF($M1071&lt;&gt;EUconst_Relevant,"",IF(INDEX('G_Fall-back'!M:M,MATCH($P1102,'G_Fall-back'!$P:$P,0))="","",INDEX('G_Fall-back'!M:M,MATCH($P1102,'G_Fall-back'!$P:$P,0))))</f>
        <v/>
      </c>
      <c r="N1102" s="342"/>
      <c r="O1102" s="17"/>
      <c r="P1102" s="116" t="str">
        <f>EUconst_CNTR_HeatImportPulp &amp; I1071</f>
        <v>HeatImPulp_Heat benchmark sub-installation, CL</v>
      </c>
    </row>
    <row r="1103" spans="2:20" x14ac:dyDescent="0.25">
      <c r="B1103" s="17"/>
      <c r="C1103" s="17"/>
      <c r="D1103" s="17"/>
      <c r="E1103" s="1527" t="str">
        <f>Translations!$B$870</f>
        <v>Specific EF (from pulp)</v>
      </c>
      <c r="F1103" s="1527"/>
      <c r="G1103" s="1527"/>
      <c r="H1103" s="343" t="str">
        <f>EUconst_tCO2pTJ</f>
        <v>t CO2 / TJ</v>
      </c>
      <c r="I1103" s="437" t="str">
        <f>IF($M1071&lt;&gt;EUconst_Relevant,"",IF(INDEX('G_Fall-back'!I:I,MATCH($P1103,'G_Fall-back'!$P:$P,0))="","",INDEX('G_Fall-back'!I:I,MATCH($P1103,'G_Fall-back'!$P:$P,0))))</f>
        <v/>
      </c>
      <c r="J1103" s="437" t="str">
        <f>IF($M1071&lt;&gt;EUconst_Relevant,"",IF(INDEX('G_Fall-back'!J:J,MATCH($P1103,'G_Fall-back'!$P:$P,0))="","",INDEX('G_Fall-back'!J:J,MATCH($P1103,'G_Fall-back'!$P:$P,0))))</f>
        <v/>
      </c>
      <c r="K1103" s="437" t="str">
        <f>IF($M1071&lt;&gt;EUconst_Relevant,"",IF(INDEX('G_Fall-back'!K:K,MATCH($P1103,'G_Fall-back'!$P:$P,0))="","",INDEX('G_Fall-back'!K:K,MATCH($P1103,'G_Fall-back'!$P:$P,0))))</f>
        <v/>
      </c>
      <c r="L1103" s="437" t="str">
        <f>IF($M1071&lt;&gt;EUconst_Relevant,"",IF(INDEX('G_Fall-back'!L:L,MATCH($P1103,'G_Fall-back'!$P:$P,0))="","",INDEX('G_Fall-back'!L:L,MATCH($P1103,'G_Fall-back'!$P:$P,0))))</f>
        <v/>
      </c>
      <c r="M1103" s="437" t="str">
        <f>IF($M1071&lt;&gt;EUconst_Relevant,"",IF(INDEX('G_Fall-back'!M:M,MATCH($P1103,'G_Fall-back'!$P:$P,0))="","",INDEX('G_Fall-back'!M:M,MATCH($P1103,'G_Fall-back'!$P:$P,0))))</f>
        <v/>
      </c>
      <c r="N1103" s="342"/>
      <c r="O1103" s="17"/>
      <c r="P1103" s="116" t="str">
        <f>EUconst_CNTR_HeatImportPulpEF &amp; I1071</f>
        <v>HeatImPulpEF_Heat benchmark sub-installation, CL</v>
      </c>
    </row>
    <row r="1104" spans="2:20" x14ac:dyDescent="0.25">
      <c r="B1104" s="17"/>
      <c r="C1104" s="17"/>
      <c r="D1104" s="17"/>
      <c r="E1104" s="1526" t="str">
        <f>Translations!$B$1244</f>
        <v>Net heat imported (fuelBM)</v>
      </c>
      <c r="F1104" s="1526"/>
      <c r="G1104" s="1526"/>
      <c r="H1104" s="939" t="str">
        <f>EUconst_TJpa</f>
        <v>TJ / year</v>
      </c>
      <c r="I1104" s="436" t="str">
        <f>IF($M1071&lt;&gt;EUconst_Relevant,"",IF(INDEX('G_Fall-back'!I:I,MATCH($P1104,'G_Fall-back'!$P:$P,0))="","",INDEX('G_Fall-back'!I:I,MATCH($P1104,'G_Fall-back'!$P:$P,0))))</f>
        <v/>
      </c>
      <c r="J1104" s="436" t="str">
        <f>IF($M1071&lt;&gt;EUconst_Relevant,"",IF(INDEX('G_Fall-back'!J:J,MATCH($P1104,'G_Fall-back'!$P:$P,0))="","",INDEX('G_Fall-back'!J:J,MATCH($P1104,'G_Fall-back'!$P:$P,0))))</f>
        <v/>
      </c>
      <c r="K1104" s="436" t="str">
        <f>IF($M1071&lt;&gt;EUconst_Relevant,"",IF(INDEX('G_Fall-back'!K:K,MATCH($P1104,'G_Fall-back'!$P:$P,0))="","",INDEX('G_Fall-back'!K:K,MATCH($P1104,'G_Fall-back'!$P:$P,0))))</f>
        <v/>
      </c>
      <c r="L1104" s="436" t="str">
        <f>IF($M1071&lt;&gt;EUconst_Relevant,"",IF(INDEX('G_Fall-back'!L:L,MATCH($P1104,'G_Fall-back'!$P:$P,0))="","",INDEX('G_Fall-back'!L:L,MATCH($P1104,'G_Fall-back'!$P:$P,0))))</f>
        <v/>
      </c>
      <c r="M1104" s="436" t="str">
        <f>IF($M1071&lt;&gt;EUconst_Relevant,"",IF(INDEX('G_Fall-back'!M:M,MATCH($P1104,'G_Fall-back'!$P:$P,0))="","",INDEX('G_Fall-back'!M:M,MATCH($P1104,'G_Fall-back'!$P:$P,0))))</f>
        <v/>
      </c>
      <c r="N1104" s="342"/>
      <c r="O1104" s="17"/>
      <c r="P1104" s="116" t="str">
        <f>EUconst_CNTR_HeatImportFuel &amp; I1071</f>
        <v>HeatImFuel_Heat benchmark sub-installation, CL</v>
      </c>
    </row>
    <row r="1105" spans="2:20" x14ac:dyDescent="0.25">
      <c r="B1105" s="17"/>
      <c r="C1105" s="17"/>
      <c r="D1105" s="17"/>
      <c r="E1105" s="1527" t="str">
        <f>Translations!$B$872</f>
        <v>Specific EF (from fuelBM)</v>
      </c>
      <c r="F1105" s="1527"/>
      <c r="G1105" s="1527"/>
      <c r="H1105" s="343" t="str">
        <f>EUconst_tCO2pTJ</f>
        <v>t CO2 / TJ</v>
      </c>
      <c r="I1105" s="437" t="str">
        <f>IF($M1071&lt;&gt;EUconst_Relevant,"",IF(INDEX('G_Fall-back'!I:I,MATCH($P1105,'G_Fall-back'!$P:$P,0))="","",INDEX('G_Fall-back'!I:I,MATCH($P1105,'G_Fall-back'!$P:$P,0))))</f>
        <v/>
      </c>
      <c r="J1105" s="437" t="str">
        <f>IF($M1071&lt;&gt;EUconst_Relevant,"",IF(INDEX('G_Fall-back'!J:J,MATCH($P1105,'G_Fall-back'!$P:$P,0))="","",INDEX('G_Fall-back'!J:J,MATCH($P1105,'G_Fall-back'!$P:$P,0))))</f>
        <v/>
      </c>
      <c r="K1105" s="437" t="str">
        <f>IF($M1071&lt;&gt;EUconst_Relevant,"",IF(INDEX('G_Fall-back'!K:K,MATCH($P1105,'G_Fall-back'!$P:$P,0))="","",INDEX('G_Fall-back'!K:K,MATCH($P1105,'G_Fall-back'!$P:$P,0))))</f>
        <v/>
      </c>
      <c r="L1105" s="437" t="str">
        <f>IF($M1071&lt;&gt;EUconst_Relevant,"",IF(INDEX('G_Fall-back'!L:L,MATCH($P1105,'G_Fall-back'!$P:$P,0))="","",INDEX('G_Fall-back'!L:L,MATCH($P1105,'G_Fall-back'!$P:$P,0))))</f>
        <v/>
      </c>
      <c r="M1105" s="437" t="str">
        <f>IF($M1071&lt;&gt;EUconst_Relevant,"",IF(INDEX('G_Fall-back'!M:M,MATCH($P1105,'G_Fall-back'!$P:$P,0))="","",INDEX('G_Fall-back'!M:M,MATCH($P1105,'G_Fall-back'!$P:$P,0))))</f>
        <v/>
      </c>
      <c r="N1105" s="342"/>
      <c r="O1105" s="17"/>
      <c r="P1105" s="116" t="str">
        <f>EUconst_CNTR_HeatImportFuelEF &amp; I1071</f>
        <v>HeatImFuelEF_Heat benchmark sub-installation, CL</v>
      </c>
    </row>
    <row r="1106" spans="2:20" x14ac:dyDescent="0.25">
      <c r="B1106" s="17"/>
      <c r="C1106" s="17"/>
      <c r="D1106" s="17"/>
      <c r="E1106" s="1526" t="str">
        <f>Translations!$B$1245</f>
        <v>Net heat imported (waste gas)</v>
      </c>
      <c r="F1106" s="1526"/>
      <c r="G1106" s="1526"/>
      <c r="H1106" s="939" t="str">
        <f>EUconst_TJpa</f>
        <v>TJ / year</v>
      </c>
      <c r="I1106" s="436" t="str">
        <f>IF($M1071&lt;&gt;EUconst_Relevant,"",IF(INDEX('G_Fall-back'!I:I,MATCH($P1106,'G_Fall-back'!$P:$P,0))="","",INDEX('G_Fall-back'!I:I,MATCH($P1106,'G_Fall-back'!$P:$P,0))))</f>
        <v/>
      </c>
      <c r="J1106" s="436" t="str">
        <f>IF($M1071&lt;&gt;EUconst_Relevant,"",IF(INDEX('G_Fall-back'!J:J,MATCH($P1106,'G_Fall-back'!$P:$P,0))="","",INDEX('G_Fall-back'!J:J,MATCH($P1106,'G_Fall-back'!$P:$P,0))))</f>
        <v/>
      </c>
      <c r="K1106" s="436" t="str">
        <f>IF($M1071&lt;&gt;EUconst_Relevant,"",IF(INDEX('G_Fall-back'!K:K,MATCH($P1106,'G_Fall-back'!$P:$P,0))="","",INDEX('G_Fall-back'!K:K,MATCH($P1106,'G_Fall-back'!$P:$P,0))))</f>
        <v/>
      </c>
      <c r="L1106" s="436" t="str">
        <f>IF($M1071&lt;&gt;EUconst_Relevant,"",IF(INDEX('G_Fall-back'!L:L,MATCH($P1106,'G_Fall-back'!$P:$P,0))="","",INDEX('G_Fall-back'!L:L,MATCH($P1106,'G_Fall-back'!$P:$P,0))))</f>
        <v/>
      </c>
      <c r="M1106" s="436" t="str">
        <f>IF($M1071&lt;&gt;EUconst_Relevant,"",IF(INDEX('G_Fall-back'!M:M,MATCH($P1106,'G_Fall-back'!$P:$P,0))="","",INDEX('G_Fall-back'!M:M,MATCH($P1106,'G_Fall-back'!$P:$P,0))))</f>
        <v/>
      </c>
      <c r="N1106" s="342"/>
      <c r="O1106" s="17"/>
      <c r="P1106" s="116" t="str">
        <f>EUconst_CNTR_WGImport &amp; I1071</f>
        <v>WasteGasIm_Heat benchmark sub-installation, CL</v>
      </c>
    </row>
    <row r="1107" spans="2:20" x14ac:dyDescent="0.25">
      <c r="B1107" s="17"/>
      <c r="C1107" s="17"/>
      <c r="D1107" s="17"/>
      <c r="E1107" s="1527" t="str">
        <f>Translations!$B$874</f>
        <v>Specific EF (from waste gas)</v>
      </c>
      <c r="F1107" s="1527"/>
      <c r="G1107" s="1527"/>
      <c r="H1107" s="343" t="str">
        <f>EUconst_tCO2pTJ</f>
        <v>t CO2 / TJ</v>
      </c>
      <c r="I1107" s="437" t="str">
        <f>IF($M1071&lt;&gt;EUconst_Relevant,"",IF(INDEX('G_Fall-back'!I:I,MATCH($P1107,'G_Fall-back'!$P:$P,0))="","",INDEX('G_Fall-back'!I:I,MATCH($P1107,'G_Fall-back'!$P:$P,0))))</f>
        <v/>
      </c>
      <c r="J1107" s="437" t="str">
        <f>IF($M1071&lt;&gt;EUconst_Relevant,"",IF(INDEX('G_Fall-back'!J:J,MATCH($P1107,'G_Fall-back'!$P:$P,0))="","",INDEX('G_Fall-back'!J:J,MATCH($P1107,'G_Fall-back'!$P:$P,0))))</f>
        <v/>
      </c>
      <c r="K1107" s="437" t="str">
        <f>IF($M1071&lt;&gt;EUconst_Relevant,"",IF(INDEX('G_Fall-back'!K:K,MATCH($P1107,'G_Fall-back'!$P:$P,0))="","",INDEX('G_Fall-back'!K:K,MATCH($P1107,'G_Fall-back'!$P:$P,0))))</f>
        <v/>
      </c>
      <c r="L1107" s="437" t="str">
        <f>IF($M1071&lt;&gt;EUconst_Relevant,"",IF(INDEX('G_Fall-back'!L:L,MATCH($P1107,'G_Fall-back'!$P:$P,0))="","",INDEX('G_Fall-back'!L:L,MATCH($P1107,'G_Fall-back'!$P:$P,0))))</f>
        <v/>
      </c>
      <c r="M1107" s="437" t="str">
        <f>IF($M1071&lt;&gt;EUconst_Relevant,"",IF(INDEX('G_Fall-back'!M:M,MATCH($P1107,'G_Fall-back'!$P:$P,0))="","",INDEX('G_Fall-back'!M:M,MATCH($P1107,'G_Fall-back'!$P:$P,0))))</f>
        <v/>
      </c>
      <c r="N1107" s="342"/>
      <c r="O1107" s="17"/>
      <c r="P1107" s="116" t="str">
        <f>EUconst_CNTR_WGImportEF &amp; I1071</f>
        <v>WasteGasImEF_Heat benchmark sub-installation, CL</v>
      </c>
    </row>
    <row r="1108" spans="2:20" ht="12.75" customHeight="1" x14ac:dyDescent="0.25">
      <c r="B1108" s="17"/>
      <c r="C1108" s="17"/>
      <c r="D1108" s="17"/>
      <c r="E1108" s="342"/>
      <c r="F1108" s="342"/>
      <c r="G1108" s="342"/>
      <c r="H1108" s="342"/>
      <c r="I1108" s="342"/>
      <c r="J1108" s="342"/>
      <c r="K1108" s="342"/>
      <c r="L1108" s="342"/>
      <c r="M1108" s="342"/>
      <c r="N1108" s="342"/>
      <c r="O1108" s="17"/>
    </row>
    <row r="1109" spans="2:20" ht="13.8" thickBot="1" x14ac:dyDescent="0.3">
      <c r="B1109" s="17"/>
      <c r="C1109" s="17"/>
      <c r="D1109" s="17"/>
      <c r="E1109" s="17"/>
      <c r="F1109" s="17"/>
      <c r="G1109" s="17"/>
      <c r="H1109" s="276"/>
      <c r="I1109" s="276"/>
      <c r="J1109" s="276"/>
      <c r="K1109" s="276"/>
      <c r="L1109" s="276"/>
      <c r="M1109" s="17"/>
      <c r="N1109" s="17"/>
      <c r="O1109" s="17"/>
    </row>
    <row r="1110" spans="2:20" ht="12.75" customHeight="1" thickBot="1" x14ac:dyDescent="0.3">
      <c r="B1110" s="8"/>
      <c r="C1110" s="906"/>
      <c r="D1110" s="906"/>
      <c r="E1110" s="906"/>
      <c r="F1110" s="906"/>
      <c r="G1110" s="906"/>
      <c r="H1110" s="906"/>
      <c r="I1110" s="906"/>
      <c r="J1110" s="906"/>
      <c r="K1110" s="906"/>
      <c r="L1110" s="906"/>
      <c r="M1110" s="906"/>
      <c r="N1110" s="906"/>
      <c r="O1110" s="17"/>
      <c r="T1110" s="9" t="s">
        <v>644</v>
      </c>
    </row>
    <row r="1111" spans="2:20" ht="15" customHeight="1" thickBot="1" x14ac:dyDescent="0.3">
      <c r="B1111" s="17"/>
      <c r="C1111" s="19">
        <f>C1071+1</f>
        <v>12</v>
      </c>
      <c r="D1111" s="1234" t="str">
        <f>CONCATENATE(EUconst_FBSubinst," ",C1111-10, ":")</f>
        <v>Fall-Back sub-installation 2:</v>
      </c>
      <c r="E1111" s="1176"/>
      <c r="F1111" s="1176"/>
      <c r="G1111" s="1176"/>
      <c r="H1111" s="1260"/>
      <c r="I1111" s="1710" t="str">
        <f>INDEX(EUconst_FallBackListNames,$C1111-10)</f>
        <v>Heat benchmark sub-installation, non-CL</v>
      </c>
      <c r="J1111" s="1711"/>
      <c r="K1111" s="1711"/>
      <c r="L1111" s="1712"/>
      <c r="M1111" s="1608" t="str">
        <f>IF(ISBLANK(INDEX(CNTR_FallBackSubInstRelevant,C1111-10)),"",IF(INDEX(CNTR_FallBackSubInstRelevant,C1111-10),EUconst_Relevant,EUconst_NotRelevant))</f>
        <v/>
      </c>
      <c r="N1111" s="1609"/>
      <c r="O1111" s="17"/>
      <c r="Q1111" s="427">
        <f>C1111</f>
        <v>12</v>
      </c>
      <c r="R1111" s="424" t="str">
        <f>I1111</f>
        <v>Heat benchmark sub-installation, non-CL</v>
      </c>
      <c r="S1111" s="426" t="b">
        <f>H1114</f>
        <v>0</v>
      </c>
      <c r="T1111" s="425" t="str">
        <f>IF(M1123="","",IF(S1114=0,0,SUM(M1123)/S1114))</f>
        <v/>
      </c>
    </row>
    <row r="1112" spans="2:20" ht="5.0999999999999996" customHeight="1" thickBot="1" x14ac:dyDescent="0.3">
      <c r="B1112" s="17"/>
      <c r="C1112" s="17"/>
      <c r="D1112" s="17"/>
      <c r="E1112" s="17"/>
      <c r="F1112" s="17"/>
      <c r="G1112" s="17"/>
      <c r="H1112" s="17"/>
      <c r="I1112" s="17"/>
      <c r="J1112" s="17"/>
      <c r="K1112" s="17"/>
      <c r="L1112" s="17"/>
      <c r="M1112" s="17"/>
      <c r="N1112" s="17"/>
      <c r="O1112" s="17"/>
      <c r="T1112" s="9"/>
    </row>
    <row r="1113" spans="2:20" x14ac:dyDescent="0.25">
      <c r="B1113" s="17"/>
      <c r="C1113" s="17"/>
      <c r="D1113" s="17"/>
      <c r="E1113" s="17"/>
      <c r="F1113" s="17"/>
      <c r="G1113" s="17"/>
      <c r="H1113" s="253" t="str">
        <f>Translations!$B$1204</f>
        <v>CL-exposed</v>
      </c>
      <c r="I1113" s="254" t="str">
        <f>Translations!$B$1208</f>
        <v>Started</v>
      </c>
      <c r="J1113" s="254" t="str">
        <f>Translations!$B$1212</f>
        <v>15(7).3?</v>
      </c>
      <c r="K1113" s="254" t="str">
        <f>Translations!$B$1214</f>
        <v>15(7).3 HAL</v>
      </c>
      <c r="L1113" s="329" t="str">
        <f>Translations!$B$1206</f>
        <v>No. of BM</v>
      </c>
      <c r="M1113" s="468" t="str">
        <f>Translations!$B$1234</f>
        <v>BM value (min/max/actual)</v>
      </c>
      <c r="N1113" s="469"/>
      <c r="O1113" s="17"/>
      <c r="T1113" s="9"/>
    </row>
    <row r="1114" spans="2:20" x14ac:dyDescent="0.25">
      <c r="B1114" s="17"/>
      <c r="C1114" s="17"/>
      <c r="D1114" s="17"/>
      <c r="E1114" s="255" t="str">
        <f>I1111</f>
        <v>Heat benchmark sub-installation, non-CL</v>
      </c>
      <c r="F1114" s="256"/>
      <c r="G1114" s="230"/>
      <c r="H1114" s="257" t="b">
        <f>INDEX(EUconst_FallBackListCLstatus,MATCH(I1111,EUconst_FallBackListNames,0))</f>
        <v>0</v>
      </c>
      <c r="I1114" s="355" t="str">
        <f>IF(M1111&lt;&gt;EUconst_Relevant,"",INDEX(CNTR_SubInstStartDate,MATCH(E1114,CNTR_SubInstListNames,0)))</f>
        <v/>
      </c>
      <c r="J1114" s="258" t="str">
        <f>IF(M1111&lt;&gt;EUconst_Relevant,"",INDEX(CNTR_SubInstLess1Year,MATCH(E1114,CNTR_SubInstListNames,0)))</f>
        <v/>
      </c>
      <c r="K1114" s="203" t="str">
        <f>IF($J1114=TRUE,SUMIF('G_Fall-back'!$P:$P,EUconst_CNTR_HAL&amp;$E1114,'G_Fall-back'!$N:$N),"")</f>
        <v/>
      </c>
      <c r="L1114" s="353">
        <f>C1111-10</f>
        <v>2</v>
      </c>
      <c r="M1114" s="474" t="str">
        <f>IF(M1111&lt;&gt;EUconst_Relevant,"",INDEX(EUconst_FallBackListBMvaluesMatrix,L1114,2))</f>
        <v/>
      </c>
      <c r="N1114" s="471" t="str">
        <f>EUconst_EUA &amp; "/" &amp; H1119</f>
        <v>UKA/TJ</v>
      </c>
      <c r="O1114" s="17"/>
      <c r="R1114" s="288" t="s">
        <v>639</v>
      </c>
      <c r="S1114" s="335">
        <f>IF(H1114,1,INDEX(EUconst_CLEFYears,1))</f>
        <v>0.3</v>
      </c>
    </row>
    <row r="1115" spans="2:20" x14ac:dyDescent="0.25">
      <c r="B1115" s="17"/>
      <c r="C1115" s="17"/>
      <c r="D1115" s="276"/>
      <c r="E1115" s="276"/>
      <c r="F1115" s="276"/>
      <c r="G1115" s="276"/>
      <c r="H1115" s="276"/>
      <c r="I1115" s="276"/>
      <c r="J1115" s="276"/>
      <c r="K1115" s="276"/>
      <c r="L1115" s="276"/>
      <c r="M1115" s="474" t="str">
        <f>IF(M1111&lt;&gt;EUconst_Relevant,"",INDEX(EUconst_FallBackListBMvaluesMatrix,L1114,1))</f>
        <v/>
      </c>
      <c r="N1115" s="471" t="str">
        <f>EUconst_EUA &amp; "/" &amp; H1119</f>
        <v>UKA/TJ</v>
      </c>
      <c r="O1115" s="17"/>
      <c r="R1115" s="288"/>
      <c r="S1115" s="368"/>
    </row>
    <row r="1116" spans="2:20" ht="13.8" thickBot="1" x14ac:dyDescent="0.3">
      <c r="B1116" s="17"/>
      <c r="C1116" s="17"/>
      <c r="D1116" s="276"/>
      <c r="E1116" s="276"/>
      <c r="F1116" s="276"/>
      <c r="G1116" s="276"/>
      <c r="H1116" s="276"/>
      <c r="I1116" s="276"/>
      <c r="J1116" s="276"/>
      <c r="K1116" s="276"/>
      <c r="L1116" s="276"/>
      <c r="M1116" s="475" t="str">
        <f>IF(M1111&lt;&gt;EUconst_Relevant,"",IF(EUconst_StatusOfDataCollection,INDEX(EUconst_FallBackListBMvaluesMatrix,L1114,3),""))</f>
        <v/>
      </c>
      <c r="N1116" s="473" t="str">
        <f>EUconst_EUA &amp; "/" &amp; H1119</f>
        <v>UKA/TJ</v>
      </c>
      <c r="O1116" s="17"/>
      <c r="R1116" s="288"/>
      <c r="S1116" s="368"/>
    </row>
    <row r="1117" spans="2:20" ht="5.0999999999999996" customHeight="1" x14ac:dyDescent="0.25">
      <c r="B1117" s="17"/>
      <c r="C1117" s="17"/>
      <c r="D1117" s="17"/>
      <c r="E1117" s="17"/>
      <c r="F1117" s="17"/>
      <c r="G1117" s="17"/>
      <c r="H1117" s="17"/>
      <c r="I1117" s="17"/>
      <c r="J1117" s="17"/>
      <c r="K1117" s="17"/>
      <c r="L1117" s="17"/>
      <c r="M1117" s="17"/>
      <c r="N1117" s="17"/>
      <c r="O1117" s="17"/>
    </row>
    <row r="1118" spans="2:20" x14ac:dyDescent="0.25">
      <c r="B1118" s="17"/>
      <c r="C1118" s="17"/>
      <c r="D1118" s="17"/>
      <c r="E1118" s="78"/>
      <c r="F1118" s="78"/>
      <c r="G1118" s="259"/>
      <c r="H1118" s="253" t="str">
        <f>EUconst_Unit</f>
        <v>Unit</v>
      </c>
      <c r="I1118" s="149">
        <f>I$1397</f>
        <v>2019</v>
      </c>
      <c r="J1118" s="149">
        <f>J$1397</f>
        <v>2020</v>
      </c>
      <c r="K1118" s="149">
        <f>K$1397</f>
        <v>2021</v>
      </c>
      <c r="L1118" s="149">
        <f>L$1397</f>
        <v>2022</v>
      </c>
      <c r="M1118" s="149">
        <f>M$1397</f>
        <v>2023</v>
      </c>
      <c r="N1118" s="17"/>
      <c r="O1118" s="17"/>
      <c r="P1118" s="63" t="s">
        <v>397</v>
      </c>
    </row>
    <row r="1119" spans="2:20" x14ac:dyDescent="0.25">
      <c r="B1119" s="17"/>
      <c r="C1119" s="17"/>
      <c r="D1119" s="17"/>
      <c r="E1119" s="260" t="str">
        <f>Translations!$B$1236</f>
        <v>HAL (Historic activity level) reported</v>
      </c>
      <c r="F1119" s="261"/>
      <c r="G1119" s="262"/>
      <c r="H1119" s="257" t="str">
        <f>INDEX(EUconst_FallBackListUnits,L1114)</f>
        <v>TJ</v>
      </c>
      <c r="I1119" s="203" t="str">
        <f>IF($M1111&lt;&gt;EUconst_Relevant,"",SUMIF('G_Fall-back'!$P:$P,$P1120,'G_Fall-back'!I:I))</f>
        <v/>
      </c>
      <c r="J1119" s="203" t="str">
        <f>IF($M1111&lt;&gt;EUconst_Relevant,"",SUMIF('G_Fall-back'!$P:$P,$P1120,'G_Fall-back'!J:J))</f>
        <v/>
      </c>
      <c r="K1119" s="203" t="str">
        <f>IF($M1111&lt;&gt;EUconst_Relevant,"",SUMIF('G_Fall-back'!$P:$P,$P1120,'G_Fall-back'!K:K))</f>
        <v/>
      </c>
      <c r="L1119" s="203" t="str">
        <f>IF($M1111&lt;&gt;EUconst_Relevant,"",SUMIF('G_Fall-back'!$P:$P,$P1120,'G_Fall-back'!L:L))</f>
        <v/>
      </c>
      <c r="M1119" s="203" t="str">
        <f>IF($M1111&lt;&gt;EUconst_Relevant,"",SUMIF('G_Fall-back'!$P:$P,$P1120,'G_Fall-back'!M:M))</f>
        <v/>
      </c>
      <c r="N1119" s="254" t="str">
        <f>Translations!$B$1224</f>
        <v>Average</v>
      </c>
      <c r="O1119" s="17"/>
      <c r="P1119" s="63" t="str">
        <f>EUconst_CNTR_HAL&amp;I1111</f>
        <v>HAL_Heat benchmark sub-installation, non-CL</v>
      </c>
      <c r="T1119" s="9"/>
    </row>
    <row r="1120" spans="2:20" x14ac:dyDescent="0.25">
      <c r="B1120" s="17"/>
      <c r="C1120" s="17"/>
      <c r="D1120" s="17"/>
      <c r="E1120" s="260" t="str">
        <f>Translations!$B$1237</f>
        <v>Values used for HAL calculation:</v>
      </c>
      <c r="F1120" s="261"/>
      <c r="G1120" s="262"/>
      <c r="H1120" s="257" t="str">
        <f>H1119</f>
        <v>TJ</v>
      </c>
      <c r="I1120" s="148" t="str">
        <f>IF($M1111&lt;&gt;EUconst_Relevant,"",INDEX('G_Fall-back'!S:S,MATCH($P1120,'G_Fall-back'!$P:$P,0)))</f>
        <v/>
      </c>
      <c r="J1120" s="148" t="str">
        <f>IF($M1111&lt;&gt;EUconst_Relevant,"",INDEX('G_Fall-back'!T:T,MATCH($P1120,'G_Fall-back'!$P:$P,0)))</f>
        <v/>
      </c>
      <c r="K1120" s="148" t="str">
        <f>IF($M1111&lt;&gt;EUconst_Relevant,"",INDEX('G_Fall-back'!U:U,MATCH($P1120,'G_Fall-back'!$P:$P,0)))</f>
        <v/>
      </c>
      <c r="L1120" s="148" t="str">
        <f>IF($M1111&lt;&gt;EUconst_Relevant,"",INDEX('G_Fall-back'!V:V,MATCH($P1120,'G_Fall-back'!$P:$P,0)))</f>
        <v/>
      </c>
      <c r="M1120" s="148" t="str">
        <f>IF($M1111&lt;&gt;EUconst_Relevant,"",INDEX('G_Fall-back'!W:W,MATCH($P1120,'G_Fall-back'!$P:$P,0)))</f>
        <v/>
      </c>
      <c r="N1120" s="203" t="str">
        <f>IF(OR($M1111&lt;&gt;EUconst_Relevant,$J1114=TRUE),"",IF(COUNT($I1120:$M1120)&gt;0,AVERAGE($I1120:$M1120),""))</f>
        <v/>
      </c>
      <c r="O1120" s="17"/>
      <c r="P1120" s="63" t="str">
        <f>EUconst_CNTR_HAL&amp;I1111</f>
        <v>HAL_Heat benchmark sub-installation, non-CL</v>
      </c>
      <c r="R1120" s="442" t="s">
        <v>640</v>
      </c>
      <c r="S1120" s="442" t="s">
        <v>641</v>
      </c>
      <c r="T1120" s="442" t="s">
        <v>642</v>
      </c>
    </row>
    <row r="1121" spans="2:20" ht="5.0999999999999996" customHeight="1" thickBot="1" x14ac:dyDescent="0.3">
      <c r="B1121" s="17"/>
      <c r="C1121" s="17"/>
      <c r="D1121" s="17"/>
      <c r="E1121" s="17"/>
      <c r="F1121" s="17"/>
      <c r="G1121" s="17"/>
      <c r="H1121" s="17"/>
      <c r="I1121" s="17"/>
      <c r="J1121" s="17"/>
      <c r="K1121" s="17"/>
      <c r="L1121" s="17"/>
      <c r="M1121" s="17"/>
      <c r="N1121" s="17"/>
      <c r="O1121" s="17"/>
      <c r="T1121" s="9"/>
    </row>
    <row r="1122" spans="2:20" ht="13.8" thickBot="1" x14ac:dyDescent="0.3">
      <c r="B1122" s="17"/>
      <c r="C1122" s="17"/>
      <c r="D1122" s="17"/>
      <c r="E1122" s="17"/>
      <c r="F1122" s="263" t="s">
        <v>643</v>
      </c>
      <c r="G1122" s="337"/>
      <c r="H1122" s="17"/>
      <c r="I1122" s="336" t="str">
        <f>Translations!$B$1226</f>
        <v>Prelim Alloc Year 1 (min)</v>
      </c>
      <c r="J1122" s="337"/>
      <c r="K1122" s="336" t="str">
        <f>Translations!$B$1229</f>
        <v>Prelim Alloc Year 1 (max)</v>
      </c>
      <c r="L1122" s="337"/>
      <c r="M1122" s="336" t="str">
        <f>Translations!$B$1231</f>
        <v>Prelim Alloc Year 1 (actual)</v>
      </c>
      <c r="N1122" s="337"/>
      <c r="O1122" s="17"/>
      <c r="P1122" s="63" t="str">
        <f>EUconst_AllocPrelim&amp;I1111</f>
        <v>AllocPrelim_Heat benchmark sub-installation, non-CL</v>
      </c>
      <c r="R1122" s="423" t="str">
        <f>IF(I1123="","",IF(S1114=0,0,SUM(I1123)/S1114))</f>
        <v/>
      </c>
      <c r="S1122" s="423" t="str">
        <f>IF(K1123="","",IF(S1114=0,0,SUM(K1123)/S1114))</f>
        <v/>
      </c>
      <c r="T1122" s="423" t="str">
        <f>T1111</f>
        <v/>
      </c>
    </row>
    <row r="1123" spans="2:20" ht="13.8" thickBot="1" x14ac:dyDescent="0.3">
      <c r="B1123" s="17"/>
      <c r="C1123" s="17"/>
      <c r="D1123" s="17"/>
      <c r="E1123" s="17"/>
      <c r="F1123" s="264" t="str">
        <f>IF(M1111&lt;&gt;EUconst_Relevant,"",MAX(0, IF(J1114=TRUE, SUM(K1114), SUM(N1120))))</f>
        <v/>
      </c>
      <c r="G1123" s="409" t="str">
        <f>H1120&amp;" / "&amp;EUconst_Year</f>
        <v>TJ / year</v>
      </c>
      <c r="H1123" s="17"/>
      <c r="I1123" s="333" t="str">
        <f>IF(M1111&lt;&gt;EUconst_Relevant,"",ROUND(SUM(M1114)*SUM(F1123)*SUM(S1114),0))</f>
        <v/>
      </c>
      <c r="J1123" s="409" t="s">
        <v>645</v>
      </c>
      <c r="K1123" s="333" t="str">
        <f>IF(M1111&lt;&gt;EUconst_Relevant,"",ROUND(SUM(M1115)*SUM(F1123)*SUM(S1114),0))</f>
        <v/>
      </c>
      <c r="L1123" s="409" t="s">
        <v>645</v>
      </c>
      <c r="M1123" s="333" t="str">
        <f>IF(OR(M1111&lt;&gt;EUconst_Relevant,M1116=""),"",ROUND(SUM(M1116)*SUM(F1123)*SUM(S1114),0))</f>
        <v/>
      </c>
      <c r="N1123" s="409" t="s">
        <v>645</v>
      </c>
      <c r="O1123" s="17"/>
      <c r="P1123" s="63" t="str">
        <f>EUconst_HALsum &amp; I1111</f>
        <v>HALsum_Heat benchmark sub-installation, non-CL</v>
      </c>
    </row>
    <row r="1124" spans="2:20" x14ac:dyDescent="0.25">
      <c r="B1124" s="17"/>
      <c r="C1124" s="17"/>
      <c r="D1124" s="17"/>
      <c r="E1124" s="17"/>
      <c r="F1124" s="17"/>
      <c r="G1124" s="17"/>
      <c r="H1124" s="17"/>
      <c r="I1124" s="17"/>
      <c r="J1124" s="17"/>
      <c r="K1124" s="17"/>
      <c r="L1124" s="17"/>
      <c r="M1124" s="17"/>
      <c r="N1124" s="17"/>
      <c r="O1124" s="17"/>
    </row>
    <row r="1125" spans="2:20" ht="12.75" customHeight="1" x14ac:dyDescent="0.25">
      <c r="B1125" s="17"/>
      <c r="C1125" s="17"/>
      <c r="D1125" s="17"/>
      <c r="E1125" s="193"/>
      <c r="F1125" s="342"/>
      <c r="G1125" s="342"/>
      <c r="H1125" s="342"/>
      <c r="I1125" s="342"/>
      <c r="J1125" s="342"/>
      <c r="K1125" s="342"/>
      <c r="L1125" s="342"/>
      <c r="M1125" s="342"/>
      <c r="N1125" s="342"/>
      <c r="O1125" s="17"/>
    </row>
    <row r="1126" spans="2:20" ht="13.8" thickBot="1" x14ac:dyDescent="0.3">
      <c r="B1126" s="17"/>
      <c r="C1126" s="17"/>
      <c r="D1126" s="17"/>
      <c r="E1126" s="193"/>
      <c r="F1126" s="342"/>
      <c r="G1126" s="342"/>
      <c r="H1126" s="192" t="str">
        <f>EUconst_Unit</f>
        <v>Unit</v>
      </c>
      <c r="I1126" s="440">
        <f>I$1397</f>
        <v>2019</v>
      </c>
      <c r="J1126" s="344">
        <f>J$1397</f>
        <v>2020</v>
      </c>
      <c r="K1126" s="344">
        <f>K$1397</f>
        <v>2021</v>
      </c>
      <c r="L1126" s="344">
        <f>L$1397</f>
        <v>2022</v>
      </c>
      <c r="M1126" s="344">
        <f>M$1397</f>
        <v>2023</v>
      </c>
      <c r="N1126" s="342"/>
      <c r="O1126" s="17"/>
    </row>
    <row r="1127" spans="2:20" ht="13.8" thickBot="1" x14ac:dyDescent="0.3">
      <c r="B1127" s="17"/>
      <c r="C1127" s="17"/>
      <c r="D1127" s="17"/>
      <c r="E1127" s="1610" t="str">
        <f>Translations!$B$532</f>
        <v>Measurable heat produced</v>
      </c>
      <c r="F1127" s="1610"/>
      <c r="G1127" s="1610"/>
      <c r="H1127" s="411" t="str">
        <f>EUconst_TJpa</f>
        <v>TJ / year</v>
      </c>
      <c r="I1127" s="432" t="str">
        <f>IF($M1111&lt;&gt;EUconst_Relevant,"",IF(INDEX('G_Fall-back'!I:I,MATCH($P1127,'G_Fall-back'!$P:$P,0))="","",INDEX('G_Fall-back'!I:I,MATCH($P1127,'G_Fall-back'!$P:$P,0))))</f>
        <v/>
      </c>
      <c r="J1127" s="433" t="str">
        <f>IF($M1111&lt;&gt;EUconst_Relevant,"",IF(INDEX('G_Fall-back'!J:J,MATCH($P1127,'G_Fall-back'!$P:$P,0))="","",INDEX('G_Fall-back'!J:J,MATCH($P1127,'G_Fall-back'!$P:$P,0))))</f>
        <v/>
      </c>
      <c r="K1127" s="433" t="str">
        <f>IF($M1111&lt;&gt;EUconst_Relevant,"",IF(INDEX('G_Fall-back'!K:K,MATCH($P1127,'G_Fall-back'!$P:$P,0))="","",INDEX('G_Fall-back'!K:K,MATCH($P1127,'G_Fall-back'!$P:$P,0))))</f>
        <v/>
      </c>
      <c r="L1127" s="433" t="str">
        <f>IF($M1111&lt;&gt;EUconst_Relevant,"",IF(INDEX('G_Fall-back'!L:L,MATCH($P1127,'G_Fall-back'!$P:$P,0))="","",INDEX('G_Fall-back'!L:L,MATCH($P1127,'G_Fall-back'!$P:$P,0))))</f>
        <v/>
      </c>
      <c r="M1127" s="434" t="str">
        <f>IF($M1111&lt;&gt;EUconst_Relevant,"",IF(INDEX('G_Fall-back'!M:M,MATCH($P1127,'G_Fall-back'!$P:$P,0))="","",INDEX('G_Fall-back'!M:M,MATCH($P1127,'G_Fall-back'!$P:$P,0))))</f>
        <v/>
      </c>
      <c r="N1127" s="342"/>
      <c r="O1127" s="17"/>
      <c r="P1127" s="116" t="str">
        <f>EUconst_CNTR_HeatProduced &amp; I1111</f>
        <v>HeatProd_Heat benchmark sub-installation, non-CL</v>
      </c>
    </row>
    <row r="1128" spans="2:20" ht="5.0999999999999996" customHeight="1" thickBot="1" x14ac:dyDescent="0.3">
      <c r="B1128" s="17"/>
      <c r="C1128" s="17"/>
      <c r="D1128" s="17"/>
      <c r="E1128" s="193"/>
      <c r="F1128" s="193"/>
      <c r="G1128" s="193"/>
      <c r="H1128" s="193"/>
      <c r="I1128" s="438"/>
      <c r="J1128" s="438"/>
      <c r="K1128" s="438"/>
      <c r="L1128" s="438"/>
      <c r="M1128" s="438"/>
      <c r="N1128" s="342"/>
      <c r="O1128" s="17"/>
    </row>
    <row r="1129" spans="2:20" ht="13.8" thickBot="1" x14ac:dyDescent="0.3">
      <c r="B1129" s="17"/>
      <c r="C1129" s="17"/>
      <c r="D1129" s="17"/>
      <c r="E1129" s="1610" t="str">
        <f>Translations!$B$1238</f>
        <v>Total attributed emissions</v>
      </c>
      <c r="F1129" s="1610"/>
      <c r="G1129" s="1610"/>
      <c r="H1129" s="411" t="str">
        <f>EUconst_tCO2epa</f>
        <v>t CO2e/year</v>
      </c>
      <c r="I1129" s="432" t="str">
        <f>INDEX(I$93:I$109,MATCH($I1111,$E$93:$E$109,0))</f>
        <v/>
      </c>
      <c r="J1129" s="433" t="str">
        <f>INDEX(J$93:J$109,MATCH($I1111,$E$93:$E$109,0))</f>
        <v/>
      </c>
      <c r="K1129" s="433" t="str">
        <f>INDEX(K$93:K$109,MATCH($I1111,$E$93:$E$109,0))</f>
        <v/>
      </c>
      <c r="L1129" s="433" t="str">
        <f>INDEX(L$93:L$109,MATCH($I1111,$E$93:$E$109,0))</f>
        <v/>
      </c>
      <c r="M1129" s="434" t="str">
        <f>INDEX(M$93:M$109,MATCH($I1111,$E$93:$E$109,0))</f>
        <v/>
      </c>
      <c r="N1129" s="342"/>
      <c r="O1129" s="17"/>
      <c r="T1129" s="9"/>
    </row>
    <row r="1130" spans="2:20" ht="5.0999999999999996" customHeight="1" x14ac:dyDescent="0.25">
      <c r="B1130" s="17"/>
      <c r="C1130" s="17"/>
      <c r="D1130" s="17"/>
      <c r="E1130" s="193"/>
      <c r="F1130" s="193"/>
      <c r="G1130" s="193"/>
      <c r="H1130" s="193"/>
      <c r="I1130" s="435"/>
      <c r="J1130" s="435"/>
      <c r="K1130" s="435"/>
      <c r="L1130" s="435"/>
      <c r="M1130" s="435"/>
      <c r="N1130" s="193"/>
      <c r="O1130" s="17"/>
      <c r="T1130" s="9"/>
    </row>
    <row r="1131" spans="2:20" x14ac:dyDescent="0.25">
      <c r="B1131" s="17"/>
      <c r="C1131" s="17"/>
      <c r="D1131" s="17"/>
      <c r="E1131" s="1526" t="str">
        <f>Translations!$B$731</f>
        <v>Fuel input</v>
      </c>
      <c r="F1131" s="1526"/>
      <c r="G1131" s="1526"/>
      <c r="H1131" s="939" t="str">
        <f>EUconst_TJpa</f>
        <v>TJ / year</v>
      </c>
      <c r="I1131" s="436" t="str">
        <f>IF($M1111&lt;&gt;EUconst_Relevant,"",IF(INDEX('G_Fall-back'!I:I,MATCH($P1131,'G_Fall-back'!$P:$P,0))="","",INDEX('G_Fall-back'!I:I,MATCH($P1131,'G_Fall-back'!$P:$P,0))))</f>
        <v/>
      </c>
      <c r="J1131" s="436" t="str">
        <f>IF($M1111&lt;&gt;EUconst_Relevant,"",IF(INDEX('G_Fall-back'!J:J,MATCH($P1131,'G_Fall-back'!$P:$P,0))="","",INDEX('G_Fall-back'!J:J,MATCH($P1131,'G_Fall-back'!$P:$P,0))))</f>
        <v/>
      </c>
      <c r="K1131" s="436" t="str">
        <f>IF($M1111&lt;&gt;EUconst_Relevant,"",IF(INDEX('G_Fall-back'!K:K,MATCH($P1131,'G_Fall-back'!$P:$P,0))="","",INDEX('G_Fall-back'!K:K,MATCH($P1131,'G_Fall-back'!$P:$P,0))))</f>
        <v/>
      </c>
      <c r="L1131" s="436" t="str">
        <f>IF($M1111&lt;&gt;EUconst_Relevant,"",IF(INDEX('G_Fall-back'!L:L,MATCH($P1131,'G_Fall-back'!$P:$P,0))="","",INDEX('G_Fall-back'!L:L,MATCH($P1131,'G_Fall-back'!$P:$P,0))))</f>
        <v/>
      </c>
      <c r="M1131" s="436" t="str">
        <f>IF($M1111&lt;&gt;EUconst_Relevant,"",IF(INDEX('G_Fall-back'!M:M,MATCH($P1131,'G_Fall-back'!$P:$P,0))="","",INDEX('G_Fall-back'!M:M,MATCH($P1131,'G_Fall-back'!$P:$P,0))))</f>
        <v/>
      </c>
      <c r="N1131" s="342"/>
      <c r="O1131" s="17"/>
      <c r="P1131" s="341" t="str">
        <f>EUconst_CNTR_FuelInput &amp; I1111</f>
        <v>FuelInput_Heat benchmark sub-installation, non-CL</v>
      </c>
    </row>
    <row r="1132" spans="2:20" x14ac:dyDescent="0.25">
      <c r="B1132" s="17"/>
      <c r="C1132" s="17"/>
      <c r="D1132" s="17"/>
      <c r="E1132" s="1527" t="str">
        <f>Translations!$B$732</f>
        <v>Weighted emission factor</v>
      </c>
      <c r="F1132" s="1527"/>
      <c r="G1132" s="1527"/>
      <c r="H1132" s="343" t="str">
        <f>EUconst_tCO2pTJ</f>
        <v>t CO2 / TJ</v>
      </c>
      <c r="I1132" s="437" t="str">
        <f>IF($M1111&lt;&gt;EUconst_Relevant,"",IF(INDEX('G_Fall-back'!I:I,MATCH($P1132,'G_Fall-back'!$P:$P,0))="","",INDEX('G_Fall-back'!I:I,MATCH($P1132,'G_Fall-back'!$P:$P,0))))</f>
        <v/>
      </c>
      <c r="J1132" s="437" t="str">
        <f>IF($M1111&lt;&gt;EUconst_Relevant,"",IF(INDEX('G_Fall-back'!J:J,MATCH($P1132,'G_Fall-back'!$P:$P,0))="","",INDEX('G_Fall-back'!J:J,MATCH($P1132,'G_Fall-back'!$P:$P,0))))</f>
        <v/>
      </c>
      <c r="K1132" s="437" t="str">
        <f>IF($M1111&lt;&gt;EUconst_Relevant,"",IF(INDEX('G_Fall-back'!K:K,MATCH($P1132,'G_Fall-back'!$P:$P,0))="","",INDEX('G_Fall-back'!K:K,MATCH($P1132,'G_Fall-back'!$P:$P,0))))</f>
        <v/>
      </c>
      <c r="L1132" s="437" t="str">
        <f>IF($M1111&lt;&gt;EUconst_Relevant,"",IF(INDEX('G_Fall-back'!L:L,MATCH($P1132,'G_Fall-back'!$P:$P,0))="","",INDEX('G_Fall-back'!L:L,MATCH($P1132,'G_Fall-back'!$P:$P,0))))</f>
        <v/>
      </c>
      <c r="M1132" s="437" t="str">
        <f>IF($M1111&lt;&gt;EUconst_Relevant,"",IF(INDEX('G_Fall-back'!M:M,MATCH($P1132,'G_Fall-back'!$P:$P,0))="","",INDEX('G_Fall-back'!M:M,MATCH($P1132,'G_Fall-back'!$P:$P,0))))</f>
        <v/>
      </c>
      <c r="N1132" s="342"/>
      <c r="O1132" s="17"/>
      <c r="P1132" s="116" t="str">
        <f>EUconst_CNTR_FuelEF &amp; I1111</f>
        <v>FuelEF_Heat benchmark sub-installation, non-CL</v>
      </c>
    </row>
    <row r="1133" spans="2:20" x14ac:dyDescent="0.25">
      <c r="B1133" s="17"/>
      <c r="C1133" s="17"/>
      <c r="D1133" s="17"/>
      <c r="E1133" s="1526" t="str">
        <f>Translations!$B$853</f>
        <v>Fuel input from waste gases</v>
      </c>
      <c r="F1133" s="1526"/>
      <c r="G1133" s="1526"/>
      <c r="H1133" s="939" t="str">
        <f>EUconst_TJpa</f>
        <v>TJ / year</v>
      </c>
      <c r="I1133" s="436" t="str">
        <f>IF($M1111&lt;&gt;EUconst_Relevant,"",IF(INDEX('G_Fall-back'!I:I,MATCH($P1133,'G_Fall-back'!$P:$P,0))="","",INDEX('G_Fall-back'!I:I,MATCH($P1133,'G_Fall-back'!$P:$P,0))))</f>
        <v/>
      </c>
      <c r="J1133" s="436" t="str">
        <f>IF($M1111&lt;&gt;EUconst_Relevant,"",IF(INDEX('G_Fall-back'!J:J,MATCH($P1133,'G_Fall-back'!$P:$P,0))="","",INDEX('G_Fall-back'!J:J,MATCH($P1133,'G_Fall-back'!$P:$P,0))))</f>
        <v/>
      </c>
      <c r="K1133" s="436" t="str">
        <f>IF($M1111&lt;&gt;EUconst_Relevant,"",IF(INDEX('G_Fall-back'!K:K,MATCH($P1133,'G_Fall-back'!$P:$P,0))="","",INDEX('G_Fall-back'!K:K,MATCH($P1133,'G_Fall-back'!$P:$P,0))))</f>
        <v/>
      </c>
      <c r="L1133" s="436" t="str">
        <f>IF($M1111&lt;&gt;EUconst_Relevant,"",IF(INDEX('G_Fall-back'!L:L,MATCH($P1133,'G_Fall-back'!$P:$P,0))="","",INDEX('G_Fall-back'!L:L,MATCH($P1133,'G_Fall-back'!$P:$P,0))))</f>
        <v/>
      </c>
      <c r="M1133" s="436" t="str">
        <f>IF($M1111&lt;&gt;EUconst_Relevant,"",IF(INDEX('G_Fall-back'!M:M,MATCH($P1133,'G_Fall-back'!$P:$P,0))="","",INDEX('G_Fall-back'!M:M,MATCH($P1133,'G_Fall-back'!$P:$P,0))))</f>
        <v/>
      </c>
      <c r="N1133" s="342"/>
      <c r="O1133" s="17"/>
      <c r="P1133" s="626" t="str">
        <f>EUconst_CNTR_WGConsumed &amp; I1111</f>
        <v>WasteGasCons_Heat benchmark sub-installation, non-CL</v>
      </c>
    </row>
    <row r="1134" spans="2:20" ht="12.75" customHeight="1" x14ac:dyDescent="0.25">
      <c r="B1134" s="17"/>
      <c r="C1134" s="17"/>
      <c r="D1134" s="17"/>
      <c r="E1134" s="1527" t="str">
        <f>Translations!$B$732</f>
        <v>Weighted emission factor</v>
      </c>
      <c r="F1134" s="1527"/>
      <c r="G1134" s="1527"/>
      <c r="H1134" s="343" t="str">
        <f>EUconst_tCO2pTJ</f>
        <v>t CO2 / TJ</v>
      </c>
      <c r="I1134" s="437" t="str">
        <f>IF($M1111&lt;&gt;EUconst_Relevant,"",IF(INDEX('G_Fall-back'!I:I,MATCH($P1134,'G_Fall-back'!$P:$P,0))="","",INDEX('G_Fall-back'!I:I,MATCH($P1134,'G_Fall-back'!$P:$P,0))))</f>
        <v/>
      </c>
      <c r="J1134" s="437" t="str">
        <f>IF($M1111&lt;&gt;EUconst_Relevant,"",IF(INDEX('G_Fall-back'!J:J,MATCH($P1134,'G_Fall-back'!$P:$P,0))="","",INDEX('G_Fall-back'!J:J,MATCH($P1134,'G_Fall-back'!$P:$P,0))))</f>
        <v/>
      </c>
      <c r="K1134" s="437" t="str">
        <f>IF($M1111&lt;&gt;EUconst_Relevant,"",IF(INDEX('G_Fall-back'!K:K,MATCH($P1134,'G_Fall-back'!$P:$P,0))="","",INDEX('G_Fall-back'!K:K,MATCH($P1134,'G_Fall-back'!$P:$P,0))))</f>
        <v/>
      </c>
      <c r="L1134" s="437" t="str">
        <f>IF($M1111&lt;&gt;EUconst_Relevant,"",IF(INDEX('G_Fall-back'!L:L,MATCH($P1134,'G_Fall-back'!$P:$P,0))="","",INDEX('G_Fall-back'!L:L,MATCH($P1134,'G_Fall-back'!$P:$P,0))))</f>
        <v/>
      </c>
      <c r="M1134" s="437" t="str">
        <f>IF($M1111&lt;&gt;EUconst_Relevant,"",IF(INDEX('G_Fall-back'!M:M,MATCH($P1134,'G_Fall-back'!$P:$P,0))="","",INDEX('G_Fall-back'!M:M,MATCH($P1134,'G_Fall-back'!$P:$P,0))))</f>
        <v/>
      </c>
      <c r="N1134" s="342"/>
      <c r="O1134" s="17"/>
      <c r="P1134" s="116" t="str">
        <f>EUconst_CNTR_WGConsumedEF &amp; I1111</f>
        <v>WasteGasConsEF_Heat benchmark sub-installation, non-CL</v>
      </c>
    </row>
    <row r="1135" spans="2:20" ht="5.0999999999999996" customHeight="1" x14ac:dyDescent="0.25">
      <c r="B1135" s="17"/>
      <c r="C1135" s="17"/>
      <c r="D1135" s="17"/>
      <c r="E1135" s="193"/>
      <c r="F1135" s="342"/>
      <c r="G1135" s="342"/>
      <c r="H1135" s="342"/>
      <c r="I1135" s="438"/>
      <c r="J1135" s="438"/>
      <c r="K1135" s="438"/>
      <c r="L1135" s="438"/>
      <c r="M1135" s="438"/>
      <c r="N1135" s="342"/>
      <c r="O1135" s="17"/>
    </row>
    <row r="1136" spans="2:20" x14ac:dyDescent="0.25">
      <c r="B1136" s="17"/>
      <c r="C1136" s="17"/>
      <c r="D1136" s="17"/>
      <c r="E1136" s="1528" t="str">
        <f>Translations!$B$687</f>
        <v>Direct emissions</v>
      </c>
      <c r="F1136" s="1528"/>
      <c r="G1136" s="1528"/>
      <c r="H1136" s="154" t="str">
        <f>EUconst_tCO2pa</f>
        <v>t CO2 / year</v>
      </c>
      <c r="I1136" s="439" t="str">
        <f>IF($M1111&lt;&gt;EUconst_Relevant,"",IF(INDEX('G_Fall-back'!I:I,MATCH($P1136,'G_Fall-back'!$P:$P,0))="","",INDEX('G_Fall-back'!I:I,MATCH($P1136,'G_Fall-back'!$P:$P,0))))</f>
        <v/>
      </c>
      <c r="J1136" s="439" t="str">
        <f>IF($M1111&lt;&gt;EUconst_Relevant,"",IF(INDEX('G_Fall-back'!J:J,MATCH($P1136,'G_Fall-back'!$P:$P,0))="","",INDEX('G_Fall-back'!J:J,MATCH($P1136,'G_Fall-back'!$P:$P,0))))</f>
        <v/>
      </c>
      <c r="K1136" s="439" t="str">
        <f>IF($M1111&lt;&gt;EUconst_Relevant,"",IF(INDEX('G_Fall-back'!K:K,MATCH($P1136,'G_Fall-back'!$P:$P,0))="","",INDEX('G_Fall-back'!K:K,MATCH($P1136,'G_Fall-back'!$P:$P,0))))</f>
        <v/>
      </c>
      <c r="L1136" s="439" t="str">
        <f>IF($M1111&lt;&gt;EUconst_Relevant,"",IF(INDEX('G_Fall-back'!L:L,MATCH($P1136,'G_Fall-back'!$P:$P,0))="","",INDEX('G_Fall-back'!L:L,MATCH($P1136,'G_Fall-back'!$P:$P,0))))</f>
        <v/>
      </c>
      <c r="M1136" s="439" t="str">
        <f>IF($M1111&lt;&gt;EUconst_Relevant,"",IF(INDEX('G_Fall-back'!M:M,MATCH($P1136,'G_Fall-back'!$P:$P,0))="","",INDEX('G_Fall-back'!M:M,MATCH($P1136,'G_Fall-back'!$P:$P,0))))</f>
        <v/>
      </c>
      <c r="N1136" s="342"/>
      <c r="O1136" s="17"/>
      <c r="P1136" s="116" t="str">
        <f>EUconst_CNTR_Emissions &amp; I1111</f>
        <v>DirEmissions_Heat benchmark sub-installation, non-CL</v>
      </c>
    </row>
    <row r="1137" spans="2:20" ht="5.0999999999999996" customHeight="1" x14ac:dyDescent="0.25">
      <c r="B1137" s="17"/>
      <c r="C1137" s="17"/>
      <c r="D1137" s="17"/>
      <c r="E1137" s="193"/>
      <c r="F1137" s="193"/>
      <c r="G1137" s="193"/>
      <c r="H1137" s="193"/>
      <c r="I1137" s="438"/>
      <c r="J1137" s="438"/>
      <c r="K1137" s="438"/>
      <c r="L1137" s="438"/>
      <c r="M1137" s="438"/>
      <c r="N1137" s="342"/>
      <c r="O1137" s="17"/>
    </row>
    <row r="1138" spans="2:20" x14ac:dyDescent="0.25">
      <c r="B1138" s="17"/>
      <c r="C1138" s="17"/>
      <c r="D1138" s="17"/>
      <c r="E1138" s="1526" t="str">
        <f>Translations!$B$1241</f>
        <v>Net heat imported (other)</v>
      </c>
      <c r="F1138" s="1526"/>
      <c r="G1138" s="1526"/>
      <c r="H1138" s="939" t="str">
        <f>EUconst_TJpa</f>
        <v>TJ / year</v>
      </c>
      <c r="I1138" s="436" t="str">
        <f>IF($M1111&lt;&gt;EUconst_Relevant,"",IF(INDEX('G_Fall-back'!I:I,MATCH($P1138,'G_Fall-back'!$P:$P,0))="","",INDEX('G_Fall-back'!I:I,MATCH($P1138,'G_Fall-back'!$P:$P,0))))</f>
        <v/>
      </c>
      <c r="J1138" s="436" t="str">
        <f>IF($M1111&lt;&gt;EUconst_Relevant,"",IF(INDEX('G_Fall-back'!J:J,MATCH($P1138,'G_Fall-back'!$P:$P,0))="","",INDEX('G_Fall-back'!J:J,MATCH($P1138,'G_Fall-back'!$P:$P,0))))</f>
        <v/>
      </c>
      <c r="K1138" s="436" t="str">
        <f>IF($M1111&lt;&gt;EUconst_Relevant,"",IF(INDEX('G_Fall-back'!K:K,MATCH($P1138,'G_Fall-back'!$P:$P,0))="","",INDEX('G_Fall-back'!K:K,MATCH($P1138,'G_Fall-back'!$P:$P,0))))</f>
        <v/>
      </c>
      <c r="L1138" s="436" t="str">
        <f>IF($M1111&lt;&gt;EUconst_Relevant,"",IF(INDEX('G_Fall-back'!L:L,MATCH($P1138,'G_Fall-back'!$P:$P,0))="","",INDEX('G_Fall-back'!L:L,MATCH($P1138,'G_Fall-back'!$P:$P,0))))</f>
        <v/>
      </c>
      <c r="M1138" s="436" t="str">
        <f>IF($M1111&lt;&gt;EUconst_Relevant,"",IF(INDEX('G_Fall-back'!M:M,MATCH($P1138,'G_Fall-back'!$P:$P,0))="","",INDEX('G_Fall-back'!M:M,MATCH($P1138,'G_Fall-back'!$P:$P,0))))</f>
        <v/>
      </c>
      <c r="N1138" s="342"/>
      <c r="O1138" s="17"/>
      <c r="P1138" s="116" t="str">
        <f>EUconst_CNTR_HeatImport &amp; I1111</f>
        <v>HeatIm_Heat benchmark sub-installation, non-CL</v>
      </c>
    </row>
    <row r="1139" spans="2:20" x14ac:dyDescent="0.25">
      <c r="B1139" s="17"/>
      <c r="C1139" s="17"/>
      <c r="D1139" s="17"/>
      <c r="E1139" s="1527" t="str">
        <f>Translations!$B$765</f>
        <v>Specific EF (imported heat)</v>
      </c>
      <c r="F1139" s="1527"/>
      <c r="G1139" s="1527"/>
      <c r="H1139" s="343" t="str">
        <f>EUconst_tCO2pTJ</f>
        <v>t CO2 / TJ</v>
      </c>
      <c r="I1139" s="437" t="str">
        <f>IF($M1111&lt;&gt;EUconst_Relevant,"",IF(INDEX('G_Fall-back'!I:I,MATCH($P1139,'G_Fall-back'!$P:$P,0))="","",INDEX('G_Fall-back'!I:I,MATCH($P1139,'G_Fall-back'!$P:$P,0))))</f>
        <v/>
      </c>
      <c r="J1139" s="437" t="str">
        <f>IF($M1111&lt;&gt;EUconst_Relevant,"",IF(INDEX('G_Fall-back'!J:J,MATCH($P1139,'G_Fall-back'!$P:$P,0))="","",INDEX('G_Fall-back'!J:J,MATCH($P1139,'G_Fall-back'!$P:$P,0))))</f>
        <v/>
      </c>
      <c r="K1139" s="437" t="str">
        <f>IF($M1111&lt;&gt;EUconst_Relevant,"",IF(INDEX('G_Fall-back'!K:K,MATCH($P1139,'G_Fall-back'!$P:$P,0))="","",INDEX('G_Fall-back'!K:K,MATCH($P1139,'G_Fall-back'!$P:$P,0))))</f>
        <v/>
      </c>
      <c r="L1139" s="437" t="str">
        <f>IF($M1111&lt;&gt;EUconst_Relevant,"",IF(INDEX('G_Fall-back'!L:L,MATCH($P1139,'G_Fall-back'!$P:$P,0))="","",INDEX('G_Fall-back'!L:L,MATCH($P1139,'G_Fall-back'!$P:$P,0))))</f>
        <v/>
      </c>
      <c r="M1139" s="437" t="str">
        <f>IF($M1111&lt;&gt;EUconst_Relevant,"",IF(INDEX('G_Fall-back'!M:M,MATCH($P1139,'G_Fall-back'!$P:$P,0))="","",INDEX('G_Fall-back'!M:M,MATCH($P1139,'G_Fall-back'!$P:$P,0))))</f>
        <v/>
      </c>
      <c r="N1139" s="342"/>
      <c r="O1139" s="17"/>
      <c r="P1139" s="116" t="str">
        <f>EUconst_CNTR_HeatImportEF &amp; I1111</f>
        <v>HeatImEF_Heat benchmark sub-installation, non-CL</v>
      </c>
    </row>
    <row r="1140" spans="2:20" x14ac:dyDescent="0.25">
      <c r="B1140" s="17"/>
      <c r="C1140" s="17"/>
      <c r="D1140" s="17"/>
      <c r="E1140" s="1526" t="str">
        <f>Translations!$B$1242</f>
        <v>Net heat imported (product BM)</v>
      </c>
      <c r="F1140" s="1526"/>
      <c r="G1140" s="1526"/>
      <c r="H1140" s="939" t="str">
        <f>EUconst_TJpa</f>
        <v>TJ / year</v>
      </c>
      <c r="I1140" s="436" t="str">
        <f>IF($M1111&lt;&gt;EUconst_Relevant,"",IF(INDEX('G_Fall-back'!I:I,MATCH($P1140,'G_Fall-back'!$P:$P,0))="","",INDEX('G_Fall-back'!I:I,MATCH($P1140,'G_Fall-back'!$P:$P,0))))</f>
        <v/>
      </c>
      <c r="J1140" s="436" t="str">
        <f>IF($M1111&lt;&gt;EUconst_Relevant,"",IF(INDEX('G_Fall-back'!J:J,MATCH($P1140,'G_Fall-back'!$P:$P,0))="","",INDEX('G_Fall-back'!J:J,MATCH($P1140,'G_Fall-back'!$P:$P,0))))</f>
        <v/>
      </c>
      <c r="K1140" s="436" t="str">
        <f>IF($M1111&lt;&gt;EUconst_Relevant,"",IF(INDEX('G_Fall-back'!K:K,MATCH($P1140,'G_Fall-back'!$P:$P,0))="","",INDEX('G_Fall-back'!K:K,MATCH($P1140,'G_Fall-back'!$P:$P,0))))</f>
        <v/>
      </c>
      <c r="L1140" s="436" t="str">
        <f>IF($M1111&lt;&gt;EUconst_Relevant,"",IF(INDEX('G_Fall-back'!L:L,MATCH($P1140,'G_Fall-back'!$P:$P,0))="","",INDEX('G_Fall-back'!L:L,MATCH($P1140,'G_Fall-back'!$P:$P,0))))</f>
        <v/>
      </c>
      <c r="M1140" s="436" t="str">
        <f>IF($M1111&lt;&gt;EUconst_Relevant,"",IF(INDEX('G_Fall-back'!M:M,MATCH($P1140,'G_Fall-back'!$P:$P,0))="","",INDEX('G_Fall-back'!M:M,MATCH($P1140,'G_Fall-back'!$P:$P,0))))</f>
        <v/>
      </c>
      <c r="N1140" s="342"/>
      <c r="O1140" s="17"/>
      <c r="P1140" s="116" t="str">
        <f>EUconst_CNTR_HeatImportProduct &amp; I1111</f>
        <v>HeatImProd_Heat benchmark sub-installation, non-CL</v>
      </c>
    </row>
    <row r="1141" spans="2:20" x14ac:dyDescent="0.25">
      <c r="B1141" s="17"/>
      <c r="C1141" s="17"/>
      <c r="D1141" s="17"/>
      <c r="E1141" s="1527" t="str">
        <f>Translations!$B$868</f>
        <v>Specific EF (from product BM)</v>
      </c>
      <c r="F1141" s="1527"/>
      <c r="G1141" s="1527"/>
      <c r="H1141" s="343" t="str">
        <f>EUconst_tCO2pTJ</f>
        <v>t CO2 / TJ</v>
      </c>
      <c r="I1141" s="437" t="str">
        <f>IF($M1111&lt;&gt;EUconst_Relevant,"",IF(INDEX('G_Fall-back'!I:I,MATCH($P1141,'G_Fall-back'!$P:$P,0))="","",INDEX('G_Fall-back'!I:I,MATCH($P1141,'G_Fall-back'!$P:$P,0))))</f>
        <v/>
      </c>
      <c r="J1141" s="437" t="str">
        <f>IF($M1111&lt;&gt;EUconst_Relevant,"",IF(INDEX('G_Fall-back'!J:J,MATCH($P1141,'G_Fall-back'!$P:$P,0))="","",INDEX('G_Fall-back'!J:J,MATCH($P1141,'G_Fall-back'!$P:$P,0))))</f>
        <v/>
      </c>
      <c r="K1141" s="437" t="str">
        <f>IF($M1111&lt;&gt;EUconst_Relevant,"",IF(INDEX('G_Fall-back'!K:K,MATCH($P1141,'G_Fall-back'!$P:$P,0))="","",INDEX('G_Fall-back'!K:K,MATCH($P1141,'G_Fall-back'!$P:$P,0))))</f>
        <v/>
      </c>
      <c r="L1141" s="437" t="str">
        <f>IF($M1111&lt;&gt;EUconst_Relevant,"",IF(INDEX('G_Fall-back'!L:L,MATCH($P1141,'G_Fall-back'!$P:$P,0))="","",INDEX('G_Fall-back'!L:L,MATCH($P1141,'G_Fall-back'!$P:$P,0))))</f>
        <v/>
      </c>
      <c r="M1141" s="437" t="str">
        <f>IF($M1111&lt;&gt;EUconst_Relevant,"",IF(INDEX('G_Fall-back'!M:M,MATCH($P1141,'G_Fall-back'!$P:$P,0))="","",INDEX('G_Fall-back'!M:M,MATCH($P1141,'G_Fall-back'!$P:$P,0))))</f>
        <v/>
      </c>
      <c r="N1141" s="342"/>
      <c r="O1141" s="17"/>
      <c r="P1141" s="116" t="str">
        <f>EUconst_CNTR_HeatImportProductEF &amp; I1111</f>
        <v>HeatImProdEF_Heat benchmark sub-installation, non-CL</v>
      </c>
    </row>
    <row r="1142" spans="2:20" x14ac:dyDescent="0.25">
      <c r="B1142" s="17"/>
      <c r="C1142" s="17"/>
      <c r="D1142" s="17"/>
      <c r="E1142" s="1526" t="str">
        <f>Translations!$B$1243</f>
        <v>Net heat imported (pulp)</v>
      </c>
      <c r="F1142" s="1526"/>
      <c r="G1142" s="1526"/>
      <c r="H1142" s="939" t="str">
        <f>EUconst_TJpa</f>
        <v>TJ / year</v>
      </c>
      <c r="I1142" s="436" t="str">
        <f>IF($M1111&lt;&gt;EUconst_Relevant,"",IF(INDEX('G_Fall-back'!I:I,MATCH($P1142,'G_Fall-back'!$P:$P,0))="","",INDEX('G_Fall-back'!I:I,MATCH($P1142,'G_Fall-back'!$P:$P,0))))</f>
        <v/>
      </c>
      <c r="J1142" s="436" t="str">
        <f>IF($M1111&lt;&gt;EUconst_Relevant,"",IF(INDEX('G_Fall-back'!J:J,MATCH($P1142,'G_Fall-back'!$P:$P,0))="","",INDEX('G_Fall-back'!J:J,MATCH($P1142,'G_Fall-back'!$P:$P,0))))</f>
        <v/>
      </c>
      <c r="K1142" s="436" t="str">
        <f>IF($M1111&lt;&gt;EUconst_Relevant,"",IF(INDEX('G_Fall-back'!K:K,MATCH($P1142,'G_Fall-back'!$P:$P,0))="","",INDEX('G_Fall-back'!K:K,MATCH($P1142,'G_Fall-back'!$P:$P,0))))</f>
        <v/>
      </c>
      <c r="L1142" s="436" t="str">
        <f>IF($M1111&lt;&gt;EUconst_Relevant,"",IF(INDEX('G_Fall-back'!L:L,MATCH($P1142,'G_Fall-back'!$P:$P,0))="","",INDEX('G_Fall-back'!L:L,MATCH($P1142,'G_Fall-back'!$P:$P,0))))</f>
        <v/>
      </c>
      <c r="M1142" s="436" t="str">
        <f>IF($M1111&lt;&gt;EUconst_Relevant,"",IF(INDEX('G_Fall-back'!M:M,MATCH($P1142,'G_Fall-back'!$P:$P,0))="","",INDEX('G_Fall-back'!M:M,MATCH($P1142,'G_Fall-back'!$P:$P,0))))</f>
        <v/>
      </c>
      <c r="N1142" s="342"/>
      <c r="O1142" s="17"/>
      <c r="P1142" s="116" t="str">
        <f>EUconst_CNTR_HeatImportPulp &amp; I1111</f>
        <v>HeatImPulp_Heat benchmark sub-installation, non-CL</v>
      </c>
    </row>
    <row r="1143" spans="2:20" x14ac:dyDescent="0.25">
      <c r="B1143" s="17"/>
      <c r="C1143" s="17"/>
      <c r="D1143" s="17"/>
      <c r="E1143" s="1527" t="str">
        <f>Translations!$B$870</f>
        <v>Specific EF (from pulp)</v>
      </c>
      <c r="F1143" s="1527"/>
      <c r="G1143" s="1527"/>
      <c r="H1143" s="343" t="str">
        <f>EUconst_tCO2pTJ</f>
        <v>t CO2 / TJ</v>
      </c>
      <c r="I1143" s="437" t="str">
        <f>IF($M1111&lt;&gt;EUconst_Relevant,"",IF(INDEX('G_Fall-back'!I:I,MATCH($P1143,'G_Fall-back'!$P:$P,0))="","",INDEX('G_Fall-back'!I:I,MATCH($P1143,'G_Fall-back'!$P:$P,0))))</f>
        <v/>
      </c>
      <c r="J1143" s="437" t="str">
        <f>IF($M1111&lt;&gt;EUconst_Relevant,"",IF(INDEX('G_Fall-back'!J:J,MATCH($P1143,'G_Fall-back'!$P:$P,0))="","",INDEX('G_Fall-back'!J:J,MATCH($P1143,'G_Fall-back'!$P:$P,0))))</f>
        <v/>
      </c>
      <c r="K1143" s="437" t="str">
        <f>IF($M1111&lt;&gt;EUconst_Relevant,"",IF(INDEX('G_Fall-back'!K:K,MATCH($P1143,'G_Fall-back'!$P:$P,0))="","",INDEX('G_Fall-back'!K:K,MATCH($P1143,'G_Fall-back'!$P:$P,0))))</f>
        <v/>
      </c>
      <c r="L1143" s="437" t="str">
        <f>IF($M1111&lt;&gt;EUconst_Relevant,"",IF(INDEX('G_Fall-back'!L:L,MATCH($P1143,'G_Fall-back'!$P:$P,0))="","",INDEX('G_Fall-back'!L:L,MATCH($P1143,'G_Fall-back'!$P:$P,0))))</f>
        <v/>
      </c>
      <c r="M1143" s="437" t="str">
        <f>IF($M1111&lt;&gt;EUconst_Relevant,"",IF(INDEX('G_Fall-back'!M:M,MATCH($P1143,'G_Fall-back'!$P:$P,0))="","",INDEX('G_Fall-back'!M:M,MATCH($P1143,'G_Fall-back'!$P:$P,0))))</f>
        <v/>
      </c>
      <c r="N1143" s="342"/>
      <c r="O1143" s="17"/>
      <c r="P1143" s="116" t="str">
        <f>EUconst_CNTR_HeatImportPulpEF &amp; I1111</f>
        <v>HeatImPulpEF_Heat benchmark sub-installation, non-CL</v>
      </c>
    </row>
    <row r="1144" spans="2:20" x14ac:dyDescent="0.25">
      <c r="B1144" s="17"/>
      <c r="C1144" s="17"/>
      <c r="D1144" s="17"/>
      <c r="E1144" s="1526" t="str">
        <f>Translations!$B$1244</f>
        <v>Net heat imported (fuelBM)</v>
      </c>
      <c r="F1144" s="1526"/>
      <c r="G1144" s="1526"/>
      <c r="H1144" s="939" t="str">
        <f>EUconst_TJpa</f>
        <v>TJ / year</v>
      </c>
      <c r="I1144" s="436" t="str">
        <f>IF($M1111&lt;&gt;EUconst_Relevant,"",IF(INDEX('G_Fall-back'!I:I,MATCH($P1144,'G_Fall-back'!$P:$P,0))="","",INDEX('G_Fall-back'!I:I,MATCH($P1144,'G_Fall-back'!$P:$P,0))))</f>
        <v/>
      </c>
      <c r="J1144" s="436" t="str">
        <f>IF($M1111&lt;&gt;EUconst_Relevant,"",IF(INDEX('G_Fall-back'!J:J,MATCH($P1144,'G_Fall-back'!$P:$P,0))="","",INDEX('G_Fall-back'!J:J,MATCH($P1144,'G_Fall-back'!$P:$P,0))))</f>
        <v/>
      </c>
      <c r="K1144" s="436" t="str">
        <f>IF($M1111&lt;&gt;EUconst_Relevant,"",IF(INDEX('G_Fall-back'!K:K,MATCH($P1144,'G_Fall-back'!$P:$P,0))="","",INDEX('G_Fall-back'!K:K,MATCH($P1144,'G_Fall-back'!$P:$P,0))))</f>
        <v/>
      </c>
      <c r="L1144" s="436" t="str">
        <f>IF($M1111&lt;&gt;EUconst_Relevant,"",IF(INDEX('G_Fall-back'!L:L,MATCH($P1144,'G_Fall-back'!$P:$P,0))="","",INDEX('G_Fall-back'!L:L,MATCH($P1144,'G_Fall-back'!$P:$P,0))))</f>
        <v/>
      </c>
      <c r="M1144" s="436" t="str">
        <f>IF($M1111&lt;&gt;EUconst_Relevant,"",IF(INDEX('G_Fall-back'!M:M,MATCH($P1144,'G_Fall-back'!$P:$P,0))="","",INDEX('G_Fall-back'!M:M,MATCH($P1144,'G_Fall-back'!$P:$P,0))))</f>
        <v/>
      </c>
      <c r="N1144" s="342"/>
      <c r="O1144" s="17"/>
      <c r="P1144" s="116" t="str">
        <f>EUconst_CNTR_HeatImportFuel &amp; I1111</f>
        <v>HeatImFuel_Heat benchmark sub-installation, non-CL</v>
      </c>
    </row>
    <row r="1145" spans="2:20" x14ac:dyDescent="0.25">
      <c r="B1145" s="17"/>
      <c r="C1145" s="17"/>
      <c r="D1145" s="17"/>
      <c r="E1145" s="1527" t="str">
        <f>Translations!$B$872</f>
        <v>Specific EF (from fuelBM)</v>
      </c>
      <c r="F1145" s="1527"/>
      <c r="G1145" s="1527"/>
      <c r="H1145" s="343" t="str">
        <f>EUconst_tCO2pTJ</f>
        <v>t CO2 / TJ</v>
      </c>
      <c r="I1145" s="437" t="str">
        <f>IF($M1111&lt;&gt;EUconst_Relevant,"",IF(INDEX('G_Fall-back'!I:I,MATCH($P1145,'G_Fall-back'!$P:$P,0))="","",INDEX('G_Fall-back'!I:I,MATCH($P1145,'G_Fall-back'!$P:$P,0))))</f>
        <v/>
      </c>
      <c r="J1145" s="437" t="str">
        <f>IF($M1111&lt;&gt;EUconst_Relevant,"",IF(INDEX('G_Fall-back'!J:J,MATCH($P1145,'G_Fall-back'!$P:$P,0))="","",INDEX('G_Fall-back'!J:J,MATCH($P1145,'G_Fall-back'!$P:$P,0))))</f>
        <v/>
      </c>
      <c r="K1145" s="437" t="str">
        <f>IF($M1111&lt;&gt;EUconst_Relevant,"",IF(INDEX('G_Fall-back'!K:K,MATCH($P1145,'G_Fall-back'!$P:$P,0))="","",INDEX('G_Fall-back'!K:K,MATCH($P1145,'G_Fall-back'!$P:$P,0))))</f>
        <v/>
      </c>
      <c r="L1145" s="437" t="str">
        <f>IF($M1111&lt;&gt;EUconst_Relevant,"",IF(INDEX('G_Fall-back'!L:L,MATCH($P1145,'G_Fall-back'!$P:$P,0))="","",INDEX('G_Fall-back'!L:L,MATCH($P1145,'G_Fall-back'!$P:$P,0))))</f>
        <v/>
      </c>
      <c r="M1145" s="437" t="str">
        <f>IF($M1111&lt;&gt;EUconst_Relevant,"",IF(INDEX('G_Fall-back'!M:M,MATCH($P1145,'G_Fall-back'!$P:$P,0))="","",INDEX('G_Fall-back'!M:M,MATCH($P1145,'G_Fall-back'!$P:$P,0))))</f>
        <v/>
      </c>
      <c r="N1145" s="342"/>
      <c r="O1145" s="17"/>
      <c r="P1145" s="116" t="str">
        <f>EUconst_CNTR_HeatImportFuelEF &amp; I1111</f>
        <v>HeatImFuelEF_Heat benchmark sub-installation, non-CL</v>
      </c>
    </row>
    <row r="1146" spans="2:20" x14ac:dyDescent="0.25">
      <c r="B1146" s="17"/>
      <c r="C1146" s="17"/>
      <c r="D1146" s="17"/>
      <c r="E1146" s="1526" t="str">
        <f>Translations!$B$1245</f>
        <v>Net heat imported (waste gas)</v>
      </c>
      <c r="F1146" s="1526"/>
      <c r="G1146" s="1526"/>
      <c r="H1146" s="939" t="str">
        <f>EUconst_TJpa</f>
        <v>TJ / year</v>
      </c>
      <c r="I1146" s="436" t="str">
        <f>IF($M1111&lt;&gt;EUconst_Relevant,"",IF(INDEX('G_Fall-back'!I:I,MATCH($P1146,'G_Fall-back'!$P:$P,0))="","",INDEX('G_Fall-back'!I:I,MATCH($P1146,'G_Fall-back'!$P:$P,0))))</f>
        <v/>
      </c>
      <c r="J1146" s="436" t="str">
        <f>IF($M1111&lt;&gt;EUconst_Relevant,"",IF(INDEX('G_Fall-back'!J:J,MATCH($P1146,'G_Fall-back'!$P:$P,0))="","",INDEX('G_Fall-back'!J:J,MATCH($P1146,'G_Fall-back'!$P:$P,0))))</f>
        <v/>
      </c>
      <c r="K1146" s="436" t="str">
        <f>IF($M1111&lt;&gt;EUconst_Relevant,"",IF(INDEX('G_Fall-back'!K:K,MATCH($P1146,'G_Fall-back'!$P:$P,0))="","",INDEX('G_Fall-back'!K:K,MATCH($P1146,'G_Fall-back'!$P:$P,0))))</f>
        <v/>
      </c>
      <c r="L1146" s="436" t="str">
        <f>IF($M1111&lt;&gt;EUconst_Relevant,"",IF(INDEX('G_Fall-back'!L:L,MATCH($P1146,'G_Fall-back'!$P:$P,0))="","",INDEX('G_Fall-back'!L:L,MATCH($P1146,'G_Fall-back'!$P:$P,0))))</f>
        <v/>
      </c>
      <c r="M1146" s="436" t="str">
        <f>IF($M1111&lt;&gt;EUconst_Relevant,"",IF(INDEX('G_Fall-back'!M:M,MATCH($P1146,'G_Fall-back'!$P:$P,0))="","",INDEX('G_Fall-back'!M:M,MATCH($P1146,'G_Fall-back'!$P:$P,0))))</f>
        <v/>
      </c>
      <c r="N1146" s="342"/>
      <c r="O1146" s="17"/>
      <c r="P1146" s="116" t="str">
        <f>EUconst_CNTR_WGImport &amp; I1111</f>
        <v>WasteGasIm_Heat benchmark sub-installation, non-CL</v>
      </c>
    </row>
    <row r="1147" spans="2:20" x14ac:dyDescent="0.25">
      <c r="B1147" s="17"/>
      <c r="C1147" s="17"/>
      <c r="D1147" s="17"/>
      <c r="E1147" s="1527" t="str">
        <f>Translations!$B$874</f>
        <v>Specific EF (from waste gas)</v>
      </c>
      <c r="F1147" s="1527"/>
      <c r="G1147" s="1527"/>
      <c r="H1147" s="343" t="str">
        <f>EUconst_tCO2pTJ</f>
        <v>t CO2 / TJ</v>
      </c>
      <c r="I1147" s="437" t="str">
        <f>IF($M1111&lt;&gt;EUconst_Relevant,"",IF(INDEX('G_Fall-back'!I:I,MATCH($P1147,'G_Fall-back'!$P:$P,0))="","",INDEX('G_Fall-back'!I:I,MATCH($P1147,'G_Fall-back'!$P:$P,0))))</f>
        <v/>
      </c>
      <c r="J1147" s="437" t="str">
        <f>IF($M1111&lt;&gt;EUconst_Relevant,"",IF(INDEX('G_Fall-back'!J:J,MATCH($P1147,'G_Fall-back'!$P:$P,0))="","",INDEX('G_Fall-back'!J:J,MATCH($P1147,'G_Fall-back'!$P:$P,0))))</f>
        <v/>
      </c>
      <c r="K1147" s="437" t="str">
        <f>IF($M1111&lt;&gt;EUconst_Relevant,"",IF(INDEX('G_Fall-back'!K:K,MATCH($P1147,'G_Fall-back'!$P:$P,0))="","",INDEX('G_Fall-back'!K:K,MATCH($P1147,'G_Fall-back'!$P:$P,0))))</f>
        <v/>
      </c>
      <c r="L1147" s="437" t="str">
        <f>IF($M1111&lt;&gt;EUconst_Relevant,"",IF(INDEX('G_Fall-back'!L:L,MATCH($P1147,'G_Fall-back'!$P:$P,0))="","",INDEX('G_Fall-back'!L:L,MATCH($P1147,'G_Fall-back'!$P:$P,0))))</f>
        <v/>
      </c>
      <c r="M1147" s="437" t="str">
        <f>IF($M1111&lt;&gt;EUconst_Relevant,"",IF(INDEX('G_Fall-back'!M:M,MATCH($P1147,'G_Fall-back'!$P:$P,0))="","",INDEX('G_Fall-back'!M:M,MATCH($P1147,'G_Fall-back'!$P:$P,0))))</f>
        <v/>
      </c>
      <c r="N1147" s="342"/>
      <c r="O1147" s="17"/>
      <c r="P1147" s="116" t="str">
        <f>EUconst_CNTR_WGImportEF &amp; I1111</f>
        <v>WasteGasImEF_Heat benchmark sub-installation, non-CL</v>
      </c>
    </row>
    <row r="1148" spans="2:20" ht="12.75" customHeight="1" x14ac:dyDescent="0.25">
      <c r="B1148" s="17"/>
      <c r="C1148" s="17"/>
      <c r="D1148" s="17"/>
      <c r="E1148" s="342"/>
      <c r="F1148" s="342"/>
      <c r="G1148" s="342"/>
      <c r="H1148" s="342"/>
      <c r="I1148" s="342"/>
      <c r="J1148" s="342"/>
      <c r="K1148" s="342"/>
      <c r="L1148" s="342"/>
      <c r="M1148" s="342"/>
      <c r="N1148" s="342"/>
      <c r="O1148" s="17"/>
    </row>
    <row r="1149" spans="2:20" ht="13.8" thickBot="1" x14ac:dyDescent="0.3">
      <c r="B1149" s="17"/>
      <c r="C1149" s="17"/>
      <c r="D1149" s="17"/>
      <c r="E1149" s="17"/>
      <c r="F1149" s="17"/>
      <c r="G1149" s="17"/>
      <c r="H1149" s="276"/>
      <c r="I1149" s="276"/>
      <c r="J1149" s="276"/>
      <c r="K1149" s="276"/>
      <c r="L1149" s="276"/>
      <c r="M1149" s="17"/>
      <c r="N1149" s="17"/>
      <c r="O1149" s="17"/>
    </row>
    <row r="1150" spans="2:20" ht="12.75" customHeight="1" thickBot="1" x14ac:dyDescent="0.3">
      <c r="B1150" s="8"/>
      <c r="C1150" s="906"/>
      <c r="D1150" s="906"/>
      <c r="E1150" s="906"/>
      <c r="F1150" s="906"/>
      <c r="G1150" s="906"/>
      <c r="H1150" s="906"/>
      <c r="I1150" s="906"/>
      <c r="J1150" s="906"/>
      <c r="K1150" s="906"/>
      <c r="L1150" s="906"/>
      <c r="M1150" s="906"/>
      <c r="N1150" s="906"/>
      <c r="O1150" s="17"/>
      <c r="T1150" s="9" t="s">
        <v>644</v>
      </c>
    </row>
    <row r="1151" spans="2:20" ht="15" customHeight="1" thickBot="1" x14ac:dyDescent="0.3">
      <c r="B1151" s="17"/>
      <c r="C1151" s="19">
        <f>C1111+1</f>
        <v>13</v>
      </c>
      <c r="D1151" s="1234" t="str">
        <f>CONCATENATE(EUconst_FBSubinst," ",C1151-10, ":")</f>
        <v>Fall-Back sub-installation 3:</v>
      </c>
      <c r="E1151" s="1176"/>
      <c r="F1151" s="1176"/>
      <c r="G1151" s="1176"/>
      <c r="H1151" s="1260"/>
      <c r="I1151" s="1710" t="str">
        <f>INDEX(EUconst_FallBackListNames,$C1151-10)</f>
        <v>District heating sub-installation</v>
      </c>
      <c r="J1151" s="1711"/>
      <c r="K1151" s="1711"/>
      <c r="L1151" s="1712"/>
      <c r="M1151" s="1608" t="str">
        <f>IF(ISBLANK(INDEX(CNTR_FallBackSubInstRelevant,C1151-10)),"",IF(INDEX(CNTR_FallBackSubInstRelevant,C1151-10),EUconst_Relevant,EUconst_NotRelevant))</f>
        <v/>
      </c>
      <c r="N1151" s="1609"/>
      <c r="O1151" s="17"/>
      <c r="Q1151" s="427">
        <f>C1151</f>
        <v>13</v>
      </c>
      <c r="R1151" s="424" t="str">
        <f>I1151</f>
        <v>District heating sub-installation</v>
      </c>
      <c r="S1151" s="426" t="b">
        <f>H1154</f>
        <v>0</v>
      </c>
      <c r="T1151" s="425" t="str">
        <f>IF(M1163="","",IF(S1154=0,0,SUM(M1163)/S1154))</f>
        <v/>
      </c>
    </row>
    <row r="1152" spans="2:20" ht="5.0999999999999996" customHeight="1" thickBot="1" x14ac:dyDescent="0.3">
      <c r="B1152" s="17"/>
      <c r="C1152" s="17"/>
      <c r="D1152" s="17"/>
      <c r="E1152" s="17"/>
      <c r="F1152" s="17"/>
      <c r="G1152" s="17"/>
      <c r="H1152" s="17"/>
      <c r="I1152" s="17"/>
      <c r="J1152" s="17"/>
      <c r="K1152" s="17"/>
      <c r="L1152" s="17"/>
      <c r="M1152" s="17"/>
      <c r="N1152" s="17"/>
      <c r="O1152" s="17"/>
      <c r="T1152" s="9"/>
    </row>
    <row r="1153" spans="2:20" x14ac:dyDescent="0.25">
      <c r="B1153" s="17"/>
      <c r="C1153" s="17"/>
      <c r="D1153" s="17"/>
      <c r="E1153" s="17"/>
      <c r="F1153" s="17"/>
      <c r="G1153" s="17"/>
      <c r="H1153" s="253" t="str">
        <f>Translations!$B$1204</f>
        <v>CL-exposed</v>
      </c>
      <c r="I1153" s="254" t="str">
        <f>Translations!$B$1208</f>
        <v>Started</v>
      </c>
      <c r="J1153" s="254" t="str">
        <f>Translations!$B$1212</f>
        <v>15(7).3?</v>
      </c>
      <c r="K1153" s="254" t="str">
        <f>Translations!$B$1214</f>
        <v>15(7).3 HAL</v>
      </c>
      <c r="L1153" s="329" t="str">
        <f>Translations!$B$1206</f>
        <v>No. of BM</v>
      </c>
      <c r="M1153" s="468" t="str">
        <f>Translations!$B$1234</f>
        <v>BM value (min/max/actual)</v>
      </c>
      <c r="N1153" s="469"/>
      <c r="O1153" s="17"/>
      <c r="T1153" s="9"/>
    </row>
    <row r="1154" spans="2:20" x14ac:dyDescent="0.25">
      <c r="B1154" s="17"/>
      <c r="C1154" s="17"/>
      <c r="D1154" s="17"/>
      <c r="E1154" s="255" t="str">
        <f>I1151</f>
        <v>District heating sub-installation</v>
      </c>
      <c r="F1154" s="256"/>
      <c r="G1154" s="230"/>
      <c r="H1154" s="257" t="b">
        <f>INDEX(EUconst_FallBackListCLstatus,MATCH(I1151,EUconst_FallBackListNames,0))</f>
        <v>0</v>
      </c>
      <c r="I1154" s="355" t="str">
        <f>IF(M1151&lt;&gt;EUconst_Relevant,"",INDEX(CNTR_SubInstStartDate,MATCH(E1154,CNTR_SubInstListNames,0)))</f>
        <v/>
      </c>
      <c r="J1154" s="258" t="str">
        <f>IF(M1151&lt;&gt;EUconst_Relevant,"",INDEX(CNTR_SubInstLess1Year,MATCH(E1154,CNTR_SubInstListNames,0)))</f>
        <v/>
      </c>
      <c r="K1154" s="203" t="str">
        <f>IF($J1154=TRUE,SUMIF('G_Fall-back'!$P:$P,EUconst_CNTR_HAL&amp;$E1154,'G_Fall-back'!$N:$N),"")</f>
        <v/>
      </c>
      <c r="L1154" s="353">
        <f>C1151-10</f>
        <v>3</v>
      </c>
      <c r="M1154" s="474" t="str">
        <f>IF(M1151&lt;&gt;EUconst_Relevant,"",INDEX(EUconst_FallBackListBMvaluesMatrix,L1154,2))</f>
        <v/>
      </c>
      <c r="N1154" s="471" t="str">
        <f>EUconst_EUA &amp; "/" &amp; H1159</f>
        <v>UKA/TJ</v>
      </c>
      <c r="O1154" s="17"/>
      <c r="R1154" s="288" t="s">
        <v>639</v>
      </c>
      <c r="S1154" s="335">
        <f>IF(H1154,1,INDEX(EUconst_CLEFYears,1))</f>
        <v>0.3</v>
      </c>
    </row>
    <row r="1155" spans="2:20" x14ac:dyDescent="0.25">
      <c r="B1155" s="17"/>
      <c r="C1155" s="17"/>
      <c r="D1155" s="276"/>
      <c r="E1155" s="276"/>
      <c r="F1155" s="276"/>
      <c r="G1155" s="276"/>
      <c r="H1155" s="276"/>
      <c r="I1155" s="276"/>
      <c r="J1155" s="276"/>
      <c r="K1155" s="276"/>
      <c r="L1155" s="276"/>
      <c r="M1155" s="474" t="str">
        <f>IF(M1151&lt;&gt;EUconst_Relevant,"",INDEX(EUconst_FallBackListBMvaluesMatrix,L1154,1))</f>
        <v/>
      </c>
      <c r="N1155" s="471" t="str">
        <f>EUconst_EUA &amp; "/" &amp; H1159</f>
        <v>UKA/TJ</v>
      </c>
      <c r="O1155" s="17"/>
      <c r="R1155" s="288"/>
      <c r="S1155" s="368"/>
    </row>
    <row r="1156" spans="2:20" ht="13.8" thickBot="1" x14ac:dyDescent="0.3">
      <c r="B1156" s="17"/>
      <c r="C1156" s="17"/>
      <c r="D1156" s="276"/>
      <c r="E1156" s="276"/>
      <c r="F1156" s="276"/>
      <c r="G1156" s="276"/>
      <c r="H1156" s="276"/>
      <c r="I1156" s="276"/>
      <c r="J1156" s="276"/>
      <c r="K1156" s="276"/>
      <c r="L1156" s="276"/>
      <c r="M1156" s="475" t="str">
        <f>IF(M1151&lt;&gt;EUconst_Relevant,"",IF(EUconst_StatusOfDataCollection,INDEX(EUconst_FallBackListBMvaluesMatrix,L1154,3),""))</f>
        <v/>
      </c>
      <c r="N1156" s="473" t="str">
        <f>EUconst_EUA &amp; "/" &amp; H1159</f>
        <v>UKA/TJ</v>
      </c>
      <c r="O1156" s="17"/>
      <c r="R1156" s="288"/>
      <c r="S1156" s="368"/>
    </row>
    <row r="1157" spans="2:20" ht="5.0999999999999996" customHeight="1" x14ac:dyDescent="0.25">
      <c r="B1157" s="17"/>
      <c r="C1157" s="17"/>
      <c r="D1157" s="17"/>
      <c r="E1157" s="17"/>
      <c r="F1157" s="17"/>
      <c r="G1157" s="17"/>
      <c r="H1157" s="17"/>
      <c r="I1157" s="17"/>
      <c r="J1157" s="17"/>
      <c r="K1157" s="17"/>
      <c r="L1157" s="17"/>
      <c r="M1157" s="17"/>
      <c r="N1157" s="17"/>
      <c r="O1157" s="17"/>
    </row>
    <row r="1158" spans="2:20" x14ac:dyDescent="0.25">
      <c r="B1158" s="17"/>
      <c r="C1158" s="17"/>
      <c r="D1158" s="17"/>
      <c r="E1158" s="78"/>
      <c r="F1158" s="78"/>
      <c r="G1158" s="259"/>
      <c r="H1158" s="253" t="str">
        <f>EUconst_Unit</f>
        <v>Unit</v>
      </c>
      <c r="I1158" s="149">
        <f>I$1397</f>
        <v>2019</v>
      </c>
      <c r="J1158" s="149">
        <f>J$1397</f>
        <v>2020</v>
      </c>
      <c r="K1158" s="149">
        <f>K$1397</f>
        <v>2021</v>
      </c>
      <c r="L1158" s="149">
        <f>L$1397</f>
        <v>2022</v>
      </c>
      <c r="M1158" s="149">
        <f>M$1397</f>
        <v>2023</v>
      </c>
      <c r="N1158" s="17"/>
      <c r="O1158" s="17"/>
      <c r="P1158" s="63" t="s">
        <v>397</v>
      </c>
    </row>
    <row r="1159" spans="2:20" x14ac:dyDescent="0.25">
      <c r="B1159" s="17"/>
      <c r="C1159" s="17"/>
      <c r="D1159" s="17"/>
      <c r="E1159" s="260" t="str">
        <f>Translations!$B$1236</f>
        <v>HAL (Historic activity level) reported</v>
      </c>
      <c r="F1159" s="261"/>
      <c r="G1159" s="262"/>
      <c r="H1159" s="257" t="str">
        <f>INDEX(EUconst_FallBackListUnits,L1154)</f>
        <v>TJ</v>
      </c>
      <c r="I1159" s="203" t="str">
        <f>IF($M1151&lt;&gt;EUconst_Relevant,"",SUMIF('G_Fall-back'!$P:$P,$P1160,'G_Fall-back'!I:I))</f>
        <v/>
      </c>
      <c r="J1159" s="203" t="str">
        <f>IF($M1151&lt;&gt;EUconst_Relevant,"",SUMIF('G_Fall-back'!$P:$P,$P1160,'G_Fall-back'!J:J))</f>
        <v/>
      </c>
      <c r="K1159" s="203" t="str">
        <f>IF($M1151&lt;&gt;EUconst_Relevant,"",SUMIF('G_Fall-back'!$P:$P,$P1160,'G_Fall-back'!K:K))</f>
        <v/>
      </c>
      <c r="L1159" s="203" t="str">
        <f>IF($M1151&lt;&gt;EUconst_Relevant,"",SUMIF('G_Fall-back'!$P:$P,$P1160,'G_Fall-back'!L:L))</f>
        <v/>
      </c>
      <c r="M1159" s="203" t="str">
        <f>IF($M1151&lt;&gt;EUconst_Relevant,"",SUMIF('G_Fall-back'!$P:$P,$P1160,'G_Fall-back'!M:M))</f>
        <v/>
      </c>
      <c r="N1159" s="254" t="str">
        <f>Translations!$B$1224</f>
        <v>Average</v>
      </c>
      <c r="O1159" s="17"/>
      <c r="P1159" s="63" t="str">
        <f>EUconst_CNTR_HAL&amp;I1151</f>
        <v>HAL_District heating sub-installation</v>
      </c>
      <c r="T1159" s="9"/>
    </row>
    <row r="1160" spans="2:20" x14ac:dyDescent="0.25">
      <c r="B1160" s="17"/>
      <c r="C1160" s="17"/>
      <c r="D1160" s="17"/>
      <c r="E1160" s="260" t="str">
        <f>Translations!$B$1237</f>
        <v>Values used for HAL calculation:</v>
      </c>
      <c r="F1160" s="261"/>
      <c r="G1160" s="262"/>
      <c r="H1160" s="257" t="str">
        <f>H1159</f>
        <v>TJ</v>
      </c>
      <c r="I1160" s="148" t="str">
        <f>IF($M1151&lt;&gt;EUconst_Relevant,"",INDEX('G_Fall-back'!S:S,MATCH($P1160,'G_Fall-back'!$P:$P,0)))</f>
        <v/>
      </c>
      <c r="J1160" s="148" t="str">
        <f>IF($M1151&lt;&gt;EUconst_Relevant,"",INDEX('G_Fall-back'!T:T,MATCH($P1160,'G_Fall-back'!$P:$P,0)))</f>
        <v/>
      </c>
      <c r="K1160" s="148" t="str">
        <f>IF($M1151&lt;&gt;EUconst_Relevant,"",INDEX('G_Fall-back'!U:U,MATCH($P1160,'G_Fall-back'!$P:$P,0)))</f>
        <v/>
      </c>
      <c r="L1160" s="148" t="str">
        <f>IF($M1151&lt;&gt;EUconst_Relevant,"",INDEX('G_Fall-back'!V:V,MATCH($P1160,'G_Fall-back'!$P:$P,0)))</f>
        <v/>
      </c>
      <c r="M1160" s="148" t="str">
        <f>IF($M1151&lt;&gt;EUconst_Relevant,"",INDEX('G_Fall-back'!W:W,MATCH($P1160,'G_Fall-back'!$P:$P,0)))</f>
        <v/>
      </c>
      <c r="N1160" s="203" t="str">
        <f>IF(OR($M1151&lt;&gt;EUconst_Relevant,$J1154=TRUE),"",IF(COUNT($I1160:$M1160)&gt;0,AVERAGE($I1160:$M1160),""))</f>
        <v/>
      </c>
      <c r="O1160" s="17"/>
      <c r="P1160" s="63" t="str">
        <f>EUconst_CNTR_HAL&amp;I1151</f>
        <v>HAL_District heating sub-installation</v>
      </c>
      <c r="R1160" s="442" t="s">
        <v>640</v>
      </c>
      <c r="S1160" s="442" t="s">
        <v>641</v>
      </c>
      <c r="T1160" s="442" t="s">
        <v>642</v>
      </c>
    </row>
    <row r="1161" spans="2:20" ht="5.0999999999999996" customHeight="1" thickBot="1" x14ac:dyDescent="0.3">
      <c r="B1161" s="17"/>
      <c r="C1161" s="17"/>
      <c r="D1161" s="17"/>
      <c r="E1161" s="17"/>
      <c r="F1161" s="17"/>
      <c r="G1161" s="17"/>
      <c r="H1161" s="17"/>
      <c r="I1161" s="17"/>
      <c r="J1161" s="17"/>
      <c r="K1161" s="17"/>
      <c r="L1161" s="17"/>
      <c r="M1161" s="17"/>
      <c r="N1161" s="17"/>
      <c r="O1161" s="17"/>
      <c r="T1161" s="9"/>
    </row>
    <row r="1162" spans="2:20" ht="13.8" thickBot="1" x14ac:dyDescent="0.3">
      <c r="B1162" s="17"/>
      <c r="C1162" s="17"/>
      <c r="D1162" s="17"/>
      <c r="E1162" s="17"/>
      <c r="F1162" s="263" t="s">
        <v>643</v>
      </c>
      <c r="G1162" s="337"/>
      <c r="H1162" s="17"/>
      <c r="I1162" s="336" t="str">
        <f>Translations!$B$1226</f>
        <v>Prelim Alloc Year 1 (min)</v>
      </c>
      <c r="J1162" s="337"/>
      <c r="K1162" s="336" t="str">
        <f>Translations!$B$1229</f>
        <v>Prelim Alloc Year 1 (max)</v>
      </c>
      <c r="L1162" s="337"/>
      <c r="M1162" s="336" t="str">
        <f>Translations!$B$1231</f>
        <v>Prelim Alloc Year 1 (actual)</v>
      </c>
      <c r="N1162" s="337"/>
      <c r="O1162" s="17"/>
      <c r="P1162" s="63" t="str">
        <f>EUconst_AllocPrelim&amp;I1151</f>
        <v>AllocPrelim_District heating sub-installation</v>
      </c>
      <c r="R1162" s="423" t="str">
        <f>IF(I1163="","",IF(S1154=0,0,SUM(I1163)/S1154))</f>
        <v/>
      </c>
      <c r="S1162" s="423" t="str">
        <f>IF(K1163="","",IF(S1154=0,0,SUM(K1163)/S1154))</f>
        <v/>
      </c>
      <c r="T1162" s="423" t="str">
        <f>T1151</f>
        <v/>
      </c>
    </row>
    <row r="1163" spans="2:20" ht="13.8" thickBot="1" x14ac:dyDescent="0.3">
      <c r="B1163" s="17"/>
      <c r="C1163" s="17"/>
      <c r="D1163" s="17"/>
      <c r="E1163" s="17"/>
      <c r="F1163" s="264" t="str">
        <f>IF(M1151&lt;&gt;EUconst_Relevant,"",MAX(0, IF(J1154=TRUE, SUM(K1154), SUM(N1160))))</f>
        <v/>
      </c>
      <c r="G1163" s="409" t="str">
        <f>H1160&amp;" / "&amp;EUconst_Year</f>
        <v>TJ / year</v>
      </c>
      <c r="H1163" s="17"/>
      <c r="I1163" s="333" t="str">
        <f>IF(M1151&lt;&gt;EUconst_Relevant,"",ROUND(SUM(M1154)*SUM(F1163)*SUM(S1154),0))</f>
        <v/>
      </c>
      <c r="J1163" s="409" t="s">
        <v>645</v>
      </c>
      <c r="K1163" s="333" t="str">
        <f>IF(M1151&lt;&gt;EUconst_Relevant,"",ROUND(SUM(M1155)*SUM(F1163)*SUM(S1154),0))</f>
        <v/>
      </c>
      <c r="L1163" s="409" t="s">
        <v>645</v>
      </c>
      <c r="M1163" s="333" t="str">
        <f>IF(OR(M1151&lt;&gt;EUconst_Relevant,M1156=""),"",ROUND(SUM(M1156)*SUM(F1163)*SUM(S1154),0))</f>
        <v/>
      </c>
      <c r="N1163" s="409" t="s">
        <v>645</v>
      </c>
      <c r="O1163" s="17"/>
      <c r="P1163" s="63" t="str">
        <f>EUconst_HALsum &amp; I1151</f>
        <v>HALsum_District heating sub-installation</v>
      </c>
    </row>
    <row r="1164" spans="2:20" x14ac:dyDescent="0.25">
      <c r="B1164" s="17"/>
      <c r="C1164" s="17"/>
      <c r="D1164" s="17"/>
      <c r="E1164" s="17"/>
      <c r="F1164" s="17"/>
      <c r="G1164" s="17"/>
      <c r="H1164" s="17"/>
      <c r="I1164" s="17"/>
      <c r="J1164" s="17"/>
      <c r="K1164" s="17"/>
      <c r="L1164" s="17"/>
      <c r="M1164" s="17"/>
      <c r="N1164" s="17"/>
      <c r="O1164" s="17"/>
    </row>
    <row r="1165" spans="2:20" ht="12.75" customHeight="1" x14ac:dyDescent="0.25">
      <c r="B1165" s="17"/>
      <c r="C1165" s="17"/>
      <c r="D1165" s="17"/>
      <c r="E1165" s="193"/>
      <c r="F1165" s="342"/>
      <c r="G1165" s="342"/>
      <c r="H1165" s="342"/>
      <c r="I1165" s="342"/>
      <c r="J1165" s="342"/>
      <c r="K1165" s="342"/>
      <c r="L1165" s="342"/>
      <c r="M1165" s="342"/>
      <c r="N1165" s="342"/>
      <c r="O1165" s="17"/>
    </row>
    <row r="1166" spans="2:20" ht="13.8" thickBot="1" x14ac:dyDescent="0.3">
      <c r="B1166" s="17"/>
      <c r="C1166" s="17"/>
      <c r="D1166" s="17"/>
      <c r="E1166" s="193"/>
      <c r="F1166" s="342"/>
      <c r="G1166" s="342"/>
      <c r="H1166" s="192" t="str">
        <f>EUconst_Unit</f>
        <v>Unit</v>
      </c>
      <c r="I1166" s="440">
        <f>I$1397</f>
        <v>2019</v>
      </c>
      <c r="J1166" s="344">
        <f>J$1397</f>
        <v>2020</v>
      </c>
      <c r="K1166" s="344">
        <f>K$1397</f>
        <v>2021</v>
      </c>
      <c r="L1166" s="344">
        <f>L$1397</f>
        <v>2022</v>
      </c>
      <c r="M1166" s="344">
        <f>M$1397</f>
        <v>2023</v>
      </c>
      <c r="N1166" s="342"/>
      <c r="O1166" s="17"/>
    </row>
    <row r="1167" spans="2:20" ht="13.8" thickBot="1" x14ac:dyDescent="0.3">
      <c r="B1167" s="17"/>
      <c r="C1167" s="17"/>
      <c r="D1167" s="17"/>
      <c r="E1167" s="1610" t="str">
        <f>Translations!$B$532</f>
        <v>Measurable heat produced</v>
      </c>
      <c r="F1167" s="1610"/>
      <c r="G1167" s="1610"/>
      <c r="H1167" s="411" t="str">
        <f>EUconst_TJpa</f>
        <v>TJ / year</v>
      </c>
      <c r="I1167" s="432" t="str">
        <f>IF($M1151&lt;&gt;EUconst_Relevant,"",IF(INDEX('G_Fall-back'!I:I,MATCH($P1167,'G_Fall-back'!$P:$P,0))="","",INDEX('G_Fall-back'!I:I,MATCH($P1167,'G_Fall-back'!$P:$P,0))))</f>
        <v/>
      </c>
      <c r="J1167" s="433" t="str">
        <f>IF($M1151&lt;&gt;EUconst_Relevant,"",IF(INDEX('G_Fall-back'!J:J,MATCH($P1167,'G_Fall-back'!$P:$P,0))="","",INDEX('G_Fall-back'!J:J,MATCH($P1167,'G_Fall-back'!$P:$P,0))))</f>
        <v/>
      </c>
      <c r="K1167" s="433" t="str">
        <f>IF($M1151&lt;&gt;EUconst_Relevant,"",IF(INDEX('G_Fall-back'!K:K,MATCH($P1167,'G_Fall-back'!$P:$P,0))="","",INDEX('G_Fall-back'!K:K,MATCH($P1167,'G_Fall-back'!$P:$P,0))))</f>
        <v/>
      </c>
      <c r="L1167" s="433" t="str">
        <f>IF($M1151&lt;&gt;EUconst_Relevant,"",IF(INDEX('G_Fall-back'!L:L,MATCH($P1167,'G_Fall-back'!$P:$P,0))="","",INDEX('G_Fall-back'!L:L,MATCH($P1167,'G_Fall-back'!$P:$P,0))))</f>
        <v/>
      </c>
      <c r="M1167" s="434" t="str">
        <f>IF($M1151&lt;&gt;EUconst_Relevant,"",IF(INDEX('G_Fall-back'!M:M,MATCH($P1167,'G_Fall-back'!$P:$P,0))="","",INDEX('G_Fall-back'!M:M,MATCH($P1167,'G_Fall-back'!$P:$P,0))))</f>
        <v/>
      </c>
      <c r="N1167" s="342"/>
      <c r="O1167" s="17"/>
      <c r="P1167" s="116" t="str">
        <f>EUconst_CNTR_HeatProduced &amp; I1151</f>
        <v>HeatProd_District heating sub-installation</v>
      </c>
    </row>
    <row r="1168" spans="2:20" ht="5.0999999999999996" customHeight="1" thickBot="1" x14ac:dyDescent="0.3">
      <c r="B1168" s="17"/>
      <c r="C1168" s="17"/>
      <c r="D1168" s="17"/>
      <c r="E1168" s="193"/>
      <c r="F1168" s="193"/>
      <c r="G1168" s="193"/>
      <c r="H1168" s="193"/>
      <c r="I1168" s="438"/>
      <c r="J1168" s="438"/>
      <c r="K1168" s="438"/>
      <c r="L1168" s="438"/>
      <c r="M1168" s="438"/>
      <c r="N1168" s="342"/>
      <c r="O1168" s="17"/>
    </row>
    <row r="1169" spans="2:20" ht="13.8" thickBot="1" x14ac:dyDescent="0.3">
      <c r="B1169" s="17"/>
      <c r="C1169" s="17"/>
      <c r="D1169" s="17"/>
      <c r="E1169" s="1610" t="str">
        <f>Translations!$B$1238</f>
        <v>Total attributed emissions</v>
      </c>
      <c r="F1169" s="1610"/>
      <c r="G1169" s="1610"/>
      <c r="H1169" s="411" t="str">
        <f>EUconst_tCO2epa</f>
        <v>t CO2e/year</v>
      </c>
      <c r="I1169" s="432" t="str">
        <f>INDEX(I$93:I$109,MATCH($I1151,$E$93:$E$109,0))</f>
        <v/>
      </c>
      <c r="J1169" s="433" t="str">
        <f>INDEX(J$93:J$109,MATCH($I1151,$E$93:$E$109,0))</f>
        <v/>
      </c>
      <c r="K1169" s="433" t="str">
        <f>INDEX(K$93:K$109,MATCH($I1151,$E$93:$E$109,0))</f>
        <v/>
      </c>
      <c r="L1169" s="433" t="str">
        <f>INDEX(L$93:L$109,MATCH($I1151,$E$93:$E$109,0))</f>
        <v/>
      </c>
      <c r="M1169" s="434" t="str">
        <f>INDEX(M$93:M$109,MATCH($I1151,$E$93:$E$109,0))</f>
        <v/>
      </c>
      <c r="N1169" s="342"/>
      <c r="O1169" s="17"/>
      <c r="T1169" s="9"/>
    </row>
    <row r="1170" spans="2:20" ht="5.0999999999999996" customHeight="1" x14ac:dyDescent="0.25">
      <c r="B1170" s="17"/>
      <c r="C1170" s="17"/>
      <c r="D1170" s="17"/>
      <c r="E1170" s="193"/>
      <c r="F1170" s="193"/>
      <c r="G1170" s="193"/>
      <c r="H1170" s="193"/>
      <c r="I1170" s="435"/>
      <c r="J1170" s="435"/>
      <c r="K1170" s="435"/>
      <c r="L1170" s="435"/>
      <c r="M1170" s="435"/>
      <c r="N1170" s="193"/>
      <c r="O1170" s="17"/>
      <c r="T1170" s="9"/>
    </row>
    <row r="1171" spans="2:20" x14ac:dyDescent="0.25">
      <c r="B1171" s="17"/>
      <c r="C1171" s="17"/>
      <c r="D1171" s="17"/>
      <c r="E1171" s="1526" t="str">
        <f>Translations!$B$731</f>
        <v>Fuel input</v>
      </c>
      <c r="F1171" s="1526"/>
      <c r="G1171" s="1526"/>
      <c r="H1171" s="939" t="str">
        <f>EUconst_TJpa</f>
        <v>TJ / year</v>
      </c>
      <c r="I1171" s="436" t="str">
        <f>IF($M1151&lt;&gt;EUconst_Relevant,"",IF(INDEX('G_Fall-back'!I:I,MATCH($P1171,'G_Fall-back'!$P:$P,0))="","",INDEX('G_Fall-back'!I:I,MATCH($P1171,'G_Fall-back'!$P:$P,0))))</f>
        <v/>
      </c>
      <c r="J1171" s="436" t="str">
        <f>IF($M1151&lt;&gt;EUconst_Relevant,"",IF(INDEX('G_Fall-back'!J:J,MATCH($P1171,'G_Fall-back'!$P:$P,0))="","",INDEX('G_Fall-back'!J:J,MATCH($P1171,'G_Fall-back'!$P:$P,0))))</f>
        <v/>
      </c>
      <c r="K1171" s="436" t="str">
        <f>IF($M1151&lt;&gt;EUconst_Relevant,"",IF(INDEX('G_Fall-back'!K:K,MATCH($P1171,'G_Fall-back'!$P:$P,0))="","",INDEX('G_Fall-back'!K:K,MATCH($P1171,'G_Fall-back'!$P:$P,0))))</f>
        <v/>
      </c>
      <c r="L1171" s="436" t="str">
        <f>IF($M1151&lt;&gt;EUconst_Relevant,"",IF(INDEX('G_Fall-back'!L:L,MATCH($P1171,'G_Fall-back'!$P:$P,0))="","",INDEX('G_Fall-back'!L:L,MATCH($P1171,'G_Fall-back'!$P:$P,0))))</f>
        <v/>
      </c>
      <c r="M1171" s="436" t="str">
        <f>IF($M1151&lt;&gt;EUconst_Relevant,"",IF(INDEX('G_Fall-back'!M:M,MATCH($P1171,'G_Fall-back'!$P:$P,0))="","",INDEX('G_Fall-back'!M:M,MATCH($P1171,'G_Fall-back'!$P:$P,0))))</f>
        <v/>
      </c>
      <c r="N1171" s="342"/>
      <c r="O1171" s="17"/>
      <c r="P1171" s="341" t="str">
        <f>EUconst_CNTR_FuelInput &amp; I1151</f>
        <v>FuelInput_District heating sub-installation</v>
      </c>
    </row>
    <row r="1172" spans="2:20" x14ac:dyDescent="0.25">
      <c r="B1172" s="17"/>
      <c r="C1172" s="17"/>
      <c r="D1172" s="17"/>
      <c r="E1172" s="1527" t="str">
        <f>Translations!$B$732</f>
        <v>Weighted emission factor</v>
      </c>
      <c r="F1172" s="1527"/>
      <c r="G1172" s="1527"/>
      <c r="H1172" s="343" t="str">
        <f>EUconst_tCO2pTJ</f>
        <v>t CO2 / TJ</v>
      </c>
      <c r="I1172" s="437" t="str">
        <f>IF($M1151&lt;&gt;EUconst_Relevant,"",IF(INDEX('G_Fall-back'!I:I,MATCH($P1172,'G_Fall-back'!$P:$P,0))="","",INDEX('G_Fall-back'!I:I,MATCH($P1172,'G_Fall-back'!$P:$P,0))))</f>
        <v/>
      </c>
      <c r="J1172" s="437" t="str">
        <f>IF($M1151&lt;&gt;EUconst_Relevant,"",IF(INDEX('G_Fall-back'!J:J,MATCH($P1172,'G_Fall-back'!$P:$P,0))="","",INDEX('G_Fall-back'!J:J,MATCH($P1172,'G_Fall-back'!$P:$P,0))))</f>
        <v/>
      </c>
      <c r="K1172" s="437" t="str">
        <f>IF($M1151&lt;&gt;EUconst_Relevant,"",IF(INDEX('G_Fall-back'!K:K,MATCH($P1172,'G_Fall-back'!$P:$P,0))="","",INDEX('G_Fall-back'!K:K,MATCH($P1172,'G_Fall-back'!$P:$P,0))))</f>
        <v/>
      </c>
      <c r="L1172" s="437" t="str">
        <f>IF($M1151&lt;&gt;EUconst_Relevant,"",IF(INDEX('G_Fall-back'!L:L,MATCH($P1172,'G_Fall-back'!$P:$P,0))="","",INDEX('G_Fall-back'!L:L,MATCH($P1172,'G_Fall-back'!$P:$P,0))))</f>
        <v/>
      </c>
      <c r="M1172" s="437" t="str">
        <f>IF($M1151&lt;&gt;EUconst_Relevant,"",IF(INDEX('G_Fall-back'!M:M,MATCH($P1172,'G_Fall-back'!$P:$P,0))="","",INDEX('G_Fall-back'!M:M,MATCH($P1172,'G_Fall-back'!$P:$P,0))))</f>
        <v/>
      </c>
      <c r="N1172" s="342"/>
      <c r="O1172" s="17"/>
      <c r="P1172" s="116" t="str">
        <f>EUconst_CNTR_FuelEF &amp; I1151</f>
        <v>FuelEF_District heating sub-installation</v>
      </c>
    </row>
    <row r="1173" spans="2:20" x14ac:dyDescent="0.25">
      <c r="B1173" s="17"/>
      <c r="C1173" s="17"/>
      <c r="D1173" s="17"/>
      <c r="E1173" s="1526" t="str">
        <f>Translations!$B$853</f>
        <v>Fuel input from waste gases</v>
      </c>
      <c r="F1173" s="1526"/>
      <c r="G1173" s="1526"/>
      <c r="H1173" s="939" t="str">
        <f>EUconst_TJpa</f>
        <v>TJ / year</v>
      </c>
      <c r="I1173" s="436" t="str">
        <f>IF($M1151&lt;&gt;EUconst_Relevant,"",IF(INDEX('G_Fall-back'!I:I,MATCH($P1173,'G_Fall-back'!$P:$P,0))="","",INDEX('G_Fall-back'!I:I,MATCH($P1173,'G_Fall-back'!$P:$P,0))))</f>
        <v/>
      </c>
      <c r="J1173" s="436" t="str">
        <f>IF($M1151&lt;&gt;EUconst_Relevant,"",IF(INDEX('G_Fall-back'!J:J,MATCH($P1173,'G_Fall-back'!$P:$P,0))="","",INDEX('G_Fall-back'!J:J,MATCH($P1173,'G_Fall-back'!$P:$P,0))))</f>
        <v/>
      </c>
      <c r="K1173" s="436" t="str">
        <f>IF($M1151&lt;&gt;EUconst_Relevant,"",IF(INDEX('G_Fall-back'!K:K,MATCH($P1173,'G_Fall-back'!$P:$P,0))="","",INDEX('G_Fall-back'!K:K,MATCH($P1173,'G_Fall-back'!$P:$P,0))))</f>
        <v/>
      </c>
      <c r="L1173" s="436" t="str">
        <f>IF($M1151&lt;&gt;EUconst_Relevant,"",IF(INDEX('G_Fall-back'!L:L,MATCH($P1173,'G_Fall-back'!$P:$P,0))="","",INDEX('G_Fall-back'!L:L,MATCH($P1173,'G_Fall-back'!$P:$P,0))))</f>
        <v/>
      </c>
      <c r="M1173" s="436" t="str">
        <f>IF($M1151&lt;&gt;EUconst_Relevant,"",IF(INDEX('G_Fall-back'!M:M,MATCH($P1173,'G_Fall-back'!$P:$P,0))="","",INDEX('G_Fall-back'!M:M,MATCH($P1173,'G_Fall-back'!$P:$P,0))))</f>
        <v/>
      </c>
      <c r="N1173" s="342"/>
      <c r="O1173" s="17"/>
      <c r="P1173" s="626" t="str">
        <f>EUconst_CNTR_WGConsumed &amp; I1151</f>
        <v>WasteGasCons_District heating sub-installation</v>
      </c>
    </row>
    <row r="1174" spans="2:20" ht="12.75" customHeight="1" x14ac:dyDescent="0.25">
      <c r="B1174" s="17"/>
      <c r="C1174" s="17"/>
      <c r="D1174" s="17"/>
      <c r="E1174" s="1527" t="str">
        <f>Translations!$B$732</f>
        <v>Weighted emission factor</v>
      </c>
      <c r="F1174" s="1527"/>
      <c r="G1174" s="1527"/>
      <c r="H1174" s="343" t="str">
        <f>EUconst_tCO2pTJ</f>
        <v>t CO2 / TJ</v>
      </c>
      <c r="I1174" s="437" t="str">
        <f>IF($M1151&lt;&gt;EUconst_Relevant,"",IF(INDEX('G_Fall-back'!I:I,MATCH($P1174,'G_Fall-back'!$P:$P,0))="","",INDEX('G_Fall-back'!I:I,MATCH($P1174,'G_Fall-back'!$P:$P,0))))</f>
        <v/>
      </c>
      <c r="J1174" s="437" t="str">
        <f>IF($M1151&lt;&gt;EUconst_Relevant,"",IF(INDEX('G_Fall-back'!J:J,MATCH($P1174,'G_Fall-back'!$P:$P,0))="","",INDEX('G_Fall-back'!J:J,MATCH($P1174,'G_Fall-back'!$P:$P,0))))</f>
        <v/>
      </c>
      <c r="K1174" s="437" t="str">
        <f>IF($M1151&lt;&gt;EUconst_Relevant,"",IF(INDEX('G_Fall-back'!K:K,MATCH($P1174,'G_Fall-back'!$P:$P,0))="","",INDEX('G_Fall-back'!K:K,MATCH($P1174,'G_Fall-back'!$P:$P,0))))</f>
        <v/>
      </c>
      <c r="L1174" s="437" t="str">
        <f>IF($M1151&lt;&gt;EUconst_Relevant,"",IF(INDEX('G_Fall-back'!L:L,MATCH($P1174,'G_Fall-back'!$P:$P,0))="","",INDEX('G_Fall-back'!L:L,MATCH($P1174,'G_Fall-back'!$P:$P,0))))</f>
        <v/>
      </c>
      <c r="M1174" s="437" t="str">
        <f>IF($M1151&lt;&gt;EUconst_Relevant,"",IF(INDEX('G_Fall-back'!M:M,MATCH($P1174,'G_Fall-back'!$P:$P,0))="","",INDEX('G_Fall-back'!M:M,MATCH($P1174,'G_Fall-back'!$P:$P,0))))</f>
        <v/>
      </c>
      <c r="N1174" s="342"/>
      <c r="O1174" s="17"/>
      <c r="P1174" s="116" t="str">
        <f>EUconst_CNTR_WGConsumedEF &amp; I1151</f>
        <v>WasteGasConsEF_District heating sub-installation</v>
      </c>
    </row>
    <row r="1175" spans="2:20" ht="5.0999999999999996" customHeight="1" x14ac:dyDescent="0.25">
      <c r="B1175" s="17"/>
      <c r="C1175" s="17"/>
      <c r="D1175" s="17"/>
      <c r="E1175" s="193"/>
      <c r="F1175" s="342"/>
      <c r="G1175" s="342"/>
      <c r="H1175" s="342"/>
      <c r="I1175" s="438"/>
      <c r="J1175" s="438"/>
      <c r="K1175" s="438"/>
      <c r="L1175" s="438"/>
      <c r="M1175" s="438"/>
      <c r="N1175" s="342"/>
      <c r="O1175" s="17"/>
    </row>
    <row r="1176" spans="2:20" x14ac:dyDescent="0.25">
      <c r="B1176" s="17"/>
      <c r="C1176" s="17"/>
      <c r="D1176" s="17"/>
      <c r="E1176" s="1528" t="str">
        <f>Translations!$B$687</f>
        <v>Direct emissions</v>
      </c>
      <c r="F1176" s="1528"/>
      <c r="G1176" s="1528"/>
      <c r="H1176" s="154" t="str">
        <f>EUconst_tCO2pa</f>
        <v>t CO2 / year</v>
      </c>
      <c r="I1176" s="439" t="str">
        <f>IF($M1151&lt;&gt;EUconst_Relevant,"",IF(INDEX('G_Fall-back'!I:I,MATCH($P1176,'G_Fall-back'!$P:$P,0))="","",INDEX('G_Fall-back'!I:I,MATCH($P1176,'G_Fall-back'!$P:$P,0))))</f>
        <v/>
      </c>
      <c r="J1176" s="439" t="str">
        <f>IF($M1151&lt;&gt;EUconst_Relevant,"",IF(INDEX('G_Fall-back'!J:J,MATCH($P1176,'G_Fall-back'!$P:$P,0))="","",INDEX('G_Fall-back'!J:J,MATCH($P1176,'G_Fall-back'!$P:$P,0))))</f>
        <v/>
      </c>
      <c r="K1176" s="439" t="str">
        <f>IF($M1151&lt;&gt;EUconst_Relevant,"",IF(INDEX('G_Fall-back'!K:K,MATCH($P1176,'G_Fall-back'!$P:$P,0))="","",INDEX('G_Fall-back'!K:K,MATCH($P1176,'G_Fall-back'!$P:$P,0))))</f>
        <v/>
      </c>
      <c r="L1176" s="439" t="str">
        <f>IF($M1151&lt;&gt;EUconst_Relevant,"",IF(INDEX('G_Fall-back'!L:L,MATCH($P1176,'G_Fall-back'!$P:$P,0))="","",INDEX('G_Fall-back'!L:L,MATCH($P1176,'G_Fall-back'!$P:$P,0))))</f>
        <v/>
      </c>
      <c r="M1176" s="439" t="str">
        <f>IF($M1151&lt;&gt;EUconst_Relevant,"",IF(INDEX('G_Fall-back'!M:M,MATCH($P1176,'G_Fall-back'!$P:$P,0))="","",INDEX('G_Fall-back'!M:M,MATCH($P1176,'G_Fall-back'!$P:$P,0))))</f>
        <v/>
      </c>
      <c r="N1176" s="342"/>
      <c r="O1176" s="17"/>
      <c r="P1176" s="116" t="str">
        <f>EUconst_CNTR_Emissions &amp; I1151</f>
        <v>DirEmissions_District heating sub-installation</v>
      </c>
    </row>
    <row r="1177" spans="2:20" ht="5.0999999999999996" customHeight="1" x14ac:dyDescent="0.25">
      <c r="B1177" s="17"/>
      <c r="C1177" s="17"/>
      <c r="D1177" s="17"/>
      <c r="E1177" s="193"/>
      <c r="F1177" s="193"/>
      <c r="G1177" s="193"/>
      <c r="H1177" s="193"/>
      <c r="I1177" s="438"/>
      <c r="J1177" s="438"/>
      <c r="K1177" s="438"/>
      <c r="L1177" s="438"/>
      <c r="M1177" s="438"/>
      <c r="N1177" s="342"/>
      <c r="O1177" s="17"/>
    </row>
    <row r="1178" spans="2:20" x14ac:dyDescent="0.25">
      <c r="B1178" s="17"/>
      <c r="C1178" s="17"/>
      <c r="D1178" s="17"/>
      <c r="E1178" s="1526" t="str">
        <f>Translations!$B$1241</f>
        <v>Net heat imported (other)</v>
      </c>
      <c r="F1178" s="1526"/>
      <c r="G1178" s="1526"/>
      <c r="H1178" s="939" t="str">
        <f>EUconst_TJpa</f>
        <v>TJ / year</v>
      </c>
      <c r="I1178" s="436" t="str">
        <f>IF($M1151&lt;&gt;EUconst_Relevant,"",IF(INDEX('G_Fall-back'!I:I,MATCH($P1178,'G_Fall-back'!$P:$P,0))="","",INDEX('G_Fall-back'!I:I,MATCH($P1178,'G_Fall-back'!$P:$P,0))))</f>
        <v/>
      </c>
      <c r="J1178" s="436" t="str">
        <f>IF($M1151&lt;&gt;EUconst_Relevant,"",IF(INDEX('G_Fall-back'!J:J,MATCH($P1178,'G_Fall-back'!$P:$P,0))="","",INDEX('G_Fall-back'!J:J,MATCH($P1178,'G_Fall-back'!$P:$P,0))))</f>
        <v/>
      </c>
      <c r="K1178" s="436" t="str">
        <f>IF($M1151&lt;&gt;EUconst_Relevant,"",IF(INDEX('G_Fall-back'!K:K,MATCH($P1178,'G_Fall-back'!$P:$P,0))="","",INDEX('G_Fall-back'!K:K,MATCH($P1178,'G_Fall-back'!$P:$P,0))))</f>
        <v/>
      </c>
      <c r="L1178" s="436" t="str">
        <f>IF($M1151&lt;&gt;EUconst_Relevant,"",IF(INDEX('G_Fall-back'!L:L,MATCH($P1178,'G_Fall-back'!$P:$P,0))="","",INDEX('G_Fall-back'!L:L,MATCH($P1178,'G_Fall-back'!$P:$P,0))))</f>
        <v/>
      </c>
      <c r="M1178" s="436" t="str">
        <f>IF($M1151&lt;&gt;EUconst_Relevant,"",IF(INDEX('G_Fall-back'!M:M,MATCH($P1178,'G_Fall-back'!$P:$P,0))="","",INDEX('G_Fall-back'!M:M,MATCH($P1178,'G_Fall-back'!$P:$P,0))))</f>
        <v/>
      </c>
      <c r="N1178" s="342"/>
      <c r="O1178" s="17"/>
      <c r="P1178" s="116" t="str">
        <f>EUconst_CNTR_HeatImport &amp; I1151</f>
        <v>HeatIm_District heating sub-installation</v>
      </c>
    </row>
    <row r="1179" spans="2:20" x14ac:dyDescent="0.25">
      <c r="B1179" s="17"/>
      <c r="C1179" s="17"/>
      <c r="D1179" s="17"/>
      <c r="E1179" s="1527" t="str">
        <f>Translations!$B$765</f>
        <v>Specific EF (imported heat)</v>
      </c>
      <c r="F1179" s="1527"/>
      <c r="G1179" s="1527"/>
      <c r="H1179" s="343" t="str">
        <f>EUconst_tCO2pTJ</f>
        <v>t CO2 / TJ</v>
      </c>
      <c r="I1179" s="437" t="str">
        <f>IF($M1151&lt;&gt;EUconst_Relevant,"",IF(INDEX('G_Fall-back'!I:I,MATCH($P1179,'G_Fall-back'!$P:$P,0))="","",INDEX('G_Fall-back'!I:I,MATCH($P1179,'G_Fall-back'!$P:$P,0))))</f>
        <v/>
      </c>
      <c r="J1179" s="437" t="str">
        <f>IF($M1151&lt;&gt;EUconst_Relevant,"",IF(INDEX('G_Fall-back'!J:J,MATCH($P1179,'G_Fall-back'!$P:$P,0))="","",INDEX('G_Fall-back'!J:J,MATCH($P1179,'G_Fall-back'!$P:$P,0))))</f>
        <v/>
      </c>
      <c r="K1179" s="437" t="str">
        <f>IF($M1151&lt;&gt;EUconst_Relevant,"",IF(INDEX('G_Fall-back'!K:K,MATCH($P1179,'G_Fall-back'!$P:$P,0))="","",INDEX('G_Fall-back'!K:K,MATCH($P1179,'G_Fall-back'!$P:$P,0))))</f>
        <v/>
      </c>
      <c r="L1179" s="437" t="str">
        <f>IF($M1151&lt;&gt;EUconst_Relevant,"",IF(INDEX('G_Fall-back'!L:L,MATCH($P1179,'G_Fall-back'!$P:$P,0))="","",INDEX('G_Fall-back'!L:L,MATCH($P1179,'G_Fall-back'!$P:$P,0))))</f>
        <v/>
      </c>
      <c r="M1179" s="437" t="str">
        <f>IF($M1151&lt;&gt;EUconst_Relevant,"",IF(INDEX('G_Fall-back'!M:M,MATCH($P1179,'G_Fall-back'!$P:$P,0))="","",INDEX('G_Fall-back'!M:M,MATCH($P1179,'G_Fall-back'!$P:$P,0))))</f>
        <v/>
      </c>
      <c r="N1179" s="342"/>
      <c r="O1179" s="17"/>
      <c r="P1179" s="116" t="str">
        <f>EUconst_CNTR_HeatImportEF &amp; I1151</f>
        <v>HeatImEF_District heating sub-installation</v>
      </c>
    </row>
    <row r="1180" spans="2:20" x14ac:dyDescent="0.25">
      <c r="B1180" s="17"/>
      <c r="C1180" s="17"/>
      <c r="D1180" s="17"/>
      <c r="E1180" s="1526" t="str">
        <f>Translations!$B$1242</f>
        <v>Net heat imported (product BM)</v>
      </c>
      <c r="F1180" s="1526"/>
      <c r="G1180" s="1526"/>
      <c r="H1180" s="939" t="str">
        <f>EUconst_TJpa</f>
        <v>TJ / year</v>
      </c>
      <c r="I1180" s="436" t="str">
        <f>IF($M1151&lt;&gt;EUconst_Relevant,"",IF(INDEX('G_Fall-back'!I:I,MATCH($P1180,'G_Fall-back'!$P:$P,0))="","",INDEX('G_Fall-back'!I:I,MATCH($P1180,'G_Fall-back'!$P:$P,0))))</f>
        <v/>
      </c>
      <c r="J1180" s="436" t="str">
        <f>IF($M1151&lt;&gt;EUconst_Relevant,"",IF(INDEX('G_Fall-back'!J:J,MATCH($P1180,'G_Fall-back'!$P:$P,0))="","",INDEX('G_Fall-back'!J:J,MATCH($P1180,'G_Fall-back'!$P:$P,0))))</f>
        <v/>
      </c>
      <c r="K1180" s="436" t="str">
        <f>IF($M1151&lt;&gt;EUconst_Relevant,"",IF(INDEX('G_Fall-back'!K:K,MATCH($P1180,'G_Fall-back'!$P:$P,0))="","",INDEX('G_Fall-back'!K:K,MATCH($P1180,'G_Fall-back'!$P:$P,0))))</f>
        <v/>
      </c>
      <c r="L1180" s="436" t="str">
        <f>IF($M1151&lt;&gt;EUconst_Relevant,"",IF(INDEX('G_Fall-back'!L:L,MATCH($P1180,'G_Fall-back'!$P:$P,0))="","",INDEX('G_Fall-back'!L:L,MATCH($P1180,'G_Fall-back'!$P:$P,0))))</f>
        <v/>
      </c>
      <c r="M1180" s="436" t="str">
        <f>IF($M1151&lt;&gt;EUconst_Relevant,"",IF(INDEX('G_Fall-back'!M:M,MATCH($P1180,'G_Fall-back'!$P:$P,0))="","",INDEX('G_Fall-back'!M:M,MATCH($P1180,'G_Fall-back'!$P:$P,0))))</f>
        <v/>
      </c>
      <c r="N1180" s="342"/>
      <c r="O1180" s="17"/>
      <c r="P1180" s="116" t="str">
        <f>EUconst_CNTR_HeatImportProduct &amp; I1151</f>
        <v>HeatImProd_District heating sub-installation</v>
      </c>
    </row>
    <row r="1181" spans="2:20" x14ac:dyDescent="0.25">
      <c r="B1181" s="17"/>
      <c r="C1181" s="17"/>
      <c r="D1181" s="17"/>
      <c r="E1181" s="1527" t="str">
        <f>Translations!$B$868</f>
        <v>Specific EF (from product BM)</v>
      </c>
      <c r="F1181" s="1527"/>
      <c r="G1181" s="1527"/>
      <c r="H1181" s="343" t="str">
        <f>EUconst_tCO2pTJ</f>
        <v>t CO2 / TJ</v>
      </c>
      <c r="I1181" s="437" t="str">
        <f>IF($M1151&lt;&gt;EUconst_Relevant,"",IF(INDEX('G_Fall-back'!I:I,MATCH($P1181,'G_Fall-back'!$P:$P,0))="","",INDEX('G_Fall-back'!I:I,MATCH($P1181,'G_Fall-back'!$P:$P,0))))</f>
        <v/>
      </c>
      <c r="J1181" s="437" t="str">
        <f>IF($M1151&lt;&gt;EUconst_Relevant,"",IF(INDEX('G_Fall-back'!J:J,MATCH($P1181,'G_Fall-back'!$P:$P,0))="","",INDEX('G_Fall-back'!J:J,MATCH($P1181,'G_Fall-back'!$P:$P,0))))</f>
        <v/>
      </c>
      <c r="K1181" s="437" t="str">
        <f>IF($M1151&lt;&gt;EUconst_Relevant,"",IF(INDEX('G_Fall-back'!K:K,MATCH($P1181,'G_Fall-back'!$P:$P,0))="","",INDEX('G_Fall-back'!K:K,MATCH($P1181,'G_Fall-back'!$P:$P,0))))</f>
        <v/>
      </c>
      <c r="L1181" s="437" t="str">
        <f>IF($M1151&lt;&gt;EUconst_Relevant,"",IF(INDEX('G_Fall-back'!L:L,MATCH($P1181,'G_Fall-back'!$P:$P,0))="","",INDEX('G_Fall-back'!L:L,MATCH($P1181,'G_Fall-back'!$P:$P,0))))</f>
        <v/>
      </c>
      <c r="M1181" s="437" t="str">
        <f>IF($M1151&lt;&gt;EUconst_Relevant,"",IF(INDEX('G_Fall-back'!M:M,MATCH($P1181,'G_Fall-back'!$P:$P,0))="","",INDEX('G_Fall-back'!M:M,MATCH($P1181,'G_Fall-back'!$P:$P,0))))</f>
        <v/>
      </c>
      <c r="N1181" s="342"/>
      <c r="O1181" s="17"/>
      <c r="P1181" s="116" t="str">
        <f>EUconst_CNTR_HeatImportProductEF &amp; I1151</f>
        <v>HeatImProdEF_District heating sub-installation</v>
      </c>
    </row>
    <row r="1182" spans="2:20" x14ac:dyDescent="0.25">
      <c r="B1182" s="17"/>
      <c r="C1182" s="17"/>
      <c r="D1182" s="17"/>
      <c r="E1182" s="1526" t="str">
        <f>Translations!$B$1243</f>
        <v>Net heat imported (pulp)</v>
      </c>
      <c r="F1182" s="1526"/>
      <c r="G1182" s="1526"/>
      <c r="H1182" s="939" t="str">
        <f>EUconst_TJpa</f>
        <v>TJ / year</v>
      </c>
      <c r="I1182" s="436" t="str">
        <f>IF($M1151&lt;&gt;EUconst_Relevant,"",IF(INDEX('G_Fall-back'!I:I,MATCH($P1182,'G_Fall-back'!$P:$P,0))="","",INDEX('G_Fall-back'!I:I,MATCH($P1182,'G_Fall-back'!$P:$P,0))))</f>
        <v/>
      </c>
      <c r="J1182" s="436" t="str">
        <f>IF($M1151&lt;&gt;EUconst_Relevant,"",IF(INDEX('G_Fall-back'!J:J,MATCH($P1182,'G_Fall-back'!$P:$P,0))="","",INDEX('G_Fall-back'!J:J,MATCH($P1182,'G_Fall-back'!$P:$P,0))))</f>
        <v/>
      </c>
      <c r="K1182" s="436" t="str">
        <f>IF($M1151&lt;&gt;EUconst_Relevant,"",IF(INDEX('G_Fall-back'!K:K,MATCH($P1182,'G_Fall-back'!$P:$P,0))="","",INDEX('G_Fall-back'!K:K,MATCH($P1182,'G_Fall-back'!$P:$P,0))))</f>
        <v/>
      </c>
      <c r="L1182" s="436" t="str">
        <f>IF($M1151&lt;&gt;EUconst_Relevant,"",IF(INDEX('G_Fall-back'!L:L,MATCH($P1182,'G_Fall-back'!$P:$P,0))="","",INDEX('G_Fall-back'!L:L,MATCH($P1182,'G_Fall-back'!$P:$P,0))))</f>
        <v/>
      </c>
      <c r="M1182" s="436" t="str">
        <f>IF($M1151&lt;&gt;EUconst_Relevant,"",IF(INDEX('G_Fall-back'!M:M,MATCH($P1182,'G_Fall-back'!$P:$P,0))="","",INDEX('G_Fall-back'!M:M,MATCH($P1182,'G_Fall-back'!$P:$P,0))))</f>
        <v/>
      </c>
      <c r="N1182" s="342"/>
      <c r="O1182" s="17"/>
      <c r="P1182" s="116" t="str">
        <f>EUconst_CNTR_HeatImportPulp &amp; I1151</f>
        <v>HeatImPulp_District heating sub-installation</v>
      </c>
    </row>
    <row r="1183" spans="2:20" x14ac:dyDescent="0.25">
      <c r="B1183" s="17"/>
      <c r="C1183" s="17"/>
      <c r="D1183" s="17"/>
      <c r="E1183" s="1527" t="str">
        <f>Translations!$B$870</f>
        <v>Specific EF (from pulp)</v>
      </c>
      <c r="F1183" s="1527"/>
      <c r="G1183" s="1527"/>
      <c r="H1183" s="343" t="str">
        <f>EUconst_tCO2pTJ</f>
        <v>t CO2 / TJ</v>
      </c>
      <c r="I1183" s="437" t="str">
        <f>IF($M1151&lt;&gt;EUconst_Relevant,"",IF(INDEX('G_Fall-back'!I:I,MATCH($P1183,'G_Fall-back'!$P:$P,0))="","",INDEX('G_Fall-back'!I:I,MATCH($P1183,'G_Fall-back'!$P:$P,0))))</f>
        <v/>
      </c>
      <c r="J1183" s="437" t="str">
        <f>IF($M1151&lt;&gt;EUconst_Relevant,"",IF(INDEX('G_Fall-back'!J:J,MATCH($P1183,'G_Fall-back'!$P:$P,0))="","",INDEX('G_Fall-back'!J:J,MATCH($P1183,'G_Fall-back'!$P:$P,0))))</f>
        <v/>
      </c>
      <c r="K1183" s="437" t="str">
        <f>IF($M1151&lt;&gt;EUconst_Relevant,"",IF(INDEX('G_Fall-back'!K:K,MATCH($P1183,'G_Fall-back'!$P:$P,0))="","",INDEX('G_Fall-back'!K:K,MATCH($P1183,'G_Fall-back'!$P:$P,0))))</f>
        <v/>
      </c>
      <c r="L1183" s="437" t="str">
        <f>IF($M1151&lt;&gt;EUconst_Relevant,"",IF(INDEX('G_Fall-back'!L:L,MATCH($P1183,'G_Fall-back'!$P:$P,0))="","",INDEX('G_Fall-back'!L:L,MATCH($P1183,'G_Fall-back'!$P:$P,0))))</f>
        <v/>
      </c>
      <c r="M1183" s="437" t="str">
        <f>IF($M1151&lt;&gt;EUconst_Relevant,"",IF(INDEX('G_Fall-back'!M:M,MATCH($P1183,'G_Fall-back'!$P:$P,0))="","",INDEX('G_Fall-back'!M:M,MATCH($P1183,'G_Fall-back'!$P:$P,0))))</f>
        <v/>
      </c>
      <c r="N1183" s="342"/>
      <c r="O1183" s="17"/>
      <c r="P1183" s="116" t="str">
        <f>EUconst_CNTR_HeatImportPulpEF &amp; I1151</f>
        <v>HeatImPulpEF_District heating sub-installation</v>
      </c>
    </row>
    <row r="1184" spans="2:20" x14ac:dyDescent="0.25">
      <c r="B1184" s="17"/>
      <c r="C1184" s="17"/>
      <c r="D1184" s="17"/>
      <c r="E1184" s="1526" t="str">
        <f>Translations!$B$1244</f>
        <v>Net heat imported (fuelBM)</v>
      </c>
      <c r="F1184" s="1526"/>
      <c r="G1184" s="1526"/>
      <c r="H1184" s="939" t="str">
        <f>EUconst_TJpa</f>
        <v>TJ / year</v>
      </c>
      <c r="I1184" s="436" t="str">
        <f>IF($M1151&lt;&gt;EUconst_Relevant,"",IF(INDEX('G_Fall-back'!I:I,MATCH($P1184,'G_Fall-back'!$P:$P,0))="","",INDEX('G_Fall-back'!I:I,MATCH($P1184,'G_Fall-back'!$P:$P,0))))</f>
        <v/>
      </c>
      <c r="J1184" s="436" t="str">
        <f>IF($M1151&lt;&gt;EUconst_Relevant,"",IF(INDEX('G_Fall-back'!J:J,MATCH($P1184,'G_Fall-back'!$P:$P,0))="","",INDEX('G_Fall-back'!J:J,MATCH($P1184,'G_Fall-back'!$P:$P,0))))</f>
        <v/>
      </c>
      <c r="K1184" s="436" t="str">
        <f>IF($M1151&lt;&gt;EUconst_Relevant,"",IF(INDEX('G_Fall-back'!K:K,MATCH($P1184,'G_Fall-back'!$P:$P,0))="","",INDEX('G_Fall-back'!K:K,MATCH($P1184,'G_Fall-back'!$P:$P,0))))</f>
        <v/>
      </c>
      <c r="L1184" s="436" t="str">
        <f>IF($M1151&lt;&gt;EUconst_Relevant,"",IF(INDEX('G_Fall-back'!L:L,MATCH($P1184,'G_Fall-back'!$P:$P,0))="","",INDEX('G_Fall-back'!L:L,MATCH($P1184,'G_Fall-back'!$P:$P,0))))</f>
        <v/>
      </c>
      <c r="M1184" s="436" t="str">
        <f>IF($M1151&lt;&gt;EUconst_Relevant,"",IF(INDEX('G_Fall-back'!M:M,MATCH($P1184,'G_Fall-back'!$P:$P,0))="","",INDEX('G_Fall-back'!M:M,MATCH($P1184,'G_Fall-back'!$P:$P,0))))</f>
        <v/>
      </c>
      <c r="N1184" s="342"/>
      <c r="O1184" s="17"/>
      <c r="P1184" s="116" t="str">
        <f>EUconst_CNTR_HeatImportFuel &amp; I1151</f>
        <v>HeatImFuel_District heating sub-installation</v>
      </c>
    </row>
    <row r="1185" spans="2:20" x14ac:dyDescent="0.25">
      <c r="B1185" s="17"/>
      <c r="C1185" s="17"/>
      <c r="D1185" s="17"/>
      <c r="E1185" s="1527" t="str">
        <f>Translations!$B$872</f>
        <v>Specific EF (from fuelBM)</v>
      </c>
      <c r="F1185" s="1527"/>
      <c r="G1185" s="1527"/>
      <c r="H1185" s="343" t="str">
        <f>EUconst_tCO2pTJ</f>
        <v>t CO2 / TJ</v>
      </c>
      <c r="I1185" s="437" t="str">
        <f>IF($M1151&lt;&gt;EUconst_Relevant,"",IF(INDEX('G_Fall-back'!I:I,MATCH($P1185,'G_Fall-back'!$P:$P,0))="","",INDEX('G_Fall-back'!I:I,MATCH($P1185,'G_Fall-back'!$P:$P,0))))</f>
        <v/>
      </c>
      <c r="J1185" s="437" t="str">
        <f>IF($M1151&lt;&gt;EUconst_Relevant,"",IF(INDEX('G_Fall-back'!J:J,MATCH($P1185,'G_Fall-back'!$P:$P,0))="","",INDEX('G_Fall-back'!J:J,MATCH($P1185,'G_Fall-back'!$P:$P,0))))</f>
        <v/>
      </c>
      <c r="K1185" s="437" t="str">
        <f>IF($M1151&lt;&gt;EUconst_Relevant,"",IF(INDEX('G_Fall-back'!K:K,MATCH($P1185,'G_Fall-back'!$P:$P,0))="","",INDEX('G_Fall-back'!K:K,MATCH($P1185,'G_Fall-back'!$P:$P,0))))</f>
        <v/>
      </c>
      <c r="L1185" s="437" t="str">
        <f>IF($M1151&lt;&gt;EUconst_Relevant,"",IF(INDEX('G_Fall-back'!L:L,MATCH($P1185,'G_Fall-back'!$P:$P,0))="","",INDEX('G_Fall-back'!L:L,MATCH($P1185,'G_Fall-back'!$P:$P,0))))</f>
        <v/>
      </c>
      <c r="M1185" s="437" t="str">
        <f>IF($M1151&lt;&gt;EUconst_Relevant,"",IF(INDEX('G_Fall-back'!M:M,MATCH($P1185,'G_Fall-back'!$P:$P,0))="","",INDEX('G_Fall-back'!M:M,MATCH($P1185,'G_Fall-back'!$P:$P,0))))</f>
        <v/>
      </c>
      <c r="N1185" s="342"/>
      <c r="O1185" s="17"/>
      <c r="P1185" s="116" t="str">
        <f>EUconst_CNTR_HeatImportFuelEF &amp; I1151</f>
        <v>HeatImFuelEF_District heating sub-installation</v>
      </c>
    </row>
    <row r="1186" spans="2:20" x14ac:dyDescent="0.25">
      <c r="B1186" s="17"/>
      <c r="C1186" s="17"/>
      <c r="D1186" s="17"/>
      <c r="E1186" s="1526" t="str">
        <f>Translations!$B$1245</f>
        <v>Net heat imported (waste gas)</v>
      </c>
      <c r="F1186" s="1526"/>
      <c r="G1186" s="1526"/>
      <c r="H1186" s="939" t="str">
        <f>EUconst_TJpa</f>
        <v>TJ / year</v>
      </c>
      <c r="I1186" s="436" t="str">
        <f>IF($M1151&lt;&gt;EUconst_Relevant,"",IF(INDEX('G_Fall-back'!I:I,MATCH($P1186,'G_Fall-back'!$P:$P,0))="","",INDEX('G_Fall-back'!I:I,MATCH($P1186,'G_Fall-back'!$P:$P,0))))</f>
        <v/>
      </c>
      <c r="J1186" s="436" t="str">
        <f>IF($M1151&lt;&gt;EUconst_Relevant,"",IF(INDEX('G_Fall-back'!J:J,MATCH($P1186,'G_Fall-back'!$P:$P,0))="","",INDEX('G_Fall-back'!J:J,MATCH($P1186,'G_Fall-back'!$P:$P,0))))</f>
        <v/>
      </c>
      <c r="K1186" s="436" t="str">
        <f>IF($M1151&lt;&gt;EUconst_Relevant,"",IF(INDEX('G_Fall-back'!K:K,MATCH($P1186,'G_Fall-back'!$P:$P,0))="","",INDEX('G_Fall-back'!K:K,MATCH($P1186,'G_Fall-back'!$P:$P,0))))</f>
        <v/>
      </c>
      <c r="L1186" s="436" t="str">
        <f>IF($M1151&lt;&gt;EUconst_Relevant,"",IF(INDEX('G_Fall-back'!L:L,MATCH($P1186,'G_Fall-back'!$P:$P,0))="","",INDEX('G_Fall-back'!L:L,MATCH($P1186,'G_Fall-back'!$P:$P,0))))</f>
        <v/>
      </c>
      <c r="M1186" s="436" t="str">
        <f>IF($M1151&lt;&gt;EUconst_Relevant,"",IF(INDEX('G_Fall-back'!M:M,MATCH($P1186,'G_Fall-back'!$P:$P,0))="","",INDEX('G_Fall-back'!M:M,MATCH($P1186,'G_Fall-back'!$P:$P,0))))</f>
        <v/>
      </c>
      <c r="N1186" s="342"/>
      <c r="O1186" s="17"/>
      <c r="P1186" s="116" t="str">
        <f>EUconst_CNTR_WGImport &amp; I1151</f>
        <v>WasteGasIm_District heating sub-installation</v>
      </c>
    </row>
    <row r="1187" spans="2:20" x14ac:dyDescent="0.25">
      <c r="B1187" s="17"/>
      <c r="C1187" s="17"/>
      <c r="D1187" s="17"/>
      <c r="E1187" s="1527" t="str">
        <f>Translations!$B$874</f>
        <v>Specific EF (from waste gas)</v>
      </c>
      <c r="F1187" s="1527"/>
      <c r="G1187" s="1527"/>
      <c r="H1187" s="343" t="str">
        <f>EUconst_tCO2pTJ</f>
        <v>t CO2 / TJ</v>
      </c>
      <c r="I1187" s="437" t="str">
        <f>IF($M1151&lt;&gt;EUconst_Relevant,"",IF(INDEX('G_Fall-back'!I:I,MATCH($P1187,'G_Fall-back'!$P:$P,0))="","",INDEX('G_Fall-back'!I:I,MATCH($P1187,'G_Fall-back'!$P:$P,0))))</f>
        <v/>
      </c>
      <c r="J1187" s="437" t="str">
        <f>IF($M1151&lt;&gt;EUconst_Relevant,"",IF(INDEX('G_Fall-back'!J:J,MATCH($P1187,'G_Fall-back'!$P:$P,0))="","",INDEX('G_Fall-back'!J:J,MATCH($P1187,'G_Fall-back'!$P:$P,0))))</f>
        <v/>
      </c>
      <c r="K1187" s="437" t="str">
        <f>IF($M1151&lt;&gt;EUconst_Relevant,"",IF(INDEX('G_Fall-back'!K:K,MATCH($P1187,'G_Fall-back'!$P:$P,0))="","",INDEX('G_Fall-back'!K:K,MATCH($P1187,'G_Fall-back'!$P:$P,0))))</f>
        <v/>
      </c>
      <c r="L1187" s="437" t="str">
        <f>IF($M1151&lt;&gt;EUconst_Relevant,"",IF(INDEX('G_Fall-back'!L:L,MATCH($P1187,'G_Fall-back'!$P:$P,0))="","",INDEX('G_Fall-back'!L:L,MATCH($P1187,'G_Fall-back'!$P:$P,0))))</f>
        <v/>
      </c>
      <c r="M1187" s="437" t="str">
        <f>IF($M1151&lt;&gt;EUconst_Relevant,"",IF(INDEX('G_Fall-back'!M:M,MATCH($P1187,'G_Fall-back'!$P:$P,0))="","",INDEX('G_Fall-back'!M:M,MATCH($P1187,'G_Fall-back'!$P:$P,0))))</f>
        <v/>
      </c>
      <c r="N1187" s="342"/>
      <c r="O1187" s="17"/>
      <c r="P1187" s="116" t="str">
        <f>EUconst_CNTR_WGImportEF &amp; I1151</f>
        <v>WasteGasImEF_District heating sub-installation</v>
      </c>
    </row>
    <row r="1188" spans="2:20" ht="12.75" customHeight="1" x14ac:dyDescent="0.25">
      <c r="B1188" s="17"/>
      <c r="C1188" s="17"/>
      <c r="D1188" s="17"/>
      <c r="E1188" s="342"/>
      <c r="F1188" s="342"/>
      <c r="G1188" s="342"/>
      <c r="H1188" s="342"/>
      <c r="I1188" s="342"/>
      <c r="J1188" s="342"/>
      <c r="K1188" s="342"/>
      <c r="L1188" s="342"/>
      <c r="M1188" s="342"/>
      <c r="N1188" s="342"/>
      <c r="O1188" s="17"/>
    </row>
    <row r="1189" spans="2:20" ht="13.8" thickBot="1" x14ac:dyDescent="0.3">
      <c r="B1189" s="17"/>
      <c r="C1189" s="17"/>
      <c r="D1189" s="17"/>
      <c r="E1189" s="17"/>
      <c r="F1189" s="17"/>
      <c r="G1189" s="17"/>
      <c r="H1189" s="276"/>
      <c r="I1189" s="276"/>
      <c r="J1189" s="276"/>
      <c r="K1189" s="276"/>
      <c r="L1189" s="276"/>
      <c r="M1189" s="17"/>
      <c r="N1189" s="17"/>
      <c r="O1189" s="17"/>
    </row>
    <row r="1190" spans="2:20" ht="12.75" customHeight="1" thickBot="1" x14ac:dyDescent="0.3">
      <c r="B1190" s="8"/>
      <c r="C1190" s="906"/>
      <c r="D1190" s="906"/>
      <c r="E1190" s="906"/>
      <c r="F1190" s="906"/>
      <c r="G1190" s="906"/>
      <c r="H1190" s="906"/>
      <c r="I1190" s="906"/>
      <c r="J1190" s="906"/>
      <c r="K1190" s="906"/>
      <c r="L1190" s="906"/>
      <c r="M1190" s="906"/>
      <c r="N1190" s="906"/>
      <c r="O1190" s="17"/>
      <c r="T1190" s="9" t="s">
        <v>644</v>
      </c>
    </row>
    <row r="1191" spans="2:20" ht="15" customHeight="1" thickBot="1" x14ac:dyDescent="0.3">
      <c r="B1191" s="17"/>
      <c r="C1191" s="19">
        <f>C1151+1</f>
        <v>14</v>
      </c>
      <c r="D1191" s="1234" t="str">
        <f>CONCATENATE(EUconst_FBSubinst," ",C1191-10, ":")</f>
        <v>Fall-Back sub-installation 4:</v>
      </c>
      <c r="E1191" s="1176"/>
      <c r="F1191" s="1176"/>
      <c r="G1191" s="1176"/>
      <c r="H1191" s="1260"/>
      <c r="I1191" s="1710" t="str">
        <f>INDEX(EUconst_FallBackListNames,$C1191-10)</f>
        <v>Fuel benchmark sub-installation, CL</v>
      </c>
      <c r="J1191" s="1711"/>
      <c r="K1191" s="1711"/>
      <c r="L1191" s="1712"/>
      <c r="M1191" s="1608" t="str">
        <f>IF(ISBLANK(INDEX(CNTR_FallBackSubInstRelevant,C1191-10)),"",IF(INDEX(CNTR_FallBackSubInstRelevant,C1191-10),EUconst_Relevant,EUconst_NotRelevant))</f>
        <v/>
      </c>
      <c r="N1191" s="1609"/>
      <c r="O1191" s="17"/>
      <c r="Q1191" s="427">
        <f>C1191</f>
        <v>14</v>
      </c>
      <c r="R1191" s="424" t="str">
        <f>I1191</f>
        <v>Fuel benchmark sub-installation, CL</v>
      </c>
      <c r="S1191" s="426" t="b">
        <f>H1194</f>
        <v>1</v>
      </c>
      <c r="T1191" s="425" t="str">
        <f>IF(M1203="","",IF(S1194=0,0,SUM(M1203)/S1194))</f>
        <v/>
      </c>
    </row>
    <row r="1192" spans="2:20" ht="5.0999999999999996" customHeight="1" thickBot="1" x14ac:dyDescent="0.3">
      <c r="B1192" s="17"/>
      <c r="C1192" s="17"/>
      <c r="D1192" s="17"/>
      <c r="E1192" s="17"/>
      <c r="F1192" s="17"/>
      <c r="G1192" s="17"/>
      <c r="H1192" s="17"/>
      <c r="I1192" s="17"/>
      <c r="J1192" s="17"/>
      <c r="K1192" s="17"/>
      <c r="L1192" s="17"/>
      <c r="M1192" s="17"/>
      <c r="N1192" s="17"/>
      <c r="O1192" s="17"/>
      <c r="T1192" s="9"/>
    </row>
    <row r="1193" spans="2:20" x14ac:dyDescent="0.25">
      <c r="B1193" s="17"/>
      <c r="C1193" s="17"/>
      <c r="D1193" s="17"/>
      <c r="E1193" s="17"/>
      <c r="F1193" s="17"/>
      <c r="G1193" s="17"/>
      <c r="H1193" s="253" t="str">
        <f>Translations!$B$1204</f>
        <v>CL-exposed</v>
      </c>
      <c r="I1193" s="254" t="str">
        <f>Translations!$B$1208</f>
        <v>Started</v>
      </c>
      <c r="J1193" s="254" t="str">
        <f>Translations!$B$1212</f>
        <v>15(7).3?</v>
      </c>
      <c r="K1193" s="254" t="str">
        <f>Translations!$B$1214</f>
        <v>15(7).3 HAL</v>
      </c>
      <c r="L1193" s="329" t="str">
        <f>Translations!$B$1206</f>
        <v>No. of BM</v>
      </c>
      <c r="M1193" s="468" t="str">
        <f>Translations!$B$1234</f>
        <v>BM value (min/max/actual)</v>
      </c>
      <c r="N1193" s="469"/>
      <c r="O1193" s="17"/>
      <c r="T1193" s="9"/>
    </row>
    <row r="1194" spans="2:20" x14ac:dyDescent="0.25">
      <c r="B1194" s="17"/>
      <c r="C1194" s="17"/>
      <c r="D1194" s="17"/>
      <c r="E1194" s="255" t="str">
        <f>I1191</f>
        <v>Fuel benchmark sub-installation, CL</v>
      </c>
      <c r="F1194" s="256"/>
      <c r="G1194" s="230"/>
      <c r="H1194" s="257" t="b">
        <f>INDEX(EUconst_FallBackListCLstatus,MATCH(I1191,EUconst_FallBackListNames,0))</f>
        <v>1</v>
      </c>
      <c r="I1194" s="355" t="str">
        <f>IF(M1191&lt;&gt;EUconst_Relevant,"",INDEX(CNTR_SubInstStartDate,MATCH(E1194,CNTR_SubInstListNames,0)))</f>
        <v/>
      </c>
      <c r="J1194" s="258" t="str">
        <f>IF(M1191&lt;&gt;EUconst_Relevant,"",INDEX(CNTR_SubInstLess1Year,MATCH(E1194,CNTR_SubInstListNames,0)))</f>
        <v/>
      </c>
      <c r="K1194" s="203" t="str">
        <f>IF($J1194=TRUE,SUMIF('G_Fall-back'!$P:$P,EUconst_CNTR_HAL&amp;$E1194,'G_Fall-back'!$N:$N),"")</f>
        <v/>
      </c>
      <c r="L1194" s="353">
        <f>C1191-10</f>
        <v>4</v>
      </c>
      <c r="M1194" s="474" t="str">
        <f>IF(M1191&lt;&gt;EUconst_Relevant,"",INDEX(EUconst_FallBackListBMvaluesMatrix,L1194,2))</f>
        <v/>
      </c>
      <c r="N1194" s="471" t="str">
        <f>EUconst_EUA &amp; "/" &amp; H1199</f>
        <v>UKA/TJ</v>
      </c>
      <c r="O1194" s="17"/>
      <c r="R1194" s="288" t="s">
        <v>639</v>
      </c>
      <c r="S1194" s="335">
        <f>IF(H1194,1,INDEX(EUconst_CLEFYears,1))</f>
        <v>1</v>
      </c>
    </row>
    <row r="1195" spans="2:20" x14ac:dyDescent="0.25">
      <c r="B1195" s="17"/>
      <c r="C1195" s="17"/>
      <c r="D1195" s="276"/>
      <c r="E1195" s="276"/>
      <c r="F1195" s="276"/>
      <c r="G1195" s="276"/>
      <c r="H1195" s="276"/>
      <c r="I1195" s="276"/>
      <c r="J1195" s="276"/>
      <c r="K1195" s="276"/>
      <c r="L1195" s="276"/>
      <c r="M1195" s="474" t="str">
        <f>IF(M1191&lt;&gt;EUconst_Relevant,"",INDEX(EUconst_FallBackListBMvaluesMatrix,L1194,1))</f>
        <v/>
      </c>
      <c r="N1195" s="471" t="str">
        <f>EUconst_EUA &amp; "/" &amp; H1199</f>
        <v>UKA/TJ</v>
      </c>
      <c r="O1195" s="17"/>
      <c r="R1195" s="288"/>
      <c r="S1195" s="368"/>
    </row>
    <row r="1196" spans="2:20" ht="13.8" thickBot="1" x14ac:dyDescent="0.3">
      <c r="B1196" s="17"/>
      <c r="C1196" s="17"/>
      <c r="D1196" s="276"/>
      <c r="E1196" s="276"/>
      <c r="F1196" s="276"/>
      <c r="G1196" s="276"/>
      <c r="H1196" s="276"/>
      <c r="I1196" s="276"/>
      <c r="J1196" s="276"/>
      <c r="K1196" s="276"/>
      <c r="L1196" s="276"/>
      <c r="M1196" s="475" t="str">
        <f>IF(M1191&lt;&gt;EUconst_Relevant,"",IF(EUconst_StatusOfDataCollection,INDEX(EUconst_FallBackListBMvaluesMatrix,L1194,3),""))</f>
        <v/>
      </c>
      <c r="N1196" s="473" t="str">
        <f>EUconst_EUA &amp; "/" &amp; H1199</f>
        <v>UKA/TJ</v>
      </c>
      <c r="O1196" s="17"/>
      <c r="R1196" s="288"/>
      <c r="S1196" s="368"/>
    </row>
    <row r="1197" spans="2:20" ht="5.0999999999999996" customHeight="1" x14ac:dyDescent="0.25">
      <c r="B1197" s="17"/>
      <c r="C1197" s="17"/>
      <c r="D1197" s="17"/>
      <c r="E1197" s="17"/>
      <c r="F1197" s="17"/>
      <c r="G1197" s="17"/>
      <c r="H1197" s="17"/>
      <c r="I1197" s="17"/>
      <c r="J1197" s="17"/>
      <c r="K1197" s="17"/>
      <c r="L1197" s="17"/>
      <c r="M1197" s="17"/>
      <c r="N1197" s="17"/>
      <c r="O1197" s="17"/>
    </row>
    <row r="1198" spans="2:20" x14ac:dyDescent="0.25">
      <c r="B1198" s="17"/>
      <c r="C1198" s="17"/>
      <c r="D1198" s="17"/>
      <c r="E1198" s="78"/>
      <c r="F1198" s="78"/>
      <c r="G1198" s="259"/>
      <c r="H1198" s="253" t="str">
        <f>EUconst_Unit</f>
        <v>Unit</v>
      </c>
      <c r="I1198" s="149">
        <f>I$1397</f>
        <v>2019</v>
      </c>
      <c r="J1198" s="149">
        <f>J$1397</f>
        <v>2020</v>
      </c>
      <c r="K1198" s="149">
        <f>K$1397</f>
        <v>2021</v>
      </c>
      <c r="L1198" s="149">
        <f>L$1397</f>
        <v>2022</v>
      </c>
      <c r="M1198" s="149">
        <f>M$1397</f>
        <v>2023</v>
      </c>
      <c r="N1198" s="17"/>
      <c r="O1198" s="17"/>
      <c r="P1198" s="63" t="s">
        <v>397</v>
      </c>
    </row>
    <row r="1199" spans="2:20" x14ac:dyDescent="0.25">
      <c r="B1199" s="17"/>
      <c r="C1199" s="17"/>
      <c r="D1199" s="17"/>
      <c r="E1199" s="260" t="str">
        <f>Translations!$B$1236</f>
        <v>HAL (Historic activity level) reported</v>
      </c>
      <c r="F1199" s="261"/>
      <c r="G1199" s="262"/>
      <c r="H1199" s="257" t="str">
        <f>INDEX(EUconst_FallBackListUnits,L1194)</f>
        <v>TJ</v>
      </c>
      <c r="I1199" s="203" t="str">
        <f>IF($M1191&lt;&gt;EUconst_Relevant,"",SUMIF('G_Fall-back'!$P:$P,$P1200,'G_Fall-back'!I:I))</f>
        <v/>
      </c>
      <c r="J1199" s="203" t="str">
        <f>IF($M1191&lt;&gt;EUconst_Relevant,"",SUMIF('G_Fall-back'!$P:$P,$P1200,'G_Fall-back'!J:J))</f>
        <v/>
      </c>
      <c r="K1199" s="203" t="str">
        <f>IF($M1191&lt;&gt;EUconst_Relevant,"",SUMIF('G_Fall-back'!$P:$P,$P1200,'G_Fall-back'!K:K))</f>
        <v/>
      </c>
      <c r="L1199" s="203" t="str">
        <f>IF($M1191&lt;&gt;EUconst_Relevant,"",SUMIF('G_Fall-back'!$P:$P,$P1200,'G_Fall-back'!L:L))</f>
        <v/>
      </c>
      <c r="M1199" s="203" t="str">
        <f>IF($M1191&lt;&gt;EUconst_Relevant,"",SUMIF('G_Fall-back'!$P:$P,$P1200,'G_Fall-back'!M:M))</f>
        <v/>
      </c>
      <c r="N1199" s="254" t="str">
        <f>Translations!$B$1224</f>
        <v>Average</v>
      </c>
      <c r="O1199" s="17"/>
      <c r="P1199" s="63" t="str">
        <f>EUconst_CNTR_HAL&amp;I1191</f>
        <v>HAL_Fuel benchmark sub-installation, CL</v>
      </c>
      <c r="T1199" s="9"/>
    </row>
    <row r="1200" spans="2:20" x14ac:dyDescent="0.25">
      <c r="B1200" s="17"/>
      <c r="C1200" s="17"/>
      <c r="D1200" s="17"/>
      <c r="E1200" s="260" t="str">
        <f>Translations!$B$1237</f>
        <v>Values used for HAL calculation:</v>
      </c>
      <c r="F1200" s="261"/>
      <c r="G1200" s="262"/>
      <c r="H1200" s="257" t="str">
        <f>H1199</f>
        <v>TJ</v>
      </c>
      <c r="I1200" s="148" t="str">
        <f>IF($M1191&lt;&gt;EUconst_Relevant,"",INDEX('G_Fall-back'!S:S,MATCH($P1200,'G_Fall-back'!$P:$P,0)))</f>
        <v/>
      </c>
      <c r="J1200" s="148" t="str">
        <f>IF($M1191&lt;&gt;EUconst_Relevant,"",INDEX('G_Fall-back'!T:T,MATCH($P1200,'G_Fall-back'!$P:$P,0)))</f>
        <v/>
      </c>
      <c r="K1200" s="148" t="str">
        <f>IF($M1191&lt;&gt;EUconst_Relevant,"",INDEX('G_Fall-back'!U:U,MATCH($P1200,'G_Fall-back'!$P:$P,0)))</f>
        <v/>
      </c>
      <c r="L1200" s="148" t="str">
        <f>IF($M1191&lt;&gt;EUconst_Relevant,"",INDEX('G_Fall-back'!V:V,MATCH($P1200,'G_Fall-back'!$P:$P,0)))</f>
        <v/>
      </c>
      <c r="M1200" s="148" t="str">
        <f>IF($M1191&lt;&gt;EUconst_Relevant,"",INDEX('G_Fall-back'!W:W,MATCH($P1200,'G_Fall-back'!$P:$P,0)))</f>
        <v/>
      </c>
      <c r="N1200" s="203" t="str">
        <f>IF(OR($M1191&lt;&gt;EUconst_Relevant,$J1194=TRUE),"",IF(COUNT($I1200:$M1200)&gt;0,AVERAGE($I1200:$M1200),""))</f>
        <v/>
      </c>
      <c r="O1200" s="17"/>
      <c r="P1200" s="63" t="str">
        <f>EUconst_CNTR_HAL&amp;I1191</f>
        <v>HAL_Fuel benchmark sub-installation, CL</v>
      </c>
      <c r="R1200" s="442" t="s">
        <v>640</v>
      </c>
      <c r="S1200" s="442" t="s">
        <v>641</v>
      </c>
      <c r="T1200" s="442" t="s">
        <v>642</v>
      </c>
    </row>
    <row r="1201" spans="2:20" ht="5.0999999999999996" customHeight="1" thickBot="1" x14ac:dyDescent="0.3">
      <c r="B1201" s="17"/>
      <c r="C1201" s="17"/>
      <c r="D1201" s="17"/>
      <c r="E1201" s="17"/>
      <c r="F1201" s="17"/>
      <c r="G1201" s="17"/>
      <c r="H1201" s="17"/>
      <c r="I1201" s="17"/>
      <c r="J1201" s="17"/>
      <c r="K1201" s="17"/>
      <c r="L1201" s="17"/>
      <c r="M1201" s="17"/>
      <c r="N1201" s="17"/>
      <c r="O1201" s="17"/>
      <c r="T1201" s="9"/>
    </row>
    <row r="1202" spans="2:20" ht="13.8" thickBot="1" x14ac:dyDescent="0.3">
      <c r="B1202" s="17"/>
      <c r="C1202" s="17"/>
      <c r="D1202" s="17"/>
      <c r="E1202" s="17"/>
      <c r="F1202" s="263" t="s">
        <v>643</v>
      </c>
      <c r="G1202" s="337"/>
      <c r="H1202" s="17"/>
      <c r="I1202" s="336" t="str">
        <f>Translations!$B$1226</f>
        <v>Prelim Alloc Year 1 (min)</v>
      </c>
      <c r="J1202" s="337"/>
      <c r="K1202" s="336" t="str">
        <f>Translations!$B$1229</f>
        <v>Prelim Alloc Year 1 (max)</v>
      </c>
      <c r="L1202" s="337"/>
      <c r="M1202" s="336" t="str">
        <f>Translations!$B$1231</f>
        <v>Prelim Alloc Year 1 (actual)</v>
      </c>
      <c r="N1202" s="337"/>
      <c r="O1202" s="17"/>
      <c r="P1202" s="63" t="str">
        <f>EUconst_AllocPrelim&amp;I1191</f>
        <v>AllocPrelim_Fuel benchmark sub-installation, CL</v>
      </c>
      <c r="R1202" s="423" t="str">
        <f>IF(I1203="","",IF(S1194=0,0,SUM(I1203)/S1194))</f>
        <v/>
      </c>
      <c r="S1202" s="423" t="str">
        <f>IF(K1203="","",IF(S1194=0,0,SUM(K1203)/S1194))</f>
        <v/>
      </c>
      <c r="T1202" s="423" t="str">
        <f>T1191</f>
        <v/>
      </c>
    </row>
    <row r="1203" spans="2:20" ht="13.8" thickBot="1" x14ac:dyDescent="0.3">
      <c r="B1203" s="17"/>
      <c r="C1203" s="17"/>
      <c r="D1203" s="17"/>
      <c r="E1203" s="17"/>
      <c r="F1203" s="264" t="str">
        <f>IF(M1191&lt;&gt;EUconst_Relevant,"",MAX(0, IF(J1194=TRUE, SUM(K1194), SUM(N1200))))</f>
        <v/>
      </c>
      <c r="G1203" s="409" t="str">
        <f>H1200&amp;" / "&amp;EUconst_Year</f>
        <v>TJ / year</v>
      </c>
      <c r="H1203" s="17"/>
      <c r="I1203" s="333" t="str">
        <f>IF(M1191&lt;&gt;EUconst_Relevant,"",ROUND(SUM(M1194)*SUM(F1203)*SUM(S1194),0))</f>
        <v/>
      </c>
      <c r="J1203" s="409" t="s">
        <v>645</v>
      </c>
      <c r="K1203" s="333" t="str">
        <f>IF(M1191&lt;&gt;EUconst_Relevant,"",ROUND(SUM(M1195)*SUM(F1203)*SUM(S1194),0))</f>
        <v/>
      </c>
      <c r="L1203" s="409" t="s">
        <v>645</v>
      </c>
      <c r="M1203" s="333" t="str">
        <f>IF(OR(M1191&lt;&gt;EUconst_Relevant,M1196=""),"",ROUND(SUM(M1196)*SUM(F1203)*SUM(S1194),0))</f>
        <v/>
      </c>
      <c r="N1203" s="409" t="s">
        <v>645</v>
      </c>
      <c r="O1203" s="17"/>
      <c r="P1203" s="63" t="str">
        <f>EUconst_HALsum &amp; I1191</f>
        <v>HALsum_Fuel benchmark sub-installation, CL</v>
      </c>
    </row>
    <row r="1204" spans="2:20" x14ac:dyDescent="0.25">
      <c r="B1204" s="17"/>
      <c r="C1204" s="17"/>
      <c r="D1204" s="17"/>
      <c r="E1204" s="17"/>
      <c r="F1204" s="17"/>
      <c r="G1204" s="17"/>
      <c r="H1204" s="17"/>
      <c r="I1204" s="17"/>
      <c r="J1204" s="17"/>
      <c r="K1204" s="17"/>
      <c r="L1204" s="17"/>
      <c r="M1204" s="17"/>
      <c r="N1204" s="17"/>
      <c r="O1204" s="17"/>
    </row>
    <row r="1205" spans="2:20" ht="12.75" customHeight="1" x14ac:dyDescent="0.25">
      <c r="B1205" s="17"/>
      <c r="C1205" s="17"/>
      <c r="D1205" s="17"/>
      <c r="E1205" s="193"/>
      <c r="F1205" s="342"/>
      <c r="G1205" s="342"/>
      <c r="H1205" s="342"/>
      <c r="I1205" s="342"/>
      <c r="J1205" s="342"/>
      <c r="K1205" s="342"/>
      <c r="L1205" s="342"/>
      <c r="M1205" s="342"/>
      <c r="N1205" s="342"/>
      <c r="O1205" s="17"/>
    </row>
    <row r="1206" spans="2:20" ht="13.8" thickBot="1" x14ac:dyDescent="0.3">
      <c r="B1206" s="17"/>
      <c r="C1206" s="17"/>
      <c r="D1206" s="17"/>
      <c r="E1206" s="193"/>
      <c r="F1206" s="342"/>
      <c r="G1206" s="342"/>
      <c r="H1206" s="192" t="str">
        <f>EUconst_Unit</f>
        <v>Unit</v>
      </c>
      <c r="I1206" s="440">
        <f>I$1397</f>
        <v>2019</v>
      </c>
      <c r="J1206" s="344">
        <f>J$1397</f>
        <v>2020</v>
      </c>
      <c r="K1206" s="344">
        <f>K$1397</f>
        <v>2021</v>
      </c>
      <c r="L1206" s="344">
        <f>L$1397</f>
        <v>2022</v>
      </c>
      <c r="M1206" s="344">
        <f>M$1397</f>
        <v>2023</v>
      </c>
      <c r="N1206" s="342"/>
      <c r="O1206" s="17"/>
    </row>
    <row r="1207" spans="2:20" ht="13.8" thickBot="1" x14ac:dyDescent="0.3">
      <c r="B1207" s="17"/>
      <c r="C1207" s="17"/>
      <c r="D1207" s="17"/>
      <c r="E1207" s="1610" t="str">
        <f>Translations!$B$1238</f>
        <v>Total attributed emissions</v>
      </c>
      <c r="F1207" s="1610"/>
      <c r="G1207" s="1610"/>
      <c r="H1207" s="411" t="str">
        <f>EUconst_tCO2epa</f>
        <v>t CO2e/year</v>
      </c>
      <c r="I1207" s="432" t="str">
        <f>INDEX(I$93:I$109,MATCH($I1191,$E$93:$E$109,0))</f>
        <v/>
      </c>
      <c r="J1207" s="433" t="str">
        <f>INDEX(J$93:J$109,MATCH($I1191,$E$93:$E$109,0))</f>
        <v/>
      </c>
      <c r="K1207" s="433" t="str">
        <f>INDEX(K$93:K$109,MATCH($I1191,$E$93:$E$109,0))</f>
        <v/>
      </c>
      <c r="L1207" s="433" t="str">
        <f>INDEX(L$93:L$109,MATCH($I1191,$E$93:$E$109,0))</f>
        <v/>
      </c>
      <c r="M1207" s="434" t="str">
        <f>INDEX(M$93:M$109,MATCH($I1191,$E$93:$E$109,0))</f>
        <v/>
      </c>
      <c r="N1207" s="342"/>
      <c r="O1207" s="17"/>
      <c r="T1207" s="9"/>
    </row>
    <row r="1208" spans="2:20" ht="5.0999999999999996" customHeight="1" x14ac:dyDescent="0.25">
      <c r="B1208" s="17"/>
      <c r="C1208" s="17"/>
      <c r="D1208" s="17"/>
      <c r="E1208" s="193"/>
      <c r="F1208" s="193"/>
      <c r="G1208" s="193"/>
      <c r="H1208" s="193"/>
      <c r="I1208" s="435"/>
      <c r="J1208" s="435"/>
      <c r="K1208" s="435"/>
      <c r="L1208" s="435"/>
      <c r="M1208" s="435"/>
      <c r="N1208" s="193"/>
      <c r="O1208" s="17"/>
      <c r="T1208" s="9"/>
    </row>
    <row r="1209" spans="2:20" x14ac:dyDescent="0.25">
      <c r="B1209" s="17"/>
      <c r="C1209" s="17"/>
      <c r="D1209" s="17"/>
      <c r="E1209" s="1526" t="str">
        <f>Translations!$B$731</f>
        <v>Fuel input</v>
      </c>
      <c r="F1209" s="1526"/>
      <c r="G1209" s="1526"/>
      <c r="H1209" s="939" t="str">
        <f>EUconst_TJpa</f>
        <v>TJ / year</v>
      </c>
      <c r="I1209" s="436" t="str">
        <f>IF($M1191&lt;&gt;EUconst_Relevant,"",IF(INDEX('G_Fall-back'!I:I,MATCH($P1209,'G_Fall-back'!$P:$P,0))="","",INDEX('G_Fall-back'!I:I,MATCH($P1209,'G_Fall-back'!$P:$P,0))))</f>
        <v/>
      </c>
      <c r="J1209" s="436" t="str">
        <f>IF($M1191&lt;&gt;EUconst_Relevant,"",IF(INDEX('G_Fall-back'!J:J,MATCH($P1209,'G_Fall-back'!$P:$P,0))="","",INDEX('G_Fall-back'!J:J,MATCH($P1209,'G_Fall-back'!$P:$P,0))))</f>
        <v/>
      </c>
      <c r="K1209" s="436" t="str">
        <f>IF($M1191&lt;&gt;EUconst_Relevant,"",IF(INDEX('G_Fall-back'!K:K,MATCH($P1209,'G_Fall-back'!$P:$P,0))="","",INDEX('G_Fall-back'!K:K,MATCH($P1209,'G_Fall-back'!$P:$P,0))))</f>
        <v/>
      </c>
      <c r="L1209" s="436" t="str">
        <f>IF($M1191&lt;&gt;EUconst_Relevant,"",IF(INDEX('G_Fall-back'!L:L,MATCH($P1209,'G_Fall-back'!$P:$P,0))="","",INDEX('G_Fall-back'!L:L,MATCH($P1209,'G_Fall-back'!$P:$P,0))))</f>
        <v/>
      </c>
      <c r="M1209" s="436" t="str">
        <f>IF($M1191&lt;&gt;EUconst_Relevant,"",IF(INDEX('G_Fall-back'!M:M,MATCH($P1209,'G_Fall-back'!$P:$P,0))="","",INDEX('G_Fall-back'!M:M,MATCH($P1209,'G_Fall-back'!$P:$P,0))))</f>
        <v/>
      </c>
      <c r="N1209" s="342"/>
      <c r="O1209" s="17"/>
      <c r="P1209" s="341" t="str">
        <f>EUconst_CNTR_FuelInput &amp; I1191</f>
        <v>FuelInput_Fuel benchmark sub-installation, CL</v>
      </c>
    </row>
    <row r="1210" spans="2:20" x14ac:dyDescent="0.25">
      <c r="B1210" s="17"/>
      <c r="C1210" s="17"/>
      <c r="D1210" s="17"/>
      <c r="E1210" s="1527" t="str">
        <f>Translations!$B$732</f>
        <v>Weighted emission factor</v>
      </c>
      <c r="F1210" s="1527"/>
      <c r="G1210" s="1527"/>
      <c r="H1210" s="343" t="str">
        <f>EUconst_tCO2pTJ</f>
        <v>t CO2 / TJ</v>
      </c>
      <c r="I1210" s="437" t="str">
        <f>IF($M1191&lt;&gt;EUconst_Relevant,"",IF(INDEX('G_Fall-back'!I:I,MATCH($P1210,'G_Fall-back'!$P:$P,0))="","",INDEX('G_Fall-back'!I:I,MATCH($P1210,'G_Fall-back'!$P:$P,0))))</f>
        <v/>
      </c>
      <c r="J1210" s="437" t="str">
        <f>IF($M1191&lt;&gt;EUconst_Relevant,"",IF(INDEX('G_Fall-back'!J:J,MATCH($P1210,'G_Fall-back'!$P:$P,0))="","",INDEX('G_Fall-back'!J:J,MATCH($P1210,'G_Fall-back'!$P:$P,0))))</f>
        <v/>
      </c>
      <c r="K1210" s="437" t="str">
        <f>IF($M1191&lt;&gt;EUconst_Relevant,"",IF(INDEX('G_Fall-back'!K:K,MATCH($P1210,'G_Fall-back'!$P:$P,0))="","",INDEX('G_Fall-back'!K:K,MATCH($P1210,'G_Fall-back'!$P:$P,0))))</f>
        <v/>
      </c>
      <c r="L1210" s="437" t="str">
        <f>IF($M1191&lt;&gt;EUconst_Relevant,"",IF(INDEX('G_Fall-back'!L:L,MATCH($P1210,'G_Fall-back'!$P:$P,0))="","",INDEX('G_Fall-back'!L:L,MATCH($P1210,'G_Fall-back'!$P:$P,0))))</f>
        <v/>
      </c>
      <c r="M1210" s="437" t="str">
        <f>IF($M1191&lt;&gt;EUconst_Relevant,"",IF(INDEX('G_Fall-back'!M:M,MATCH($P1210,'G_Fall-back'!$P:$P,0))="","",INDEX('G_Fall-back'!M:M,MATCH($P1210,'G_Fall-back'!$P:$P,0))))</f>
        <v/>
      </c>
      <c r="N1210" s="342"/>
      <c r="O1210" s="17"/>
      <c r="P1210" s="116" t="str">
        <f>EUconst_CNTR_FuelEF &amp; I1191</f>
        <v>FuelEF_Fuel benchmark sub-installation, CL</v>
      </c>
    </row>
    <row r="1211" spans="2:20" x14ac:dyDescent="0.25">
      <c r="B1211" s="17"/>
      <c r="C1211" s="17"/>
      <c r="D1211" s="17"/>
      <c r="E1211" s="1526" t="str">
        <f>Translations!$B$853</f>
        <v>Fuel input from waste gases</v>
      </c>
      <c r="F1211" s="1526"/>
      <c r="G1211" s="1526"/>
      <c r="H1211" s="939" t="str">
        <f>EUconst_TJpa</f>
        <v>TJ / year</v>
      </c>
      <c r="I1211" s="436" t="str">
        <f>IF($M1191&lt;&gt;EUconst_Relevant,"",IF(INDEX('G_Fall-back'!I:I,MATCH($P1211,'G_Fall-back'!$P:$P,0))="","",INDEX('G_Fall-back'!I:I,MATCH($P1211,'G_Fall-back'!$P:$P,0))))</f>
        <v/>
      </c>
      <c r="J1211" s="436" t="str">
        <f>IF($M1191&lt;&gt;EUconst_Relevant,"",IF(INDEX('G_Fall-back'!J:J,MATCH($P1211,'G_Fall-back'!$P:$P,0))="","",INDEX('G_Fall-back'!J:J,MATCH($P1211,'G_Fall-back'!$P:$P,0))))</f>
        <v/>
      </c>
      <c r="K1211" s="436" t="str">
        <f>IF($M1191&lt;&gt;EUconst_Relevant,"",IF(INDEX('G_Fall-back'!K:K,MATCH($P1211,'G_Fall-back'!$P:$P,0))="","",INDEX('G_Fall-back'!K:K,MATCH($P1211,'G_Fall-back'!$P:$P,0))))</f>
        <v/>
      </c>
      <c r="L1211" s="436" t="str">
        <f>IF($M1191&lt;&gt;EUconst_Relevant,"",IF(INDEX('G_Fall-back'!L:L,MATCH($P1211,'G_Fall-back'!$P:$P,0))="","",INDEX('G_Fall-back'!L:L,MATCH($P1211,'G_Fall-back'!$P:$P,0))))</f>
        <v/>
      </c>
      <c r="M1211" s="436" t="str">
        <f>IF($M1191&lt;&gt;EUconst_Relevant,"",IF(INDEX('G_Fall-back'!M:M,MATCH($P1211,'G_Fall-back'!$P:$P,0))="","",INDEX('G_Fall-back'!M:M,MATCH($P1211,'G_Fall-back'!$P:$P,0))))</f>
        <v/>
      </c>
      <c r="N1211" s="342"/>
      <c r="O1211" s="17"/>
      <c r="P1211" s="626" t="str">
        <f>EUconst_CNTR_WGConsumed &amp; I1191</f>
        <v>WasteGasCons_Fuel benchmark sub-installation, CL</v>
      </c>
    </row>
    <row r="1212" spans="2:20" x14ac:dyDescent="0.25">
      <c r="B1212" s="17"/>
      <c r="C1212" s="17"/>
      <c r="D1212" s="17"/>
      <c r="E1212" s="1527" t="str">
        <f>Translations!$B$732</f>
        <v>Weighted emission factor</v>
      </c>
      <c r="F1212" s="1527"/>
      <c r="G1212" s="1527"/>
      <c r="H1212" s="343" t="str">
        <f>EUconst_tCO2pTJ</f>
        <v>t CO2 / TJ</v>
      </c>
      <c r="I1212" s="437" t="str">
        <f>IF($M1191&lt;&gt;EUconst_Relevant,"",IF(INDEX('G_Fall-back'!I:I,MATCH($P1212,'G_Fall-back'!$P:$P,0))="","",INDEX('G_Fall-back'!I:I,MATCH($P1212,'G_Fall-back'!$P:$P,0))))</f>
        <v/>
      </c>
      <c r="J1212" s="437" t="str">
        <f>IF($M1191&lt;&gt;EUconst_Relevant,"",IF(INDEX('G_Fall-back'!J:J,MATCH($P1212,'G_Fall-back'!$P:$P,0))="","",INDEX('G_Fall-back'!J:J,MATCH($P1212,'G_Fall-back'!$P:$P,0))))</f>
        <v/>
      </c>
      <c r="K1212" s="437" t="str">
        <f>IF($M1191&lt;&gt;EUconst_Relevant,"",IF(INDEX('G_Fall-back'!K:K,MATCH($P1212,'G_Fall-back'!$P:$P,0))="","",INDEX('G_Fall-back'!K:K,MATCH($P1212,'G_Fall-back'!$P:$P,0))))</f>
        <v/>
      </c>
      <c r="L1212" s="437" t="str">
        <f>IF($M1191&lt;&gt;EUconst_Relevant,"",IF(INDEX('G_Fall-back'!L:L,MATCH($P1212,'G_Fall-back'!$P:$P,0))="","",INDEX('G_Fall-back'!L:L,MATCH($P1212,'G_Fall-back'!$P:$P,0))))</f>
        <v/>
      </c>
      <c r="M1212" s="437" t="str">
        <f>IF($M1191&lt;&gt;EUconst_Relevant,"",IF(INDEX('G_Fall-back'!M:M,MATCH($P1212,'G_Fall-back'!$P:$P,0))="","",INDEX('G_Fall-back'!M:M,MATCH($P1212,'G_Fall-back'!$P:$P,0))))</f>
        <v/>
      </c>
      <c r="N1212" s="342"/>
      <c r="O1212" s="17"/>
      <c r="P1212" s="116" t="str">
        <f>EUconst_CNTR_WGConsumedEF &amp; I1191</f>
        <v>WasteGasConsEF_Fuel benchmark sub-installation, CL</v>
      </c>
    </row>
    <row r="1213" spans="2:20" ht="5.0999999999999996" customHeight="1" x14ac:dyDescent="0.25">
      <c r="B1213" s="17"/>
      <c r="C1213" s="17"/>
      <c r="D1213" s="17"/>
      <c r="E1213" s="193"/>
      <c r="F1213" s="342"/>
      <c r="G1213" s="342"/>
      <c r="H1213" s="342"/>
      <c r="I1213" s="438"/>
      <c r="J1213" s="438"/>
      <c r="K1213" s="438"/>
      <c r="L1213" s="438"/>
      <c r="M1213" s="438"/>
      <c r="N1213" s="342"/>
      <c r="O1213" s="17"/>
    </row>
    <row r="1214" spans="2:20" x14ac:dyDescent="0.25">
      <c r="B1214" s="17"/>
      <c r="C1214" s="17"/>
      <c r="D1214" s="17"/>
      <c r="E1214" s="1528" t="str">
        <f>Translations!$B$687</f>
        <v>Direct emissions</v>
      </c>
      <c r="F1214" s="1528"/>
      <c r="G1214" s="1528"/>
      <c r="H1214" s="154" t="str">
        <f>EUconst_tCO2pa</f>
        <v>t CO2 / year</v>
      </c>
      <c r="I1214" s="439" t="str">
        <f>IF($M1191&lt;&gt;EUconst_Relevant,"",IF(INDEX('G_Fall-back'!I:I,MATCH($P1214,'G_Fall-back'!$P:$P,0))="","",INDEX('G_Fall-back'!I:I,MATCH($P1214,'G_Fall-back'!$P:$P,0))))</f>
        <v/>
      </c>
      <c r="J1214" s="439" t="str">
        <f>IF($M1191&lt;&gt;EUconst_Relevant,"",IF(INDEX('G_Fall-back'!J:J,MATCH($P1214,'G_Fall-back'!$P:$P,0))="","",INDEX('G_Fall-back'!J:J,MATCH($P1214,'G_Fall-back'!$P:$P,0))))</f>
        <v/>
      </c>
      <c r="K1214" s="439" t="str">
        <f>IF($M1191&lt;&gt;EUconst_Relevant,"",IF(INDEX('G_Fall-back'!K:K,MATCH($P1214,'G_Fall-back'!$P:$P,0))="","",INDEX('G_Fall-back'!K:K,MATCH($P1214,'G_Fall-back'!$P:$P,0))))</f>
        <v/>
      </c>
      <c r="L1214" s="439" t="str">
        <f>IF($M1191&lt;&gt;EUconst_Relevant,"",IF(INDEX('G_Fall-back'!L:L,MATCH($P1214,'G_Fall-back'!$P:$P,0))="","",INDEX('G_Fall-back'!L:L,MATCH($P1214,'G_Fall-back'!$P:$P,0))))</f>
        <v/>
      </c>
      <c r="M1214" s="439" t="str">
        <f>IF($M1191&lt;&gt;EUconst_Relevant,"",IF(INDEX('G_Fall-back'!M:M,MATCH($P1214,'G_Fall-back'!$P:$P,0))="","",INDEX('G_Fall-back'!M:M,MATCH($P1214,'G_Fall-back'!$P:$P,0))))</f>
        <v/>
      </c>
      <c r="N1214" s="342"/>
      <c r="O1214" s="17"/>
      <c r="P1214" s="116" t="str">
        <f>EUconst_CNTR_Emissions &amp; I1191</f>
        <v>DirEmissions_Fuel benchmark sub-installation, CL</v>
      </c>
    </row>
    <row r="1215" spans="2:20" ht="5.0999999999999996" customHeight="1" x14ac:dyDescent="0.25">
      <c r="B1215" s="17"/>
      <c r="C1215" s="17"/>
      <c r="D1215" s="17"/>
      <c r="E1215" s="193"/>
      <c r="F1215" s="193"/>
      <c r="G1215" s="193"/>
      <c r="H1215" s="193"/>
      <c r="I1215" s="438"/>
      <c r="J1215" s="438"/>
      <c r="K1215" s="438"/>
      <c r="L1215" s="438"/>
      <c r="M1215" s="438"/>
      <c r="N1215" s="342"/>
      <c r="O1215" s="17"/>
    </row>
    <row r="1216" spans="2:20" x14ac:dyDescent="0.25">
      <c r="B1216" s="17"/>
      <c r="C1216" s="17"/>
      <c r="D1216" s="17"/>
      <c r="E1216" s="1528" t="str">
        <f>Translations!$B$770</f>
        <v>Net heat exported</v>
      </c>
      <c r="F1216" s="1528"/>
      <c r="G1216" s="1528"/>
      <c r="H1216" s="154" t="str">
        <f>EUconst_TJpa</f>
        <v>TJ / year</v>
      </c>
      <c r="I1216" s="439" t="str">
        <f>IF($M1191&lt;&gt;EUconst_Relevant,"",IF(INDEX('G_Fall-back'!I:I,MATCH($P1216,'G_Fall-back'!$P:$P,0))="","",INDEX('G_Fall-back'!I:I,MATCH($P1216,'G_Fall-back'!$P:$P,0))))</f>
        <v/>
      </c>
      <c r="J1216" s="439" t="str">
        <f>IF($M1191&lt;&gt;EUconst_Relevant,"",IF(INDEX('G_Fall-back'!J:J,MATCH($P1216,'G_Fall-back'!$P:$P,0))="","",INDEX('G_Fall-back'!J:J,MATCH($P1216,'G_Fall-back'!$P:$P,0))))</f>
        <v/>
      </c>
      <c r="K1216" s="439" t="str">
        <f>IF($M1191&lt;&gt;EUconst_Relevant,"",IF(INDEX('G_Fall-back'!K:K,MATCH($P1216,'G_Fall-back'!$P:$P,0))="","",INDEX('G_Fall-back'!K:K,MATCH($P1216,'G_Fall-back'!$P:$P,0))))</f>
        <v/>
      </c>
      <c r="L1216" s="439" t="str">
        <f>IF($M1191&lt;&gt;EUconst_Relevant,"",IF(INDEX('G_Fall-back'!L:L,MATCH($P1216,'G_Fall-back'!$P:$P,0))="","",INDEX('G_Fall-back'!L:L,MATCH($P1216,'G_Fall-back'!$P:$P,0))))</f>
        <v/>
      </c>
      <c r="M1216" s="439" t="str">
        <f>IF($M1191&lt;&gt;EUconst_Relevant,"",IF(INDEX('G_Fall-back'!M:M,MATCH($P1216,'G_Fall-back'!$P:$P,0))="","",INDEX('G_Fall-back'!M:M,MATCH($P1216,'G_Fall-back'!$P:$P,0))))</f>
        <v/>
      </c>
      <c r="N1216" s="342"/>
      <c r="O1216" s="17"/>
      <c r="P1216" s="116" t="str">
        <f>EUconst_CNTR_HeatExport &amp; I1191</f>
        <v>HeatEx_Fuel benchmark sub-installation, CL</v>
      </c>
    </row>
    <row r="1217" spans="2:20" ht="12.75" customHeight="1" x14ac:dyDescent="0.25">
      <c r="B1217" s="17"/>
      <c r="C1217" s="17"/>
      <c r="D1217" s="17"/>
      <c r="E1217" s="1528" t="s">
        <v>646</v>
      </c>
      <c r="F1217" s="1528"/>
      <c r="G1217" s="1528"/>
      <c r="H1217" s="154" t="str">
        <f>EUconst_TJpa</f>
        <v>TJ / year</v>
      </c>
      <c r="I1217" s="439" t="str">
        <f>IF($M1191&lt;&gt;EUconst_Relevant,"",IF(INDEX('G_Fall-back'!I:I,MATCH($P1217,'G_Fall-back'!$P:$P,0))="","",INDEX('G_Fall-back'!I:I,MATCH($P1217,'G_Fall-back'!$P:$P,0))))</f>
        <v/>
      </c>
      <c r="J1217" s="439" t="str">
        <f>IF($M1191&lt;&gt;EUconst_Relevant,"",IF(INDEX('G_Fall-back'!J:J,MATCH($P1217,'G_Fall-back'!$P:$P,0))="","",INDEX('G_Fall-back'!J:J,MATCH($P1217,'G_Fall-back'!$P:$P,0))))</f>
        <v/>
      </c>
      <c r="K1217" s="439" t="str">
        <f>IF($M1191&lt;&gt;EUconst_Relevant,"",IF(INDEX('G_Fall-back'!K:K,MATCH($P1217,'G_Fall-back'!$P:$P,0))="","",INDEX('G_Fall-back'!K:K,MATCH($P1217,'G_Fall-back'!$P:$P,0))))</f>
        <v/>
      </c>
      <c r="L1217" s="439" t="str">
        <f>IF($M1191&lt;&gt;EUconst_Relevant,"",IF(INDEX('G_Fall-back'!L:L,MATCH($P1217,'G_Fall-back'!$P:$P,0))="","",INDEX('G_Fall-back'!L:L,MATCH($P1217,'G_Fall-back'!$P:$P,0))))</f>
        <v/>
      </c>
      <c r="M1217" s="439" t="str">
        <f>IF($M1191&lt;&gt;EUconst_Relevant,"",IF(INDEX('G_Fall-back'!M:M,MATCH($P1217,'G_Fall-back'!$P:$P,0))="","",INDEX('G_Fall-back'!M:M,MATCH($P1217,'G_Fall-back'!$P:$P,0))))</f>
        <v/>
      </c>
      <c r="N1217" s="342"/>
      <c r="O1217" s="17"/>
      <c r="P1217" s="63" t="str">
        <f>EUconst_CNTR_HeatExportEF &amp; I1191</f>
        <v>HeatExEF_Fuel benchmark sub-installation, CL</v>
      </c>
    </row>
    <row r="1218" spans="2:20" ht="12.75" customHeight="1" x14ac:dyDescent="0.25">
      <c r="B1218" s="17"/>
      <c r="C1218" s="17"/>
      <c r="D1218" s="17"/>
      <c r="E1218" s="342"/>
      <c r="F1218" s="342"/>
      <c r="G1218" s="342"/>
      <c r="H1218" s="342"/>
      <c r="I1218" s="342"/>
      <c r="J1218" s="342"/>
      <c r="K1218" s="342"/>
      <c r="L1218" s="342"/>
      <c r="M1218" s="342"/>
      <c r="N1218" s="342"/>
      <c r="O1218" s="17"/>
    </row>
    <row r="1219" spans="2:20" ht="13.8" thickBot="1" x14ac:dyDescent="0.3">
      <c r="B1219" s="17"/>
      <c r="C1219" s="17"/>
      <c r="D1219" s="17"/>
      <c r="E1219" s="17"/>
      <c r="F1219" s="17"/>
      <c r="G1219" s="17"/>
      <c r="H1219" s="276"/>
      <c r="I1219" s="276"/>
      <c r="J1219" s="276"/>
      <c r="K1219" s="276"/>
      <c r="L1219" s="276"/>
      <c r="M1219" s="17"/>
      <c r="N1219" s="17"/>
      <c r="O1219" s="17"/>
    </row>
    <row r="1220" spans="2:20" ht="12.75" customHeight="1" thickBot="1" x14ac:dyDescent="0.3">
      <c r="B1220" s="8"/>
      <c r="C1220" s="906"/>
      <c r="D1220" s="906"/>
      <c r="E1220" s="906"/>
      <c r="F1220" s="906"/>
      <c r="G1220" s="906"/>
      <c r="H1220" s="906"/>
      <c r="I1220" s="906"/>
      <c r="J1220" s="906"/>
      <c r="K1220" s="906"/>
      <c r="L1220" s="906"/>
      <c r="M1220" s="906"/>
      <c r="N1220" s="906"/>
      <c r="O1220" s="17"/>
      <c r="T1220" s="9" t="s">
        <v>644</v>
      </c>
    </row>
    <row r="1221" spans="2:20" ht="15" customHeight="1" thickBot="1" x14ac:dyDescent="0.3">
      <c r="B1221" s="17"/>
      <c r="C1221" s="19">
        <f>C1191+1</f>
        <v>15</v>
      </c>
      <c r="D1221" s="1234" t="str">
        <f>CONCATENATE(EUconst_FBSubinst," ",C1221-10, ":")</f>
        <v>Fall-Back sub-installation 5:</v>
      </c>
      <c r="E1221" s="1176"/>
      <c r="F1221" s="1176"/>
      <c r="G1221" s="1176"/>
      <c r="H1221" s="1260"/>
      <c r="I1221" s="1710" t="str">
        <f>INDEX(EUconst_FallBackListNames,$C1221-10)</f>
        <v>Fuel benchmark sub-installation, non-CL</v>
      </c>
      <c r="J1221" s="1711"/>
      <c r="K1221" s="1711"/>
      <c r="L1221" s="1712"/>
      <c r="M1221" s="1608" t="str">
        <f>IF(ISBLANK(INDEX(CNTR_FallBackSubInstRelevant,C1221-10)),"",IF(INDEX(CNTR_FallBackSubInstRelevant,C1221-10),EUconst_Relevant,EUconst_NotRelevant))</f>
        <v/>
      </c>
      <c r="N1221" s="1609"/>
      <c r="O1221" s="17"/>
      <c r="Q1221" s="427">
        <f>C1221</f>
        <v>15</v>
      </c>
      <c r="R1221" s="424" t="str">
        <f>I1221</f>
        <v>Fuel benchmark sub-installation, non-CL</v>
      </c>
      <c r="S1221" s="426" t="b">
        <f>H1224</f>
        <v>0</v>
      </c>
      <c r="T1221" s="425" t="str">
        <f>IF(M1233="","",IF(S1224=0,0,SUM(M1233)/S1224))</f>
        <v/>
      </c>
    </row>
    <row r="1222" spans="2:20" ht="5.0999999999999996" customHeight="1" thickBot="1" x14ac:dyDescent="0.3">
      <c r="B1222" s="17"/>
      <c r="C1222" s="17"/>
      <c r="D1222" s="17"/>
      <c r="E1222" s="17"/>
      <c r="F1222" s="17"/>
      <c r="G1222" s="17"/>
      <c r="H1222" s="17"/>
      <c r="I1222" s="17"/>
      <c r="J1222" s="17"/>
      <c r="K1222" s="17"/>
      <c r="L1222" s="17"/>
      <c r="M1222" s="17"/>
      <c r="N1222" s="17"/>
      <c r="O1222" s="17"/>
      <c r="T1222" s="9"/>
    </row>
    <row r="1223" spans="2:20" x14ac:dyDescent="0.25">
      <c r="B1223" s="17"/>
      <c r="C1223" s="17"/>
      <c r="D1223" s="17"/>
      <c r="E1223" s="17"/>
      <c r="F1223" s="17"/>
      <c r="G1223" s="17"/>
      <c r="H1223" s="253" t="str">
        <f>Translations!$B$1204</f>
        <v>CL-exposed</v>
      </c>
      <c r="I1223" s="254" t="str">
        <f>Translations!$B$1208</f>
        <v>Started</v>
      </c>
      <c r="J1223" s="254" t="str">
        <f>Translations!$B$1212</f>
        <v>15(7).3?</v>
      </c>
      <c r="K1223" s="254" t="str">
        <f>Translations!$B$1214</f>
        <v>15(7).3 HAL</v>
      </c>
      <c r="L1223" s="329" t="str">
        <f>Translations!$B$1206</f>
        <v>No. of BM</v>
      </c>
      <c r="M1223" s="468" t="str">
        <f>Translations!$B$1234</f>
        <v>BM value (min/max/actual)</v>
      </c>
      <c r="N1223" s="469"/>
      <c r="O1223" s="17"/>
      <c r="T1223" s="9"/>
    </row>
    <row r="1224" spans="2:20" x14ac:dyDescent="0.25">
      <c r="B1224" s="17"/>
      <c r="C1224" s="17"/>
      <c r="D1224" s="17"/>
      <c r="E1224" s="255" t="str">
        <f>I1221</f>
        <v>Fuel benchmark sub-installation, non-CL</v>
      </c>
      <c r="F1224" s="256"/>
      <c r="G1224" s="230"/>
      <c r="H1224" s="257" t="b">
        <f>INDEX(EUconst_FallBackListCLstatus,MATCH(I1221,EUconst_FallBackListNames,0))</f>
        <v>0</v>
      </c>
      <c r="I1224" s="355" t="str">
        <f>IF(M1221&lt;&gt;EUconst_Relevant,"",INDEX(CNTR_SubInstStartDate,MATCH(E1224,CNTR_SubInstListNames,0)))</f>
        <v/>
      </c>
      <c r="J1224" s="258" t="str">
        <f>IF(M1221&lt;&gt;EUconst_Relevant,"",INDEX(CNTR_SubInstLess1Year,MATCH(E1224,CNTR_SubInstListNames,0)))</f>
        <v/>
      </c>
      <c r="K1224" s="203" t="str">
        <f>IF($J1224=TRUE,SUMIF('G_Fall-back'!$P:$P,EUconst_CNTR_HAL&amp;$E1224,'G_Fall-back'!$N:$N),"")</f>
        <v/>
      </c>
      <c r="L1224" s="353">
        <f>C1221-10</f>
        <v>5</v>
      </c>
      <c r="M1224" s="474" t="str">
        <f>IF(M1221&lt;&gt;EUconst_Relevant,"",INDEX(EUconst_FallBackListBMvaluesMatrix,L1224,2))</f>
        <v/>
      </c>
      <c r="N1224" s="471" t="str">
        <f>EUconst_EUA &amp; "/" &amp; H1229</f>
        <v>UKA/TJ</v>
      </c>
      <c r="O1224" s="17"/>
      <c r="R1224" s="288" t="s">
        <v>639</v>
      </c>
      <c r="S1224" s="335">
        <f>IF(H1224,1,INDEX(EUconst_CLEFYears,1))</f>
        <v>0.3</v>
      </c>
    </row>
    <row r="1225" spans="2:20" x14ac:dyDescent="0.25">
      <c r="B1225" s="17"/>
      <c r="C1225" s="17"/>
      <c r="D1225" s="276"/>
      <c r="E1225" s="276"/>
      <c r="F1225" s="276"/>
      <c r="G1225" s="276"/>
      <c r="H1225" s="276"/>
      <c r="I1225" s="276"/>
      <c r="J1225" s="276"/>
      <c r="K1225" s="276"/>
      <c r="L1225" s="276"/>
      <c r="M1225" s="474" t="str">
        <f>IF(M1221&lt;&gt;EUconst_Relevant,"",INDEX(EUconst_FallBackListBMvaluesMatrix,L1224,1))</f>
        <v/>
      </c>
      <c r="N1225" s="471" t="str">
        <f>EUconst_EUA &amp; "/" &amp; H1229</f>
        <v>UKA/TJ</v>
      </c>
      <c r="O1225" s="17"/>
      <c r="R1225" s="288"/>
      <c r="S1225" s="368"/>
    </row>
    <row r="1226" spans="2:20" ht="13.8" thickBot="1" x14ac:dyDescent="0.3">
      <c r="B1226" s="17"/>
      <c r="C1226" s="17"/>
      <c r="D1226" s="276"/>
      <c r="E1226" s="276"/>
      <c r="F1226" s="276"/>
      <c r="G1226" s="276"/>
      <c r="H1226" s="276"/>
      <c r="I1226" s="276"/>
      <c r="J1226" s="276"/>
      <c r="K1226" s="276"/>
      <c r="L1226" s="276"/>
      <c r="M1226" s="475" t="str">
        <f>IF(M1221&lt;&gt;EUconst_Relevant,"",IF(EUconst_StatusOfDataCollection,INDEX(EUconst_FallBackListBMvaluesMatrix,L1224,3),""))</f>
        <v/>
      </c>
      <c r="N1226" s="473" t="str">
        <f>EUconst_EUA &amp; "/" &amp; H1229</f>
        <v>UKA/TJ</v>
      </c>
      <c r="O1226" s="17"/>
      <c r="R1226" s="288"/>
      <c r="S1226" s="368"/>
    </row>
    <row r="1227" spans="2:20" ht="5.0999999999999996" customHeight="1" x14ac:dyDescent="0.25">
      <c r="B1227" s="17"/>
      <c r="C1227" s="17"/>
      <c r="D1227" s="17"/>
      <c r="E1227" s="17"/>
      <c r="F1227" s="17"/>
      <c r="G1227" s="17"/>
      <c r="H1227" s="17"/>
      <c r="I1227" s="17"/>
      <c r="J1227" s="17"/>
      <c r="K1227" s="17"/>
      <c r="L1227" s="17"/>
      <c r="M1227" s="17"/>
      <c r="N1227" s="17"/>
      <c r="O1227" s="17"/>
    </row>
    <row r="1228" spans="2:20" x14ac:dyDescent="0.25">
      <c r="B1228" s="17"/>
      <c r="C1228" s="17"/>
      <c r="D1228" s="17"/>
      <c r="E1228" s="78"/>
      <c r="F1228" s="78"/>
      <c r="G1228" s="259"/>
      <c r="H1228" s="253" t="str">
        <f>EUconst_Unit</f>
        <v>Unit</v>
      </c>
      <c r="I1228" s="149">
        <f>I$1397</f>
        <v>2019</v>
      </c>
      <c r="J1228" s="149">
        <f>J$1397</f>
        <v>2020</v>
      </c>
      <c r="K1228" s="149">
        <f>K$1397</f>
        <v>2021</v>
      </c>
      <c r="L1228" s="149">
        <f>L$1397</f>
        <v>2022</v>
      </c>
      <c r="M1228" s="149">
        <f>M$1397</f>
        <v>2023</v>
      </c>
      <c r="N1228" s="17"/>
      <c r="O1228" s="17"/>
      <c r="P1228" s="63" t="s">
        <v>397</v>
      </c>
    </row>
    <row r="1229" spans="2:20" x14ac:dyDescent="0.25">
      <c r="B1229" s="17"/>
      <c r="C1229" s="17"/>
      <c r="D1229" s="17"/>
      <c r="E1229" s="260" t="str">
        <f>Translations!$B$1236</f>
        <v>HAL (Historic activity level) reported</v>
      </c>
      <c r="F1229" s="261"/>
      <c r="G1229" s="262"/>
      <c r="H1229" s="257" t="str">
        <f>INDEX(EUconst_FallBackListUnits,L1224)</f>
        <v>TJ</v>
      </c>
      <c r="I1229" s="203" t="str">
        <f>IF($M1221&lt;&gt;EUconst_Relevant,"",SUMIF('G_Fall-back'!$P:$P,$P1230,'G_Fall-back'!I:I))</f>
        <v/>
      </c>
      <c r="J1229" s="203" t="str">
        <f>IF($M1221&lt;&gt;EUconst_Relevant,"",SUMIF('G_Fall-back'!$P:$P,$P1230,'G_Fall-back'!J:J))</f>
        <v/>
      </c>
      <c r="K1229" s="203" t="str">
        <f>IF($M1221&lt;&gt;EUconst_Relevant,"",SUMIF('G_Fall-back'!$P:$P,$P1230,'G_Fall-back'!K:K))</f>
        <v/>
      </c>
      <c r="L1229" s="203" t="str">
        <f>IF($M1221&lt;&gt;EUconst_Relevant,"",SUMIF('G_Fall-back'!$P:$P,$P1230,'G_Fall-back'!L:L))</f>
        <v/>
      </c>
      <c r="M1229" s="203" t="str">
        <f>IF($M1221&lt;&gt;EUconst_Relevant,"",SUMIF('G_Fall-back'!$P:$P,$P1230,'G_Fall-back'!M:M))</f>
        <v/>
      </c>
      <c r="N1229" s="254" t="str">
        <f>Translations!$B$1224</f>
        <v>Average</v>
      </c>
      <c r="O1229" s="17"/>
      <c r="P1229" s="63" t="str">
        <f>EUconst_CNTR_HAL&amp;I1221</f>
        <v>HAL_Fuel benchmark sub-installation, non-CL</v>
      </c>
      <c r="T1229" s="9"/>
    </row>
    <row r="1230" spans="2:20" x14ac:dyDescent="0.25">
      <c r="B1230" s="17"/>
      <c r="C1230" s="17"/>
      <c r="D1230" s="17"/>
      <c r="E1230" s="260" t="str">
        <f>Translations!$B$1237</f>
        <v>Values used for HAL calculation:</v>
      </c>
      <c r="F1230" s="261"/>
      <c r="G1230" s="262"/>
      <c r="H1230" s="257" t="str">
        <f>H1229</f>
        <v>TJ</v>
      </c>
      <c r="I1230" s="148" t="str">
        <f>IF($M1221&lt;&gt;EUconst_Relevant,"",INDEX('G_Fall-back'!S:S,MATCH($P1230,'G_Fall-back'!$P:$P,0)))</f>
        <v/>
      </c>
      <c r="J1230" s="148" t="str">
        <f>IF($M1221&lt;&gt;EUconst_Relevant,"",INDEX('G_Fall-back'!T:T,MATCH($P1230,'G_Fall-back'!$P:$P,0)))</f>
        <v/>
      </c>
      <c r="K1230" s="148" t="str">
        <f>IF($M1221&lt;&gt;EUconst_Relevant,"",INDEX('G_Fall-back'!U:U,MATCH($P1230,'G_Fall-back'!$P:$P,0)))</f>
        <v/>
      </c>
      <c r="L1230" s="148" t="str">
        <f>IF($M1221&lt;&gt;EUconst_Relevant,"",INDEX('G_Fall-back'!V:V,MATCH($P1230,'G_Fall-back'!$P:$P,0)))</f>
        <v/>
      </c>
      <c r="M1230" s="148" t="str">
        <f>IF($M1221&lt;&gt;EUconst_Relevant,"",INDEX('G_Fall-back'!W:W,MATCH($P1230,'G_Fall-back'!$P:$P,0)))</f>
        <v/>
      </c>
      <c r="N1230" s="203" t="str">
        <f>IF(OR($M1221&lt;&gt;EUconst_Relevant,$J1224=TRUE),"",IF(COUNT($I1230:$M1230)&gt;0,AVERAGE($I1230:$M1230),""))</f>
        <v/>
      </c>
      <c r="O1230" s="17"/>
      <c r="P1230" s="63" t="str">
        <f>EUconst_CNTR_HAL&amp;I1221</f>
        <v>HAL_Fuel benchmark sub-installation, non-CL</v>
      </c>
      <c r="R1230" s="442" t="s">
        <v>640</v>
      </c>
      <c r="S1230" s="442" t="s">
        <v>641</v>
      </c>
      <c r="T1230" s="442" t="s">
        <v>642</v>
      </c>
    </row>
    <row r="1231" spans="2:20" ht="5.0999999999999996" customHeight="1" thickBot="1" x14ac:dyDescent="0.3">
      <c r="B1231" s="17"/>
      <c r="C1231" s="17"/>
      <c r="D1231" s="17"/>
      <c r="E1231" s="17"/>
      <c r="F1231" s="17"/>
      <c r="G1231" s="17"/>
      <c r="H1231" s="17"/>
      <c r="I1231" s="17"/>
      <c r="J1231" s="17"/>
      <c r="K1231" s="17"/>
      <c r="L1231" s="17"/>
      <c r="M1231" s="17"/>
      <c r="N1231" s="17"/>
      <c r="O1231" s="17"/>
      <c r="T1231" s="9"/>
    </row>
    <row r="1232" spans="2:20" ht="13.8" thickBot="1" x14ac:dyDescent="0.3">
      <c r="B1232" s="17"/>
      <c r="C1232" s="17"/>
      <c r="D1232" s="17"/>
      <c r="E1232" s="17"/>
      <c r="F1232" s="263" t="s">
        <v>643</v>
      </c>
      <c r="G1232" s="337"/>
      <c r="H1232" s="17"/>
      <c r="I1232" s="336" t="str">
        <f>Translations!$B$1226</f>
        <v>Prelim Alloc Year 1 (min)</v>
      </c>
      <c r="J1232" s="337"/>
      <c r="K1232" s="336" t="str">
        <f>Translations!$B$1229</f>
        <v>Prelim Alloc Year 1 (max)</v>
      </c>
      <c r="L1232" s="337"/>
      <c r="M1232" s="336" t="str">
        <f>Translations!$B$1231</f>
        <v>Prelim Alloc Year 1 (actual)</v>
      </c>
      <c r="N1232" s="337"/>
      <c r="O1232" s="17"/>
      <c r="P1232" s="63" t="str">
        <f>EUconst_AllocPrelim&amp;I1221</f>
        <v>AllocPrelim_Fuel benchmark sub-installation, non-CL</v>
      </c>
      <c r="R1232" s="423" t="str">
        <f>IF(I1233="","",IF(S1224=0,0,SUM(I1233)/S1224))</f>
        <v/>
      </c>
      <c r="S1232" s="423" t="str">
        <f>IF(K1233="","",IF(S1224=0,0,SUM(K1233)/S1224))</f>
        <v/>
      </c>
      <c r="T1232" s="423" t="str">
        <f>T1221</f>
        <v/>
      </c>
    </row>
    <row r="1233" spans="2:20" ht="13.8" thickBot="1" x14ac:dyDescent="0.3">
      <c r="B1233" s="17"/>
      <c r="C1233" s="17"/>
      <c r="D1233" s="17"/>
      <c r="E1233" s="17"/>
      <c r="F1233" s="264" t="str">
        <f>IF(M1221&lt;&gt;EUconst_Relevant,"",MAX(0, IF(J1224=TRUE, SUM(K1224), SUM(N1230))))</f>
        <v/>
      </c>
      <c r="G1233" s="409" t="str">
        <f>H1230&amp;" / "&amp;EUconst_Year</f>
        <v>TJ / year</v>
      </c>
      <c r="H1233" s="17"/>
      <c r="I1233" s="333" t="str">
        <f>IF(M1221&lt;&gt;EUconst_Relevant,"",ROUND(SUM(M1224)*SUM(F1233)*SUM(S1224),0))</f>
        <v/>
      </c>
      <c r="J1233" s="409" t="s">
        <v>645</v>
      </c>
      <c r="K1233" s="333" t="str">
        <f>IF(M1221&lt;&gt;EUconst_Relevant,"",ROUND(SUM(M1225)*SUM(F1233)*SUM(S1224),0))</f>
        <v/>
      </c>
      <c r="L1233" s="409" t="s">
        <v>645</v>
      </c>
      <c r="M1233" s="333" t="str">
        <f>IF(OR(M1221&lt;&gt;EUconst_Relevant,M1226=""),"",ROUND(SUM(M1226)*SUM(F1233)*SUM(S1224),0))</f>
        <v/>
      </c>
      <c r="N1233" s="409" t="s">
        <v>645</v>
      </c>
      <c r="O1233" s="17"/>
      <c r="P1233" s="63" t="str">
        <f>EUconst_HALsum &amp; I1221</f>
        <v>HALsum_Fuel benchmark sub-installation, non-CL</v>
      </c>
    </row>
    <row r="1234" spans="2:20" x14ac:dyDescent="0.25">
      <c r="B1234" s="17"/>
      <c r="C1234" s="17"/>
      <c r="D1234" s="17"/>
      <c r="E1234" s="17"/>
      <c r="F1234" s="17"/>
      <c r="G1234" s="17"/>
      <c r="H1234" s="17"/>
      <c r="I1234" s="17"/>
      <c r="J1234" s="17"/>
      <c r="K1234" s="17"/>
      <c r="L1234" s="17"/>
      <c r="M1234" s="17"/>
      <c r="N1234" s="17"/>
      <c r="O1234" s="17"/>
    </row>
    <row r="1235" spans="2:20" ht="12.75" customHeight="1" x14ac:dyDescent="0.25">
      <c r="B1235" s="17"/>
      <c r="C1235" s="17"/>
      <c r="D1235" s="17"/>
      <c r="E1235" s="193"/>
      <c r="F1235" s="342"/>
      <c r="G1235" s="342"/>
      <c r="H1235" s="342"/>
      <c r="I1235" s="342"/>
      <c r="J1235" s="342"/>
      <c r="K1235" s="342"/>
      <c r="L1235" s="342"/>
      <c r="M1235" s="342"/>
      <c r="N1235" s="342"/>
      <c r="O1235" s="17"/>
    </row>
    <row r="1236" spans="2:20" ht="13.8" thickBot="1" x14ac:dyDescent="0.3">
      <c r="B1236" s="17"/>
      <c r="C1236" s="17"/>
      <c r="D1236" s="17"/>
      <c r="E1236" s="193"/>
      <c r="F1236" s="342"/>
      <c r="G1236" s="342"/>
      <c r="H1236" s="192" t="str">
        <f>EUconst_Unit</f>
        <v>Unit</v>
      </c>
      <c r="I1236" s="440">
        <f>I$1397</f>
        <v>2019</v>
      </c>
      <c r="J1236" s="344">
        <f>J$1397</f>
        <v>2020</v>
      </c>
      <c r="K1236" s="344">
        <f>K$1397</f>
        <v>2021</v>
      </c>
      <c r="L1236" s="344">
        <f>L$1397</f>
        <v>2022</v>
      </c>
      <c r="M1236" s="344">
        <f>M$1397</f>
        <v>2023</v>
      </c>
      <c r="N1236" s="342"/>
      <c r="O1236" s="17"/>
    </row>
    <row r="1237" spans="2:20" ht="13.8" thickBot="1" x14ac:dyDescent="0.3">
      <c r="B1237" s="17"/>
      <c r="C1237" s="17"/>
      <c r="D1237" s="17"/>
      <c r="E1237" s="1610" t="str">
        <f>Translations!$B$1238</f>
        <v>Total attributed emissions</v>
      </c>
      <c r="F1237" s="1610"/>
      <c r="G1237" s="1610"/>
      <c r="H1237" s="411" t="str">
        <f>EUconst_tCO2epa</f>
        <v>t CO2e/year</v>
      </c>
      <c r="I1237" s="432" t="str">
        <f>INDEX(I$93:I$109,MATCH($I1221,$E$93:$E$109,0))</f>
        <v/>
      </c>
      <c r="J1237" s="433" t="str">
        <f>INDEX(J$93:J$109,MATCH($I1221,$E$93:$E$109,0))</f>
        <v/>
      </c>
      <c r="K1237" s="433" t="str">
        <f>INDEX(K$93:K$109,MATCH($I1221,$E$93:$E$109,0))</f>
        <v/>
      </c>
      <c r="L1237" s="433" t="str">
        <f>INDEX(L$93:L$109,MATCH($I1221,$E$93:$E$109,0))</f>
        <v/>
      </c>
      <c r="M1237" s="434" t="str">
        <f>INDEX(M$93:M$109,MATCH($I1221,$E$93:$E$109,0))</f>
        <v/>
      </c>
      <c r="N1237" s="342"/>
      <c r="O1237" s="17"/>
      <c r="T1237" s="9"/>
    </row>
    <row r="1238" spans="2:20" ht="5.0999999999999996" customHeight="1" x14ac:dyDescent="0.25">
      <c r="B1238" s="17"/>
      <c r="C1238" s="17"/>
      <c r="D1238" s="17"/>
      <c r="E1238" s="193"/>
      <c r="F1238" s="193"/>
      <c r="G1238" s="193"/>
      <c r="H1238" s="193"/>
      <c r="I1238" s="435"/>
      <c r="J1238" s="435"/>
      <c r="K1238" s="435"/>
      <c r="L1238" s="435"/>
      <c r="M1238" s="435"/>
      <c r="N1238" s="193"/>
      <c r="O1238" s="17"/>
      <c r="T1238" s="9"/>
    </row>
    <row r="1239" spans="2:20" x14ac:dyDescent="0.25">
      <c r="B1239" s="17"/>
      <c r="C1239" s="17"/>
      <c r="D1239" s="17"/>
      <c r="E1239" s="1526" t="str">
        <f>Translations!$B$731</f>
        <v>Fuel input</v>
      </c>
      <c r="F1239" s="1526"/>
      <c r="G1239" s="1526"/>
      <c r="H1239" s="939" t="str">
        <f>EUconst_TJpa</f>
        <v>TJ / year</v>
      </c>
      <c r="I1239" s="436" t="str">
        <f>IF($M1221&lt;&gt;EUconst_Relevant,"",IF(INDEX('G_Fall-back'!I:I,MATCH($P1239,'G_Fall-back'!$P:$P,0))="","",INDEX('G_Fall-back'!I:I,MATCH($P1239,'G_Fall-back'!$P:$P,0))))</f>
        <v/>
      </c>
      <c r="J1239" s="436" t="str">
        <f>IF($M1221&lt;&gt;EUconst_Relevant,"",IF(INDEX('G_Fall-back'!J:J,MATCH($P1239,'G_Fall-back'!$P:$P,0))="","",INDEX('G_Fall-back'!J:J,MATCH($P1239,'G_Fall-back'!$P:$P,0))))</f>
        <v/>
      </c>
      <c r="K1239" s="436" t="str">
        <f>IF($M1221&lt;&gt;EUconst_Relevant,"",IF(INDEX('G_Fall-back'!K:K,MATCH($P1239,'G_Fall-back'!$P:$P,0))="","",INDEX('G_Fall-back'!K:K,MATCH($P1239,'G_Fall-back'!$P:$P,0))))</f>
        <v/>
      </c>
      <c r="L1239" s="436" t="str">
        <f>IF($M1221&lt;&gt;EUconst_Relevant,"",IF(INDEX('G_Fall-back'!L:L,MATCH($P1239,'G_Fall-back'!$P:$P,0))="","",INDEX('G_Fall-back'!L:L,MATCH($P1239,'G_Fall-back'!$P:$P,0))))</f>
        <v/>
      </c>
      <c r="M1239" s="436" t="str">
        <f>IF($M1221&lt;&gt;EUconst_Relevant,"",IF(INDEX('G_Fall-back'!M:M,MATCH($P1239,'G_Fall-back'!$P:$P,0))="","",INDEX('G_Fall-back'!M:M,MATCH($P1239,'G_Fall-back'!$P:$P,0))))</f>
        <v/>
      </c>
      <c r="N1239" s="342"/>
      <c r="O1239" s="17"/>
      <c r="P1239" s="341" t="str">
        <f>EUconst_CNTR_FuelInput &amp; I1221</f>
        <v>FuelInput_Fuel benchmark sub-installation, non-CL</v>
      </c>
    </row>
    <row r="1240" spans="2:20" x14ac:dyDescent="0.25">
      <c r="B1240" s="17"/>
      <c r="C1240" s="17"/>
      <c r="D1240" s="17"/>
      <c r="E1240" s="1527" t="str">
        <f>Translations!$B$732</f>
        <v>Weighted emission factor</v>
      </c>
      <c r="F1240" s="1527"/>
      <c r="G1240" s="1527"/>
      <c r="H1240" s="343" t="str">
        <f>EUconst_tCO2pTJ</f>
        <v>t CO2 / TJ</v>
      </c>
      <c r="I1240" s="437" t="str">
        <f>IF($M1221&lt;&gt;EUconst_Relevant,"",IF(INDEX('G_Fall-back'!I:I,MATCH($P1240,'G_Fall-back'!$P:$P,0))="","",INDEX('G_Fall-back'!I:I,MATCH($P1240,'G_Fall-back'!$P:$P,0))))</f>
        <v/>
      </c>
      <c r="J1240" s="437" t="str">
        <f>IF($M1221&lt;&gt;EUconst_Relevant,"",IF(INDEX('G_Fall-back'!J:J,MATCH($P1240,'G_Fall-back'!$P:$P,0))="","",INDEX('G_Fall-back'!J:J,MATCH($P1240,'G_Fall-back'!$P:$P,0))))</f>
        <v/>
      </c>
      <c r="K1240" s="437" t="str">
        <f>IF($M1221&lt;&gt;EUconst_Relevant,"",IF(INDEX('G_Fall-back'!K:K,MATCH($P1240,'G_Fall-back'!$P:$P,0))="","",INDEX('G_Fall-back'!K:K,MATCH($P1240,'G_Fall-back'!$P:$P,0))))</f>
        <v/>
      </c>
      <c r="L1240" s="437" t="str">
        <f>IF($M1221&lt;&gt;EUconst_Relevant,"",IF(INDEX('G_Fall-back'!L:L,MATCH($P1240,'G_Fall-back'!$P:$P,0))="","",INDEX('G_Fall-back'!L:L,MATCH($P1240,'G_Fall-back'!$P:$P,0))))</f>
        <v/>
      </c>
      <c r="M1240" s="437" t="str">
        <f>IF($M1221&lt;&gt;EUconst_Relevant,"",IF(INDEX('G_Fall-back'!M:M,MATCH($P1240,'G_Fall-back'!$P:$P,0))="","",INDEX('G_Fall-back'!M:M,MATCH($P1240,'G_Fall-back'!$P:$P,0))))</f>
        <v/>
      </c>
      <c r="N1240" s="342"/>
      <c r="O1240" s="17"/>
      <c r="P1240" s="116" t="str">
        <f>EUconst_CNTR_FuelEF &amp; I1221</f>
        <v>FuelEF_Fuel benchmark sub-installation, non-CL</v>
      </c>
    </row>
    <row r="1241" spans="2:20" x14ac:dyDescent="0.25">
      <c r="B1241" s="17"/>
      <c r="C1241" s="17"/>
      <c r="D1241" s="17"/>
      <c r="E1241" s="1526" t="str">
        <f>Translations!$B$853</f>
        <v>Fuel input from waste gases</v>
      </c>
      <c r="F1241" s="1526"/>
      <c r="G1241" s="1526"/>
      <c r="H1241" s="939" t="str">
        <f>EUconst_TJpa</f>
        <v>TJ / year</v>
      </c>
      <c r="I1241" s="436" t="str">
        <f>IF($M1221&lt;&gt;EUconst_Relevant,"",IF(INDEX('G_Fall-back'!I:I,MATCH($P1241,'G_Fall-back'!$P:$P,0))="","",INDEX('G_Fall-back'!I:I,MATCH($P1241,'G_Fall-back'!$P:$P,0))))</f>
        <v/>
      </c>
      <c r="J1241" s="436" t="str">
        <f>IF($M1221&lt;&gt;EUconst_Relevant,"",IF(INDEX('G_Fall-back'!J:J,MATCH($P1241,'G_Fall-back'!$P:$P,0))="","",INDEX('G_Fall-back'!J:J,MATCH($P1241,'G_Fall-back'!$P:$P,0))))</f>
        <v/>
      </c>
      <c r="K1241" s="436" t="str">
        <f>IF($M1221&lt;&gt;EUconst_Relevant,"",IF(INDEX('G_Fall-back'!K:K,MATCH($P1241,'G_Fall-back'!$P:$P,0))="","",INDEX('G_Fall-back'!K:K,MATCH($P1241,'G_Fall-back'!$P:$P,0))))</f>
        <v/>
      </c>
      <c r="L1241" s="436" t="str">
        <f>IF($M1221&lt;&gt;EUconst_Relevant,"",IF(INDEX('G_Fall-back'!L:L,MATCH($P1241,'G_Fall-back'!$P:$P,0))="","",INDEX('G_Fall-back'!L:L,MATCH($P1241,'G_Fall-back'!$P:$P,0))))</f>
        <v/>
      </c>
      <c r="M1241" s="436" t="str">
        <f>IF($M1221&lt;&gt;EUconst_Relevant,"",IF(INDEX('G_Fall-back'!M:M,MATCH($P1241,'G_Fall-back'!$P:$P,0))="","",INDEX('G_Fall-back'!M:M,MATCH($P1241,'G_Fall-back'!$P:$P,0))))</f>
        <v/>
      </c>
      <c r="N1241" s="342"/>
      <c r="O1241" s="17"/>
      <c r="P1241" s="626" t="str">
        <f>EUconst_CNTR_WGConsumed &amp; I1221</f>
        <v>WasteGasCons_Fuel benchmark sub-installation, non-CL</v>
      </c>
    </row>
    <row r="1242" spans="2:20" x14ac:dyDescent="0.25">
      <c r="B1242" s="17"/>
      <c r="C1242" s="17"/>
      <c r="D1242" s="17"/>
      <c r="E1242" s="1527" t="str">
        <f>Translations!$B$732</f>
        <v>Weighted emission factor</v>
      </c>
      <c r="F1242" s="1527"/>
      <c r="G1242" s="1527"/>
      <c r="H1242" s="343" t="str">
        <f>EUconst_tCO2pTJ</f>
        <v>t CO2 / TJ</v>
      </c>
      <c r="I1242" s="437" t="str">
        <f>IF($M1221&lt;&gt;EUconst_Relevant,"",IF(INDEX('G_Fall-back'!I:I,MATCH($P1242,'G_Fall-back'!$P:$P,0))="","",INDEX('G_Fall-back'!I:I,MATCH($P1242,'G_Fall-back'!$P:$P,0))))</f>
        <v/>
      </c>
      <c r="J1242" s="437" t="str">
        <f>IF($M1221&lt;&gt;EUconst_Relevant,"",IF(INDEX('G_Fall-back'!J:J,MATCH($P1242,'G_Fall-back'!$P:$P,0))="","",INDEX('G_Fall-back'!J:J,MATCH($P1242,'G_Fall-back'!$P:$P,0))))</f>
        <v/>
      </c>
      <c r="K1242" s="437" t="str">
        <f>IF($M1221&lt;&gt;EUconst_Relevant,"",IF(INDEX('G_Fall-back'!K:K,MATCH($P1242,'G_Fall-back'!$P:$P,0))="","",INDEX('G_Fall-back'!K:K,MATCH($P1242,'G_Fall-back'!$P:$P,0))))</f>
        <v/>
      </c>
      <c r="L1242" s="437" t="str">
        <f>IF($M1221&lt;&gt;EUconst_Relevant,"",IF(INDEX('G_Fall-back'!L:L,MATCH($P1242,'G_Fall-back'!$P:$P,0))="","",INDEX('G_Fall-back'!L:L,MATCH($P1242,'G_Fall-back'!$P:$P,0))))</f>
        <v/>
      </c>
      <c r="M1242" s="437" t="str">
        <f>IF($M1221&lt;&gt;EUconst_Relevant,"",IF(INDEX('G_Fall-back'!M:M,MATCH($P1242,'G_Fall-back'!$P:$P,0))="","",INDEX('G_Fall-back'!M:M,MATCH($P1242,'G_Fall-back'!$P:$P,0))))</f>
        <v/>
      </c>
      <c r="N1242" s="342"/>
      <c r="O1242" s="17"/>
      <c r="P1242" s="116" t="str">
        <f>EUconst_CNTR_WGConsumedEF &amp; I1221</f>
        <v>WasteGasConsEF_Fuel benchmark sub-installation, non-CL</v>
      </c>
    </row>
    <row r="1243" spans="2:20" ht="5.0999999999999996" customHeight="1" x14ac:dyDescent="0.25">
      <c r="B1243" s="17"/>
      <c r="C1243" s="17"/>
      <c r="D1243" s="17"/>
      <c r="E1243" s="193"/>
      <c r="F1243" s="342"/>
      <c r="G1243" s="342"/>
      <c r="H1243" s="342"/>
      <c r="I1243" s="438"/>
      <c r="J1243" s="438"/>
      <c r="K1243" s="438"/>
      <c r="L1243" s="438"/>
      <c r="M1243" s="438"/>
      <c r="N1243" s="342"/>
      <c r="O1243" s="17"/>
    </row>
    <row r="1244" spans="2:20" x14ac:dyDescent="0.25">
      <c r="B1244" s="17"/>
      <c r="C1244" s="17"/>
      <c r="D1244" s="17"/>
      <c r="E1244" s="1528" t="str">
        <f>Translations!$B$687</f>
        <v>Direct emissions</v>
      </c>
      <c r="F1244" s="1528"/>
      <c r="G1244" s="1528"/>
      <c r="H1244" s="154" t="str">
        <f>EUconst_tCO2pa</f>
        <v>t CO2 / year</v>
      </c>
      <c r="I1244" s="439" t="str">
        <f>IF($M1221&lt;&gt;EUconst_Relevant,"",IF(INDEX('G_Fall-back'!I:I,MATCH($P1244,'G_Fall-back'!$P:$P,0))="","",INDEX('G_Fall-back'!I:I,MATCH($P1244,'G_Fall-back'!$P:$P,0))))</f>
        <v/>
      </c>
      <c r="J1244" s="439" t="str">
        <f>IF($M1221&lt;&gt;EUconst_Relevant,"",IF(INDEX('G_Fall-back'!J:J,MATCH($P1244,'G_Fall-back'!$P:$P,0))="","",INDEX('G_Fall-back'!J:J,MATCH($P1244,'G_Fall-back'!$P:$P,0))))</f>
        <v/>
      </c>
      <c r="K1244" s="439" t="str">
        <f>IF($M1221&lt;&gt;EUconst_Relevant,"",IF(INDEX('G_Fall-back'!K:K,MATCH($P1244,'G_Fall-back'!$P:$P,0))="","",INDEX('G_Fall-back'!K:K,MATCH($P1244,'G_Fall-back'!$P:$P,0))))</f>
        <v/>
      </c>
      <c r="L1244" s="439" t="str">
        <f>IF($M1221&lt;&gt;EUconst_Relevant,"",IF(INDEX('G_Fall-back'!L:L,MATCH($P1244,'G_Fall-back'!$P:$P,0))="","",INDEX('G_Fall-back'!L:L,MATCH($P1244,'G_Fall-back'!$P:$P,0))))</f>
        <v/>
      </c>
      <c r="M1244" s="439" t="str">
        <f>IF($M1221&lt;&gt;EUconst_Relevant,"",IF(INDEX('G_Fall-back'!M:M,MATCH($P1244,'G_Fall-back'!$P:$P,0))="","",INDEX('G_Fall-back'!M:M,MATCH($P1244,'G_Fall-back'!$P:$P,0))))</f>
        <v/>
      </c>
      <c r="N1244" s="342"/>
      <c r="O1244" s="17"/>
      <c r="P1244" s="116" t="str">
        <f>EUconst_CNTR_Emissions &amp; I1221</f>
        <v>DirEmissions_Fuel benchmark sub-installation, non-CL</v>
      </c>
    </row>
    <row r="1245" spans="2:20" ht="5.0999999999999996" customHeight="1" x14ac:dyDescent="0.25">
      <c r="B1245" s="17"/>
      <c r="C1245" s="17"/>
      <c r="D1245" s="17"/>
      <c r="E1245" s="193"/>
      <c r="F1245" s="193"/>
      <c r="G1245" s="193"/>
      <c r="H1245" s="193"/>
      <c r="I1245" s="438"/>
      <c r="J1245" s="438"/>
      <c r="K1245" s="438"/>
      <c r="L1245" s="438"/>
      <c r="M1245" s="438"/>
      <c r="N1245" s="342"/>
      <c r="O1245" s="17"/>
    </row>
    <row r="1246" spans="2:20" x14ac:dyDescent="0.25">
      <c r="B1246" s="17"/>
      <c r="C1246" s="17"/>
      <c r="D1246" s="17"/>
      <c r="E1246" s="1528" t="str">
        <f>Translations!$B$770</f>
        <v>Net heat exported</v>
      </c>
      <c r="F1246" s="1528"/>
      <c r="G1246" s="1528"/>
      <c r="H1246" s="154" t="str">
        <f>EUconst_TJpa</f>
        <v>TJ / year</v>
      </c>
      <c r="I1246" s="439" t="str">
        <f>IF($M1221&lt;&gt;EUconst_Relevant,"",IF(INDEX('G_Fall-back'!I:I,MATCH($P1246,'G_Fall-back'!$P:$P,0))="","",INDEX('G_Fall-back'!I:I,MATCH($P1246,'G_Fall-back'!$P:$P,0))))</f>
        <v/>
      </c>
      <c r="J1246" s="439" t="str">
        <f>IF($M1221&lt;&gt;EUconst_Relevant,"",IF(INDEX('G_Fall-back'!J:J,MATCH($P1246,'G_Fall-back'!$P:$P,0))="","",INDEX('G_Fall-back'!J:J,MATCH($P1246,'G_Fall-back'!$P:$P,0))))</f>
        <v/>
      </c>
      <c r="K1246" s="439" t="str">
        <f>IF($M1221&lt;&gt;EUconst_Relevant,"",IF(INDEX('G_Fall-back'!K:K,MATCH($P1246,'G_Fall-back'!$P:$P,0))="","",INDEX('G_Fall-back'!K:K,MATCH($P1246,'G_Fall-back'!$P:$P,0))))</f>
        <v/>
      </c>
      <c r="L1246" s="439" t="str">
        <f>IF($M1221&lt;&gt;EUconst_Relevant,"",IF(INDEX('G_Fall-back'!L:L,MATCH($P1246,'G_Fall-back'!$P:$P,0))="","",INDEX('G_Fall-back'!L:L,MATCH($P1246,'G_Fall-back'!$P:$P,0))))</f>
        <v/>
      </c>
      <c r="M1246" s="439" t="str">
        <f>IF($M1221&lt;&gt;EUconst_Relevant,"",IF(INDEX('G_Fall-back'!M:M,MATCH($P1246,'G_Fall-back'!$P:$P,0))="","",INDEX('G_Fall-back'!M:M,MATCH($P1246,'G_Fall-back'!$P:$P,0))))</f>
        <v/>
      </c>
      <c r="N1246" s="342"/>
      <c r="O1246" s="17"/>
      <c r="P1246" s="116" t="str">
        <f>EUconst_CNTR_HeatExport &amp; I1221</f>
        <v>HeatEx_Fuel benchmark sub-installation, non-CL</v>
      </c>
    </row>
    <row r="1247" spans="2:20" ht="12.75" customHeight="1" x14ac:dyDescent="0.25">
      <c r="B1247" s="17"/>
      <c r="C1247" s="17"/>
      <c r="D1247" s="17"/>
      <c r="E1247" s="1528" t="s">
        <v>646</v>
      </c>
      <c r="F1247" s="1528"/>
      <c r="G1247" s="1528"/>
      <c r="H1247" s="154" t="str">
        <f>EUconst_TJpa</f>
        <v>TJ / year</v>
      </c>
      <c r="I1247" s="439" t="str">
        <f>IF($M1221&lt;&gt;EUconst_Relevant,"",IF(INDEX('G_Fall-back'!I:I,MATCH($P1247,'G_Fall-back'!$P:$P,0))="","",INDEX('G_Fall-back'!I:I,MATCH($P1247,'G_Fall-back'!$P:$P,0))))</f>
        <v/>
      </c>
      <c r="J1247" s="439" t="str">
        <f>IF($M1221&lt;&gt;EUconst_Relevant,"",IF(INDEX('G_Fall-back'!J:J,MATCH($P1247,'G_Fall-back'!$P:$P,0))="","",INDEX('G_Fall-back'!J:J,MATCH($P1247,'G_Fall-back'!$P:$P,0))))</f>
        <v/>
      </c>
      <c r="K1247" s="439" t="str">
        <f>IF($M1221&lt;&gt;EUconst_Relevant,"",IF(INDEX('G_Fall-back'!K:K,MATCH($P1247,'G_Fall-back'!$P:$P,0))="","",INDEX('G_Fall-back'!K:K,MATCH($P1247,'G_Fall-back'!$P:$P,0))))</f>
        <v/>
      </c>
      <c r="L1247" s="439" t="str">
        <f>IF($M1221&lt;&gt;EUconst_Relevant,"",IF(INDEX('G_Fall-back'!L:L,MATCH($P1247,'G_Fall-back'!$P:$P,0))="","",INDEX('G_Fall-back'!L:L,MATCH($P1247,'G_Fall-back'!$P:$P,0))))</f>
        <v/>
      </c>
      <c r="M1247" s="439" t="str">
        <f>IF($M1221&lt;&gt;EUconst_Relevant,"",IF(INDEX('G_Fall-back'!M:M,MATCH($P1247,'G_Fall-back'!$P:$P,0))="","",INDEX('G_Fall-back'!M:M,MATCH($P1247,'G_Fall-back'!$P:$P,0))))</f>
        <v/>
      </c>
      <c r="N1247" s="342"/>
      <c r="O1247" s="17"/>
      <c r="P1247" s="63" t="str">
        <f>EUconst_CNTR_HeatExportEF &amp; I1221</f>
        <v>HeatExEF_Fuel benchmark sub-installation, non-CL</v>
      </c>
    </row>
    <row r="1248" spans="2:20" ht="12.75" customHeight="1" x14ac:dyDescent="0.25">
      <c r="B1248" s="17"/>
      <c r="C1248" s="17"/>
      <c r="D1248" s="17"/>
      <c r="E1248" s="342"/>
      <c r="F1248" s="342"/>
      <c r="G1248" s="342"/>
      <c r="H1248" s="342"/>
      <c r="I1248" s="342"/>
      <c r="J1248" s="342"/>
      <c r="K1248" s="342"/>
      <c r="L1248" s="342"/>
      <c r="M1248" s="342"/>
      <c r="N1248" s="342"/>
      <c r="O1248" s="17"/>
    </row>
    <row r="1249" spans="2:20" ht="13.8" thickBot="1" x14ac:dyDescent="0.3">
      <c r="B1249" s="17"/>
      <c r="C1249" s="17"/>
      <c r="D1249" s="17"/>
      <c r="E1249" s="17"/>
      <c r="F1249" s="17"/>
      <c r="G1249" s="17"/>
      <c r="H1249" s="276"/>
      <c r="I1249" s="276"/>
      <c r="J1249" s="276"/>
      <c r="K1249" s="276"/>
      <c r="L1249" s="276"/>
      <c r="M1249" s="17"/>
      <c r="N1249" s="17"/>
      <c r="O1249" s="17"/>
    </row>
    <row r="1250" spans="2:20" ht="12.75" customHeight="1" thickBot="1" x14ac:dyDescent="0.3">
      <c r="B1250" s="8"/>
      <c r="C1250" s="906"/>
      <c r="D1250" s="906"/>
      <c r="E1250" s="906"/>
      <c r="F1250" s="906"/>
      <c r="G1250" s="906"/>
      <c r="H1250" s="906"/>
      <c r="I1250" s="906"/>
      <c r="J1250" s="906"/>
      <c r="K1250" s="906"/>
      <c r="L1250" s="906"/>
      <c r="M1250" s="906"/>
      <c r="N1250" s="906"/>
      <c r="O1250" s="17"/>
      <c r="T1250" s="9" t="s">
        <v>644</v>
      </c>
    </row>
    <row r="1251" spans="2:20" ht="15" customHeight="1" thickBot="1" x14ac:dyDescent="0.3">
      <c r="B1251" s="17"/>
      <c r="C1251" s="19">
        <f>C1221+1</f>
        <v>16</v>
      </c>
      <c r="D1251" s="1234" t="str">
        <f>CONCATENATE(EUconst_FBSubinst," ",C1251-10, ":")</f>
        <v>Fall-Back sub-installation 6:</v>
      </c>
      <c r="E1251" s="1176"/>
      <c r="F1251" s="1176"/>
      <c r="G1251" s="1176"/>
      <c r="H1251" s="1260"/>
      <c r="I1251" s="1710" t="str">
        <f>INDEX(EUconst_FallBackListNames,$C1251-10)</f>
        <v>Process emissions sub-installation, CL</v>
      </c>
      <c r="J1251" s="1711"/>
      <c r="K1251" s="1711"/>
      <c r="L1251" s="1712"/>
      <c r="M1251" s="1608" t="str">
        <f>IF(ISBLANK(INDEX(CNTR_FallBackSubInstRelevant,C1251-10)),"",IF(INDEX(CNTR_FallBackSubInstRelevant,C1251-10),EUconst_Relevant,EUconst_NotRelevant))</f>
        <v/>
      </c>
      <c r="N1251" s="1609"/>
      <c r="O1251" s="17"/>
      <c r="Q1251" s="427">
        <f>C1251</f>
        <v>16</v>
      </c>
      <c r="R1251" s="424" t="str">
        <f>I1251</f>
        <v>Process emissions sub-installation, CL</v>
      </c>
      <c r="S1251" s="426" t="b">
        <f>H1254</f>
        <v>1</v>
      </c>
      <c r="T1251" s="425" t="str">
        <f>IF(M1263="","",IF(S1254=0,0,SUM(M1263)/S1254))</f>
        <v/>
      </c>
    </row>
    <row r="1252" spans="2:20" ht="5.0999999999999996" customHeight="1" thickBot="1" x14ac:dyDescent="0.3">
      <c r="B1252" s="17"/>
      <c r="C1252" s="17"/>
      <c r="D1252" s="17"/>
      <c r="E1252" s="17"/>
      <c r="F1252" s="17"/>
      <c r="G1252" s="17"/>
      <c r="H1252" s="17"/>
      <c r="I1252" s="17"/>
      <c r="J1252" s="17"/>
      <c r="K1252" s="17"/>
      <c r="L1252" s="17"/>
      <c r="M1252" s="17"/>
      <c r="N1252" s="17"/>
      <c r="O1252" s="17"/>
      <c r="T1252" s="9"/>
    </row>
    <row r="1253" spans="2:20" x14ac:dyDescent="0.25">
      <c r="B1253" s="17"/>
      <c r="C1253" s="17"/>
      <c r="D1253" s="17"/>
      <c r="E1253" s="17"/>
      <c r="F1253" s="17"/>
      <c r="G1253" s="17"/>
      <c r="H1253" s="253" t="str">
        <f>Translations!$B$1204</f>
        <v>CL-exposed</v>
      </c>
      <c r="I1253" s="254" t="str">
        <f>Translations!$B$1208</f>
        <v>Started</v>
      </c>
      <c r="J1253" s="254" t="str">
        <f>Translations!$B$1212</f>
        <v>15(7).3?</v>
      </c>
      <c r="K1253" s="254" t="str">
        <f>Translations!$B$1214</f>
        <v>15(7).3 HAL</v>
      </c>
      <c r="L1253" s="329" t="str">
        <f>Translations!$B$1206</f>
        <v>No. of BM</v>
      </c>
      <c r="M1253" s="468" t="str">
        <f>Translations!$B$1234</f>
        <v>BM value (min/max/actual)</v>
      </c>
      <c r="N1253" s="469"/>
      <c r="O1253" s="17"/>
      <c r="T1253" s="9"/>
    </row>
    <row r="1254" spans="2:20" x14ac:dyDescent="0.25">
      <c r="B1254" s="17"/>
      <c r="C1254" s="17"/>
      <c r="D1254" s="17"/>
      <c r="E1254" s="255" t="str">
        <f>I1251</f>
        <v>Process emissions sub-installation, CL</v>
      </c>
      <c r="F1254" s="256"/>
      <c r="G1254" s="230"/>
      <c r="H1254" s="257" t="b">
        <f>INDEX(EUconst_FallBackListCLstatus,MATCH(I1251,EUconst_FallBackListNames,0))</f>
        <v>1</v>
      </c>
      <c r="I1254" s="355" t="str">
        <f>IF(M1251&lt;&gt;EUconst_Relevant,"",INDEX(CNTR_SubInstStartDate,MATCH(E1254,CNTR_SubInstListNames,0)))</f>
        <v/>
      </c>
      <c r="J1254" s="258" t="str">
        <f>IF(M1251&lt;&gt;EUconst_Relevant,"",INDEX(CNTR_SubInstLess1Year,MATCH(E1254,CNTR_SubInstListNames,0)))</f>
        <v/>
      </c>
      <c r="K1254" s="203" t="str">
        <f>IF($J1254=TRUE,SUMIF('G_Fall-back'!$P:$P,EUconst_CNTR_HAL&amp;$E1254,'G_Fall-back'!$N:$N),"")</f>
        <v/>
      </c>
      <c r="L1254" s="353">
        <f>C1251-10</f>
        <v>6</v>
      </c>
      <c r="M1254" s="474" t="str">
        <f>IF(M1251&lt;&gt;EUconst_Relevant,"",INDEX(EUconst_FallBackListBMvaluesMatrix,L1254,2))</f>
        <v/>
      </c>
      <c r="N1254" s="471" t="str">
        <f>EUconst_EUA &amp; "/" &amp; H1259</f>
        <v>UKA/t CO2e</v>
      </c>
      <c r="O1254" s="17"/>
      <c r="R1254" s="288" t="s">
        <v>639</v>
      </c>
      <c r="S1254" s="335">
        <f>IF(H1254,1,INDEX(EUconst_CLEFYears,1))</f>
        <v>1</v>
      </c>
    </row>
    <row r="1255" spans="2:20" x14ac:dyDescent="0.25">
      <c r="B1255" s="17"/>
      <c r="C1255" s="17"/>
      <c r="D1255" s="276"/>
      <c r="E1255" s="276"/>
      <c r="F1255" s="276"/>
      <c r="G1255" s="276"/>
      <c r="H1255" s="276"/>
      <c r="I1255" s="276"/>
      <c r="J1255" s="276"/>
      <c r="K1255" s="276"/>
      <c r="L1255" s="276"/>
      <c r="M1255" s="474" t="str">
        <f>IF(M1251&lt;&gt;EUconst_Relevant,"",INDEX(EUconst_FallBackListBMvaluesMatrix,L1254,1))</f>
        <v/>
      </c>
      <c r="N1255" s="471" t="str">
        <f>EUconst_EUA &amp; "/" &amp; H1259</f>
        <v>UKA/t CO2e</v>
      </c>
      <c r="O1255" s="17"/>
      <c r="R1255" s="288"/>
      <c r="S1255" s="368"/>
    </row>
    <row r="1256" spans="2:20" ht="13.8" thickBot="1" x14ac:dyDescent="0.3">
      <c r="B1256" s="17"/>
      <c r="C1256" s="17"/>
      <c r="D1256" s="276"/>
      <c r="E1256" s="276"/>
      <c r="F1256" s="276"/>
      <c r="G1256" s="276"/>
      <c r="H1256" s="276"/>
      <c r="I1256" s="276"/>
      <c r="J1256" s="276"/>
      <c r="K1256" s="276"/>
      <c r="L1256" s="276"/>
      <c r="M1256" s="475" t="str">
        <f>IF(M1251&lt;&gt;EUconst_Relevant,"",IF(EUconst_StatusOfDataCollection,INDEX(EUconst_FallBackListBMvaluesMatrix,L1254,3),""))</f>
        <v/>
      </c>
      <c r="N1256" s="473" t="str">
        <f>EUconst_EUA &amp; "/" &amp; H1259</f>
        <v>UKA/t CO2e</v>
      </c>
      <c r="O1256" s="17"/>
      <c r="R1256" s="288"/>
      <c r="S1256" s="368"/>
    </row>
    <row r="1257" spans="2:20" ht="5.0999999999999996" customHeight="1" x14ac:dyDescent="0.25">
      <c r="B1257" s="17"/>
      <c r="C1257" s="17"/>
      <c r="D1257" s="17"/>
      <c r="E1257" s="17"/>
      <c r="F1257" s="17"/>
      <c r="G1257" s="17"/>
      <c r="H1257" s="17"/>
      <c r="I1257" s="17"/>
      <c r="J1257" s="17"/>
      <c r="K1257" s="17"/>
      <c r="L1257" s="17"/>
      <c r="M1257" s="17"/>
      <c r="N1257" s="17"/>
      <c r="O1257" s="17"/>
    </row>
    <row r="1258" spans="2:20" x14ac:dyDescent="0.25">
      <c r="B1258" s="17"/>
      <c r="C1258" s="17"/>
      <c r="D1258" s="17"/>
      <c r="E1258" s="78"/>
      <c r="F1258" s="78"/>
      <c r="G1258" s="259"/>
      <c r="H1258" s="253" t="str">
        <f>EUconst_Unit</f>
        <v>Unit</v>
      </c>
      <c r="I1258" s="149">
        <f>I$1397</f>
        <v>2019</v>
      </c>
      <c r="J1258" s="149">
        <f>J$1397</f>
        <v>2020</v>
      </c>
      <c r="K1258" s="149">
        <f>K$1397</f>
        <v>2021</v>
      </c>
      <c r="L1258" s="149">
        <f>L$1397</f>
        <v>2022</v>
      </c>
      <c r="M1258" s="149">
        <f>M$1397</f>
        <v>2023</v>
      </c>
      <c r="N1258" s="17"/>
      <c r="O1258" s="17"/>
      <c r="P1258" s="63" t="s">
        <v>397</v>
      </c>
    </row>
    <row r="1259" spans="2:20" x14ac:dyDescent="0.25">
      <c r="B1259" s="17"/>
      <c r="C1259" s="17"/>
      <c r="D1259" s="17"/>
      <c r="E1259" s="260" t="str">
        <f>Translations!$B$1236</f>
        <v>HAL (Historic activity level) reported</v>
      </c>
      <c r="F1259" s="261"/>
      <c r="G1259" s="262"/>
      <c r="H1259" s="257" t="str">
        <f>INDEX(EUconst_FallBackListUnits,L1254)</f>
        <v>t CO2e</v>
      </c>
      <c r="I1259" s="203" t="str">
        <f>IF($M1251&lt;&gt;EUconst_Relevant,"",SUMIF('G_Fall-back'!$P:$P,$P1260,'G_Fall-back'!I:I))</f>
        <v/>
      </c>
      <c r="J1259" s="203" t="str">
        <f>IF($M1251&lt;&gt;EUconst_Relevant,"",SUMIF('G_Fall-back'!$P:$P,$P1260,'G_Fall-back'!J:J))</f>
        <v/>
      </c>
      <c r="K1259" s="203" t="str">
        <f>IF($M1251&lt;&gt;EUconst_Relevant,"",SUMIF('G_Fall-back'!$P:$P,$P1260,'G_Fall-back'!K:K))</f>
        <v/>
      </c>
      <c r="L1259" s="203" t="str">
        <f>IF($M1251&lt;&gt;EUconst_Relevant,"",SUMIF('G_Fall-back'!$P:$P,$P1260,'G_Fall-back'!L:L))</f>
        <v/>
      </c>
      <c r="M1259" s="203" t="str">
        <f>IF($M1251&lt;&gt;EUconst_Relevant,"",SUMIF('G_Fall-back'!$P:$P,$P1260,'G_Fall-back'!M:M))</f>
        <v/>
      </c>
      <c r="N1259" s="254" t="str">
        <f>Translations!$B$1224</f>
        <v>Average</v>
      </c>
      <c r="O1259" s="17"/>
      <c r="P1259" s="63" t="str">
        <f>EUconst_CNTR_HAL&amp;I1251</f>
        <v>HAL_Process emissions sub-installation, CL</v>
      </c>
      <c r="T1259" s="9"/>
    </row>
    <row r="1260" spans="2:20" x14ac:dyDescent="0.25">
      <c r="B1260" s="17"/>
      <c r="C1260" s="17"/>
      <c r="D1260" s="17"/>
      <c r="E1260" s="260" t="str">
        <f>Translations!$B$1237</f>
        <v>Values used for HAL calculation:</v>
      </c>
      <c r="F1260" s="261"/>
      <c r="G1260" s="262"/>
      <c r="H1260" s="257" t="str">
        <f>H1259</f>
        <v>t CO2e</v>
      </c>
      <c r="I1260" s="148" t="str">
        <f>IF($M1251&lt;&gt;EUconst_Relevant,"",INDEX('G_Fall-back'!S:S,MATCH($P1260,'G_Fall-back'!$P:$P,0)))</f>
        <v/>
      </c>
      <c r="J1260" s="148" t="str">
        <f>IF($M1251&lt;&gt;EUconst_Relevant,"",INDEX('G_Fall-back'!T:T,MATCH($P1260,'G_Fall-back'!$P:$P,0)))</f>
        <v/>
      </c>
      <c r="K1260" s="148" t="str">
        <f>IF($M1251&lt;&gt;EUconst_Relevant,"",INDEX('G_Fall-back'!U:U,MATCH($P1260,'G_Fall-back'!$P:$P,0)))</f>
        <v/>
      </c>
      <c r="L1260" s="148" t="str">
        <f>IF($M1251&lt;&gt;EUconst_Relevant,"",INDEX('G_Fall-back'!V:V,MATCH($P1260,'G_Fall-back'!$P:$P,0)))</f>
        <v/>
      </c>
      <c r="M1260" s="148" t="str">
        <f>IF($M1251&lt;&gt;EUconst_Relevant,"",INDEX('G_Fall-back'!W:W,MATCH($P1260,'G_Fall-back'!$P:$P,0)))</f>
        <v/>
      </c>
      <c r="N1260" s="203" t="str">
        <f>IF(OR($M1251&lt;&gt;EUconst_Relevant,$J1254=TRUE),"",IF(COUNT($I1260:$M1260)&gt;0,AVERAGE($I1260:$M1260),""))</f>
        <v/>
      </c>
      <c r="O1260" s="17"/>
      <c r="P1260" s="63" t="str">
        <f>EUconst_CNTR_HAL&amp;I1251</f>
        <v>HAL_Process emissions sub-installation, CL</v>
      </c>
      <c r="R1260" s="442" t="s">
        <v>640</v>
      </c>
      <c r="S1260" s="442" t="s">
        <v>641</v>
      </c>
      <c r="T1260" s="442" t="s">
        <v>642</v>
      </c>
    </row>
    <row r="1261" spans="2:20" ht="5.0999999999999996" customHeight="1" thickBot="1" x14ac:dyDescent="0.3">
      <c r="B1261" s="17"/>
      <c r="C1261" s="17"/>
      <c r="D1261" s="17"/>
      <c r="E1261" s="17"/>
      <c r="F1261" s="17"/>
      <c r="G1261" s="17"/>
      <c r="H1261" s="17"/>
      <c r="I1261" s="17"/>
      <c r="J1261" s="17"/>
      <c r="K1261" s="17"/>
      <c r="L1261" s="17"/>
      <c r="M1261" s="17"/>
      <c r="N1261" s="17"/>
      <c r="O1261" s="17"/>
      <c r="T1261" s="9"/>
    </row>
    <row r="1262" spans="2:20" ht="13.8" thickBot="1" x14ac:dyDescent="0.3">
      <c r="B1262" s="17"/>
      <c r="C1262" s="17"/>
      <c r="D1262" s="17"/>
      <c r="E1262" s="17"/>
      <c r="F1262" s="263" t="s">
        <v>643</v>
      </c>
      <c r="G1262" s="337"/>
      <c r="H1262" s="17"/>
      <c r="I1262" s="336" t="str">
        <f>Translations!$B$1226</f>
        <v>Prelim Alloc Year 1 (min)</v>
      </c>
      <c r="J1262" s="337"/>
      <c r="K1262" s="336" t="str">
        <f>Translations!$B$1229</f>
        <v>Prelim Alloc Year 1 (max)</v>
      </c>
      <c r="L1262" s="337"/>
      <c r="M1262" s="336" t="str">
        <f>Translations!$B$1231</f>
        <v>Prelim Alloc Year 1 (actual)</v>
      </c>
      <c r="N1262" s="337"/>
      <c r="O1262" s="17"/>
      <c r="P1262" s="63" t="str">
        <f>EUconst_AllocPrelim&amp;I1251</f>
        <v>AllocPrelim_Process emissions sub-installation, CL</v>
      </c>
      <c r="R1262" s="423" t="str">
        <f>IF(I1263="","",IF(S1254=0,0,SUM(I1263)/S1254))</f>
        <v/>
      </c>
      <c r="S1262" s="423" t="str">
        <f>IF(K1263="","",IF(S1254=0,0,SUM(K1263)/S1254))</f>
        <v/>
      </c>
      <c r="T1262" s="423" t="str">
        <f>T1251</f>
        <v/>
      </c>
    </row>
    <row r="1263" spans="2:20" ht="13.8" thickBot="1" x14ac:dyDescent="0.3">
      <c r="B1263" s="17"/>
      <c r="C1263" s="17"/>
      <c r="D1263" s="17"/>
      <c r="E1263" s="17"/>
      <c r="F1263" s="264" t="str">
        <f>IF(M1251&lt;&gt;EUconst_Relevant,"",MAX(0, IF(J1254=TRUE, SUM(K1254), SUM(N1260))))</f>
        <v/>
      </c>
      <c r="G1263" s="409" t="str">
        <f>H1260&amp;" / "&amp;EUconst_Year</f>
        <v>t CO2e / year</v>
      </c>
      <c r="H1263" s="17"/>
      <c r="I1263" s="333" t="str">
        <f>IF(M1251&lt;&gt;EUconst_Relevant,"",ROUND(SUM(M1254)*SUM(F1263)*SUM(S1254),0))</f>
        <v/>
      </c>
      <c r="J1263" s="409" t="s">
        <v>645</v>
      </c>
      <c r="K1263" s="333" t="str">
        <f>IF(M1251&lt;&gt;EUconst_Relevant,"",ROUND(SUM(M1255)*SUM(F1263)*SUM(S1254),0))</f>
        <v/>
      </c>
      <c r="L1263" s="409" t="s">
        <v>645</v>
      </c>
      <c r="M1263" s="333" t="str">
        <f>IF(OR(M1251&lt;&gt;EUconst_Relevant,M1256=""),"",ROUND(SUM(M1256)*SUM(F1263)*SUM(S1254),0))</f>
        <v/>
      </c>
      <c r="N1263" s="409" t="s">
        <v>645</v>
      </c>
      <c r="O1263" s="17"/>
      <c r="P1263" s="63" t="str">
        <f>EUconst_HALsum &amp; I1251</f>
        <v>HALsum_Process emissions sub-installation, CL</v>
      </c>
    </row>
    <row r="1264" spans="2:20" x14ac:dyDescent="0.25">
      <c r="B1264" s="17"/>
      <c r="C1264" s="17"/>
      <c r="D1264" s="17"/>
      <c r="E1264" s="17"/>
      <c r="F1264" s="17"/>
      <c r="G1264" s="17"/>
      <c r="H1264" s="17"/>
      <c r="I1264" s="17"/>
      <c r="J1264" s="17"/>
      <c r="K1264" s="17"/>
      <c r="L1264" s="17"/>
      <c r="M1264" s="17"/>
      <c r="N1264" s="17"/>
      <c r="O1264" s="17"/>
    </row>
    <row r="1265" spans="2:20" ht="12.75" customHeight="1" x14ac:dyDescent="0.25">
      <c r="B1265" s="17"/>
      <c r="C1265" s="17"/>
      <c r="D1265" s="17"/>
      <c r="E1265" s="193"/>
      <c r="F1265" s="342"/>
      <c r="G1265" s="342"/>
      <c r="H1265" s="342"/>
      <c r="I1265" s="342"/>
      <c r="J1265" s="342"/>
      <c r="K1265" s="342"/>
      <c r="L1265" s="342"/>
      <c r="M1265" s="342"/>
      <c r="N1265" s="342"/>
      <c r="O1265" s="17"/>
    </row>
    <row r="1266" spans="2:20" ht="13.8" thickBot="1" x14ac:dyDescent="0.3">
      <c r="B1266" s="17"/>
      <c r="C1266" s="17"/>
      <c r="D1266" s="17"/>
      <c r="E1266" s="193"/>
      <c r="F1266" s="342"/>
      <c r="G1266" s="342"/>
      <c r="H1266" s="192" t="str">
        <f>EUconst_Unit</f>
        <v>Unit</v>
      </c>
      <c r="I1266" s="440">
        <f>I$1397</f>
        <v>2019</v>
      </c>
      <c r="J1266" s="344">
        <f>J$1397</f>
        <v>2020</v>
      </c>
      <c r="K1266" s="344">
        <f>K$1397</f>
        <v>2021</v>
      </c>
      <c r="L1266" s="344">
        <f>L$1397</f>
        <v>2022</v>
      </c>
      <c r="M1266" s="344">
        <f>M$1397</f>
        <v>2023</v>
      </c>
      <c r="N1266" s="342"/>
      <c r="O1266" s="17"/>
    </row>
    <row r="1267" spans="2:20" ht="13.8" thickBot="1" x14ac:dyDescent="0.3">
      <c r="B1267" s="17"/>
      <c r="C1267" s="17"/>
      <c r="D1267" s="17"/>
      <c r="E1267" s="1610" t="str">
        <f>Translations!$B$1238</f>
        <v>Total attributed emissions</v>
      </c>
      <c r="F1267" s="1610"/>
      <c r="G1267" s="1610"/>
      <c r="H1267" s="411" t="str">
        <f>EUconst_tCO2epa</f>
        <v>t CO2e/year</v>
      </c>
      <c r="I1267" s="432" t="str">
        <f>INDEX(I$93:I$109,MATCH($I1251,$E$93:$E$109,0))</f>
        <v/>
      </c>
      <c r="J1267" s="433" t="str">
        <f>INDEX(J$93:J$109,MATCH($I1251,$E$93:$E$109,0))</f>
        <v/>
      </c>
      <c r="K1267" s="433" t="str">
        <f>INDEX(K$93:K$109,MATCH($I1251,$E$93:$E$109,0))</f>
        <v/>
      </c>
      <c r="L1267" s="433" t="str">
        <f>INDEX(L$93:L$109,MATCH($I1251,$E$93:$E$109,0))</f>
        <v/>
      </c>
      <c r="M1267" s="434" t="str">
        <f>INDEX(M$93:M$109,MATCH($I1251,$E$93:$E$109,0))</f>
        <v/>
      </c>
      <c r="N1267" s="342"/>
      <c r="O1267" s="17"/>
      <c r="T1267" s="9"/>
    </row>
    <row r="1268" spans="2:20" ht="12.75" customHeight="1" x14ac:dyDescent="0.25">
      <c r="B1268" s="17"/>
      <c r="C1268" s="17"/>
      <c r="D1268" s="17"/>
      <c r="E1268" s="342"/>
      <c r="F1268" s="342"/>
      <c r="G1268" s="342"/>
      <c r="H1268" s="342"/>
      <c r="I1268" s="342"/>
      <c r="J1268" s="342"/>
      <c r="K1268" s="342"/>
      <c r="L1268" s="342"/>
      <c r="M1268" s="342"/>
      <c r="N1268" s="342"/>
      <c r="O1268" s="17"/>
    </row>
    <row r="1269" spans="2:20" ht="13.8" thickBot="1" x14ac:dyDescent="0.3">
      <c r="B1269" s="17"/>
      <c r="C1269" s="17"/>
      <c r="D1269" s="17"/>
      <c r="E1269" s="17"/>
      <c r="F1269" s="17"/>
      <c r="G1269" s="17"/>
      <c r="H1269" s="276"/>
      <c r="I1269" s="276"/>
      <c r="J1269" s="276"/>
      <c r="K1269" s="276"/>
      <c r="L1269" s="276"/>
      <c r="M1269" s="17"/>
      <c r="N1269" s="17"/>
      <c r="O1269" s="17"/>
    </row>
    <row r="1270" spans="2:20" ht="12.75" customHeight="1" thickBot="1" x14ac:dyDescent="0.3">
      <c r="B1270" s="8"/>
      <c r="C1270" s="906"/>
      <c r="D1270" s="906"/>
      <c r="E1270" s="906"/>
      <c r="F1270" s="906"/>
      <c r="G1270" s="906"/>
      <c r="H1270" s="906"/>
      <c r="I1270" s="906"/>
      <c r="J1270" s="906"/>
      <c r="K1270" s="906"/>
      <c r="L1270" s="906"/>
      <c r="M1270" s="906"/>
      <c r="N1270" s="906"/>
      <c r="O1270" s="17"/>
      <c r="T1270" s="9" t="s">
        <v>644</v>
      </c>
    </row>
    <row r="1271" spans="2:20" ht="15" customHeight="1" thickBot="1" x14ac:dyDescent="0.3">
      <c r="B1271" s="17"/>
      <c r="C1271" s="19">
        <f>C1251+1</f>
        <v>17</v>
      </c>
      <c r="D1271" s="1234" t="str">
        <f>CONCATENATE(EUconst_FBSubinst," ",C1271-10, ":")</f>
        <v>Fall-Back sub-installation 7:</v>
      </c>
      <c r="E1271" s="1176"/>
      <c r="F1271" s="1176"/>
      <c r="G1271" s="1176"/>
      <c r="H1271" s="1260"/>
      <c r="I1271" s="1710" t="str">
        <f>INDEX(EUconst_FallBackListNames,$C1271-10)</f>
        <v>Process emissions sub-installation, non-CL</v>
      </c>
      <c r="J1271" s="1711"/>
      <c r="K1271" s="1711"/>
      <c r="L1271" s="1712"/>
      <c r="M1271" s="1608" t="str">
        <f>IF(ISBLANK(INDEX(CNTR_FallBackSubInstRelevant,C1271-10)),"",IF(INDEX(CNTR_FallBackSubInstRelevant,C1271-10),EUconst_Relevant,EUconst_NotRelevant))</f>
        <v/>
      </c>
      <c r="N1271" s="1609"/>
      <c r="O1271" s="17"/>
      <c r="Q1271" s="427">
        <f>C1271</f>
        <v>17</v>
      </c>
      <c r="R1271" s="424" t="str">
        <f>I1271</f>
        <v>Process emissions sub-installation, non-CL</v>
      </c>
      <c r="S1271" s="426" t="b">
        <f>H1274</f>
        <v>0</v>
      </c>
      <c r="T1271" s="425" t="str">
        <f>IF(M1283="","",IF(S1274=0,0,SUM(M1283)/S1274))</f>
        <v/>
      </c>
    </row>
    <row r="1272" spans="2:20" ht="5.0999999999999996" customHeight="1" thickBot="1" x14ac:dyDescent="0.3">
      <c r="B1272" s="17"/>
      <c r="C1272" s="17"/>
      <c r="D1272" s="17"/>
      <c r="E1272" s="17"/>
      <c r="F1272" s="17"/>
      <c r="G1272" s="17"/>
      <c r="H1272" s="17"/>
      <c r="I1272" s="17"/>
      <c r="J1272" s="17"/>
      <c r="K1272" s="17"/>
      <c r="L1272" s="17"/>
      <c r="M1272" s="17"/>
      <c r="N1272" s="17"/>
      <c r="O1272" s="17"/>
      <c r="T1272" s="9"/>
    </row>
    <row r="1273" spans="2:20" x14ac:dyDescent="0.25">
      <c r="B1273" s="17"/>
      <c r="C1273" s="17"/>
      <c r="D1273" s="17"/>
      <c r="E1273" s="17"/>
      <c r="F1273" s="17"/>
      <c r="G1273" s="17"/>
      <c r="H1273" s="253" t="str">
        <f>Translations!$B$1204</f>
        <v>CL-exposed</v>
      </c>
      <c r="I1273" s="254" t="str">
        <f>Translations!$B$1208</f>
        <v>Started</v>
      </c>
      <c r="J1273" s="254" t="str">
        <f>Translations!$B$1212</f>
        <v>15(7).3?</v>
      </c>
      <c r="K1273" s="254" t="str">
        <f>Translations!$B$1214</f>
        <v>15(7).3 HAL</v>
      </c>
      <c r="L1273" s="329" t="str">
        <f>Translations!$B$1206</f>
        <v>No. of BM</v>
      </c>
      <c r="M1273" s="468" t="str">
        <f>Translations!$B$1234</f>
        <v>BM value (min/max/actual)</v>
      </c>
      <c r="N1273" s="469"/>
      <c r="O1273" s="17"/>
      <c r="T1273" s="9"/>
    </row>
    <row r="1274" spans="2:20" x14ac:dyDescent="0.25">
      <c r="B1274" s="17"/>
      <c r="C1274" s="17"/>
      <c r="D1274" s="17"/>
      <c r="E1274" s="255" t="str">
        <f>I1271</f>
        <v>Process emissions sub-installation, non-CL</v>
      </c>
      <c r="F1274" s="256"/>
      <c r="G1274" s="230"/>
      <c r="H1274" s="257" t="b">
        <f>INDEX(EUconst_FallBackListCLstatus,MATCH(I1271,EUconst_FallBackListNames,0))</f>
        <v>0</v>
      </c>
      <c r="I1274" s="355" t="str">
        <f>IF(M1271&lt;&gt;EUconst_Relevant,"",INDEX(CNTR_SubInstStartDate,MATCH(E1274,CNTR_SubInstListNames,0)))</f>
        <v/>
      </c>
      <c r="J1274" s="258" t="str">
        <f>IF(M1271&lt;&gt;EUconst_Relevant,"",INDEX(CNTR_SubInstLess1Year,MATCH(E1274,CNTR_SubInstListNames,0)))</f>
        <v/>
      </c>
      <c r="K1274" s="203" t="str">
        <f>IF($J1274=TRUE,SUMIF('G_Fall-back'!$P:$P,EUconst_CNTR_HAL&amp;$E1274,'G_Fall-back'!$N:$N),"")</f>
        <v/>
      </c>
      <c r="L1274" s="353">
        <f>C1271-10</f>
        <v>7</v>
      </c>
      <c r="M1274" s="474" t="str">
        <f>IF(M1271&lt;&gt;EUconst_Relevant,"",INDEX(EUconst_FallBackListBMvaluesMatrix,L1274,2))</f>
        <v/>
      </c>
      <c r="N1274" s="471" t="str">
        <f>EUconst_EUA &amp; "/" &amp; H1279</f>
        <v>UKA/t CO2e</v>
      </c>
      <c r="O1274" s="17"/>
      <c r="R1274" s="288" t="s">
        <v>639</v>
      </c>
      <c r="S1274" s="335">
        <f>IF(H1274,1,INDEX(EUconst_CLEFYears,1))</f>
        <v>0.3</v>
      </c>
    </row>
    <row r="1275" spans="2:20" x14ac:dyDescent="0.25">
      <c r="B1275" s="17"/>
      <c r="C1275" s="17"/>
      <c r="D1275" s="276"/>
      <c r="E1275" s="276"/>
      <c r="F1275" s="276"/>
      <c r="G1275" s="276"/>
      <c r="H1275" s="276"/>
      <c r="I1275" s="276"/>
      <c r="J1275" s="276"/>
      <c r="K1275" s="276"/>
      <c r="L1275" s="276"/>
      <c r="M1275" s="474" t="str">
        <f>IF(M1271&lt;&gt;EUconst_Relevant,"",INDEX(EUconst_FallBackListBMvaluesMatrix,L1274,1))</f>
        <v/>
      </c>
      <c r="N1275" s="471" t="str">
        <f>EUconst_EUA &amp; "/" &amp; H1279</f>
        <v>UKA/t CO2e</v>
      </c>
      <c r="O1275" s="17"/>
      <c r="R1275" s="288"/>
      <c r="S1275" s="368"/>
    </row>
    <row r="1276" spans="2:20" ht="13.8" thickBot="1" x14ac:dyDescent="0.3">
      <c r="B1276" s="17"/>
      <c r="C1276" s="17"/>
      <c r="D1276" s="276"/>
      <c r="E1276" s="276"/>
      <c r="F1276" s="276"/>
      <c r="G1276" s="276"/>
      <c r="H1276" s="276"/>
      <c r="I1276" s="276"/>
      <c r="J1276" s="276"/>
      <c r="K1276" s="276"/>
      <c r="L1276" s="276"/>
      <c r="M1276" s="475" t="str">
        <f>IF(M1271&lt;&gt;EUconst_Relevant,"",IF(EUconst_StatusOfDataCollection,INDEX(EUconst_FallBackListBMvaluesMatrix,L1274,3),""))</f>
        <v/>
      </c>
      <c r="N1276" s="473" t="str">
        <f>EUconst_EUA &amp; "/" &amp; H1279</f>
        <v>UKA/t CO2e</v>
      </c>
      <c r="O1276" s="17"/>
      <c r="R1276" s="288"/>
      <c r="S1276" s="368"/>
    </row>
    <row r="1277" spans="2:20" ht="5.0999999999999996" customHeight="1" x14ac:dyDescent="0.25">
      <c r="B1277" s="17"/>
      <c r="C1277" s="17"/>
      <c r="D1277" s="17"/>
      <c r="E1277" s="17"/>
      <c r="F1277" s="17"/>
      <c r="G1277" s="17"/>
      <c r="H1277" s="17"/>
      <c r="I1277" s="17"/>
      <c r="J1277" s="17"/>
      <c r="K1277" s="17"/>
      <c r="L1277" s="17"/>
      <c r="M1277" s="17"/>
      <c r="N1277" s="17"/>
      <c r="O1277" s="17"/>
    </row>
    <row r="1278" spans="2:20" x14ac:dyDescent="0.25">
      <c r="B1278" s="17"/>
      <c r="C1278" s="17"/>
      <c r="D1278" s="17"/>
      <c r="E1278" s="78"/>
      <c r="F1278" s="78"/>
      <c r="G1278" s="259"/>
      <c r="H1278" s="253" t="str">
        <f>EUconst_Unit</f>
        <v>Unit</v>
      </c>
      <c r="I1278" s="149">
        <f>I$1397</f>
        <v>2019</v>
      </c>
      <c r="J1278" s="149">
        <f>J$1397</f>
        <v>2020</v>
      </c>
      <c r="K1278" s="149">
        <f>K$1397</f>
        <v>2021</v>
      </c>
      <c r="L1278" s="149">
        <f>L$1397</f>
        <v>2022</v>
      </c>
      <c r="M1278" s="149">
        <f>M$1397</f>
        <v>2023</v>
      </c>
      <c r="N1278" s="17"/>
      <c r="O1278" s="17"/>
      <c r="P1278" s="63" t="s">
        <v>397</v>
      </c>
    </row>
    <row r="1279" spans="2:20" x14ac:dyDescent="0.25">
      <c r="B1279" s="17"/>
      <c r="C1279" s="17"/>
      <c r="D1279" s="17"/>
      <c r="E1279" s="260" t="str">
        <f>Translations!$B$1236</f>
        <v>HAL (Historic activity level) reported</v>
      </c>
      <c r="F1279" s="261"/>
      <c r="G1279" s="262"/>
      <c r="H1279" s="257" t="str">
        <f>INDEX(EUconst_FallBackListUnits,L1274)</f>
        <v>t CO2e</v>
      </c>
      <c r="I1279" s="203" t="str">
        <f>IF($M1271&lt;&gt;EUconst_Relevant,"",SUMIF('G_Fall-back'!$P:$P,$P1280,'G_Fall-back'!I:I))</f>
        <v/>
      </c>
      <c r="J1279" s="203" t="str">
        <f>IF($M1271&lt;&gt;EUconst_Relevant,"",SUMIF('G_Fall-back'!$P:$P,$P1280,'G_Fall-back'!J:J))</f>
        <v/>
      </c>
      <c r="K1279" s="203" t="str">
        <f>IF($M1271&lt;&gt;EUconst_Relevant,"",SUMIF('G_Fall-back'!$P:$P,$P1280,'G_Fall-back'!K:K))</f>
        <v/>
      </c>
      <c r="L1279" s="203" t="str">
        <f>IF($M1271&lt;&gt;EUconst_Relevant,"",SUMIF('G_Fall-back'!$P:$P,$P1280,'G_Fall-back'!L:L))</f>
        <v/>
      </c>
      <c r="M1279" s="203" t="str">
        <f>IF($M1271&lt;&gt;EUconst_Relevant,"",SUMIF('G_Fall-back'!$P:$P,$P1280,'G_Fall-back'!M:M))</f>
        <v/>
      </c>
      <c r="N1279" s="254" t="str">
        <f>Translations!$B$1224</f>
        <v>Average</v>
      </c>
      <c r="O1279" s="17"/>
      <c r="P1279" s="63" t="str">
        <f>EUconst_CNTR_HAL&amp;I1271</f>
        <v>HAL_Process emissions sub-installation, non-CL</v>
      </c>
      <c r="T1279" s="9"/>
    </row>
    <row r="1280" spans="2:20" x14ac:dyDescent="0.25">
      <c r="B1280" s="17"/>
      <c r="C1280" s="17"/>
      <c r="D1280" s="17"/>
      <c r="E1280" s="260" t="str">
        <f>Translations!$B$1237</f>
        <v>Values used for HAL calculation:</v>
      </c>
      <c r="F1280" s="261"/>
      <c r="G1280" s="262"/>
      <c r="H1280" s="257" t="str">
        <f>H1279</f>
        <v>t CO2e</v>
      </c>
      <c r="I1280" s="148" t="str">
        <f>IF($M1271&lt;&gt;EUconst_Relevant,"",INDEX('G_Fall-back'!S:S,MATCH($P1280,'G_Fall-back'!$P:$P,0)))</f>
        <v/>
      </c>
      <c r="J1280" s="148" t="str">
        <f>IF($M1271&lt;&gt;EUconst_Relevant,"",INDEX('G_Fall-back'!T:T,MATCH($P1280,'G_Fall-back'!$P:$P,0)))</f>
        <v/>
      </c>
      <c r="K1280" s="148" t="str">
        <f>IF($M1271&lt;&gt;EUconst_Relevant,"",INDEX('G_Fall-back'!U:U,MATCH($P1280,'G_Fall-back'!$P:$P,0)))</f>
        <v/>
      </c>
      <c r="L1280" s="148" t="str">
        <f>IF($M1271&lt;&gt;EUconst_Relevant,"",INDEX('G_Fall-back'!V:V,MATCH($P1280,'G_Fall-back'!$P:$P,0)))</f>
        <v/>
      </c>
      <c r="M1280" s="148" t="str">
        <f>IF($M1271&lt;&gt;EUconst_Relevant,"",INDEX('G_Fall-back'!W:W,MATCH($P1280,'G_Fall-back'!$P:$P,0)))</f>
        <v/>
      </c>
      <c r="N1280" s="203" t="str">
        <f>IF(OR($M1271&lt;&gt;EUconst_Relevant,$J1274=TRUE),"",IF(COUNT($I1280:$M1280)&gt;0,AVERAGE($I1280:$M1280),""))</f>
        <v/>
      </c>
      <c r="O1280" s="17"/>
      <c r="P1280" s="63" t="str">
        <f>EUconst_CNTR_HAL&amp;I1271</f>
        <v>HAL_Process emissions sub-installation, non-CL</v>
      </c>
      <c r="R1280" s="442" t="s">
        <v>640</v>
      </c>
      <c r="S1280" s="442" t="s">
        <v>641</v>
      </c>
      <c r="T1280" s="442" t="s">
        <v>642</v>
      </c>
    </row>
    <row r="1281" spans="1:20" ht="5.0999999999999996" customHeight="1" thickBot="1" x14ac:dyDescent="0.3">
      <c r="B1281" s="17"/>
      <c r="C1281" s="17"/>
      <c r="D1281" s="17"/>
      <c r="E1281" s="17"/>
      <c r="F1281" s="17"/>
      <c r="G1281" s="17"/>
      <c r="H1281" s="17"/>
      <c r="I1281" s="17"/>
      <c r="J1281" s="17"/>
      <c r="K1281" s="17"/>
      <c r="L1281" s="17"/>
      <c r="M1281" s="17"/>
      <c r="N1281" s="17"/>
      <c r="O1281" s="17"/>
      <c r="T1281" s="9"/>
    </row>
    <row r="1282" spans="1:20" ht="13.8" thickBot="1" x14ac:dyDescent="0.3">
      <c r="B1282" s="17"/>
      <c r="C1282" s="17"/>
      <c r="D1282" s="17"/>
      <c r="E1282" s="17"/>
      <c r="F1282" s="263" t="s">
        <v>643</v>
      </c>
      <c r="G1282" s="337"/>
      <c r="H1282" s="17"/>
      <c r="I1282" s="336" t="str">
        <f>Translations!$B$1226</f>
        <v>Prelim Alloc Year 1 (min)</v>
      </c>
      <c r="J1282" s="337"/>
      <c r="K1282" s="336" t="str">
        <f>Translations!$B$1229</f>
        <v>Prelim Alloc Year 1 (max)</v>
      </c>
      <c r="L1282" s="337"/>
      <c r="M1282" s="336" t="str">
        <f>Translations!$B$1231</f>
        <v>Prelim Alloc Year 1 (actual)</v>
      </c>
      <c r="N1282" s="337"/>
      <c r="O1282" s="17"/>
      <c r="P1282" s="63" t="str">
        <f>EUconst_AllocPrelim&amp;I1271</f>
        <v>AllocPrelim_Process emissions sub-installation, non-CL</v>
      </c>
      <c r="R1282" s="423" t="str">
        <f>IF(I1283="","",IF(S1274=0,0,SUM(I1283)/S1274))</f>
        <v/>
      </c>
      <c r="S1282" s="423" t="str">
        <f>IF(K1283="","",IF(S1274=0,0,SUM(K1283)/S1274))</f>
        <v/>
      </c>
      <c r="T1282" s="423" t="str">
        <f>T1271</f>
        <v/>
      </c>
    </row>
    <row r="1283" spans="1:20" ht="13.8" thickBot="1" x14ac:dyDescent="0.3">
      <c r="B1283" s="17"/>
      <c r="C1283" s="17"/>
      <c r="D1283" s="17"/>
      <c r="E1283" s="17"/>
      <c r="F1283" s="264" t="str">
        <f>IF(M1271&lt;&gt;EUconst_Relevant,"",MAX(0, IF(J1274=TRUE, SUM(K1274), SUM(N1280))))</f>
        <v/>
      </c>
      <c r="G1283" s="409" t="str">
        <f>H1280&amp;" / "&amp;EUconst_Year</f>
        <v>t CO2e / year</v>
      </c>
      <c r="H1283" s="17"/>
      <c r="I1283" s="333" t="str">
        <f>IF(M1271&lt;&gt;EUconst_Relevant,"",ROUND(SUM(M1274)*SUM(F1283)*SUM(S1274),0))</f>
        <v/>
      </c>
      <c r="J1283" s="409" t="s">
        <v>645</v>
      </c>
      <c r="K1283" s="333" t="str">
        <f>IF(M1271&lt;&gt;EUconst_Relevant,"",ROUND(SUM(M1275)*SUM(F1283)*SUM(S1274),0))</f>
        <v/>
      </c>
      <c r="L1283" s="409" t="s">
        <v>645</v>
      </c>
      <c r="M1283" s="333" t="str">
        <f>IF(OR(M1271&lt;&gt;EUconst_Relevant,M1276=""),"",ROUND(SUM(M1276)*SUM(F1283)*SUM(S1274),0))</f>
        <v/>
      </c>
      <c r="N1283" s="409" t="s">
        <v>645</v>
      </c>
      <c r="O1283" s="17"/>
      <c r="P1283" s="63" t="str">
        <f>EUconst_HALsum &amp; I1271</f>
        <v>HALsum_Process emissions sub-installation, non-CL</v>
      </c>
    </row>
    <row r="1284" spans="1:20" x14ac:dyDescent="0.25">
      <c r="B1284" s="17"/>
      <c r="C1284" s="17"/>
      <c r="D1284" s="17"/>
      <c r="E1284" s="17"/>
      <c r="F1284" s="17"/>
      <c r="G1284" s="17"/>
      <c r="H1284" s="17"/>
      <c r="I1284" s="17"/>
      <c r="J1284" s="17"/>
      <c r="K1284" s="17"/>
      <c r="L1284" s="17"/>
      <c r="M1284" s="17"/>
      <c r="N1284" s="17"/>
      <c r="O1284" s="17"/>
    </row>
    <row r="1285" spans="1:20" ht="12.75" customHeight="1" x14ac:dyDescent="0.25">
      <c r="B1285" s="17"/>
      <c r="C1285" s="17"/>
      <c r="D1285" s="17"/>
      <c r="E1285" s="193"/>
      <c r="F1285" s="342"/>
      <c r="G1285" s="342"/>
      <c r="H1285" s="342"/>
      <c r="I1285" s="342"/>
      <c r="J1285" s="342"/>
      <c r="K1285" s="342"/>
      <c r="L1285" s="342"/>
      <c r="M1285" s="342"/>
      <c r="N1285" s="342"/>
      <c r="O1285" s="17"/>
    </row>
    <row r="1286" spans="1:20" ht="13.8" thickBot="1" x14ac:dyDescent="0.3">
      <c r="B1286" s="17"/>
      <c r="C1286" s="17"/>
      <c r="D1286" s="17"/>
      <c r="E1286" s="193"/>
      <c r="F1286" s="342"/>
      <c r="G1286" s="342"/>
      <c r="H1286" s="192" t="str">
        <f>EUconst_Unit</f>
        <v>Unit</v>
      </c>
      <c r="I1286" s="440">
        <f>I$1397</f>
        <v>2019</v>
      </c>
      <c r="J1286" s="344">
        <f>J$1397</f>
        <v>2020</v>
      </c>
      <c r="K1286" s="344">
        <f>K$1397</f>
        <v>2021</v>
      </c>
      <c r="L1286" s="344">
        <f>L$1397</f>
        <v>2022</v>
      </c>
      <c r="M1286" s="344">
        <f>M$1397</f>
        <v>2023</v>
      </c>
      <c r="N1286" s="342"/>
      <c r="O1286" s="17"/>
    </row>
    <row r="1287" spans="1:20" ht="13.8" thickBot="1" x14ac:dyDescent="0.3">
      <c r="B1287" s="17"/>
      <c r="C1287" s="17"/>
      <c r="D1287" s="17"/>
      <c r="E1287" s="1610" t="str">
        <f>Translations!$B$1238</f>
        <v>Total attributed emissions</v>
      </c>
      <c r="F1287" s="1610"/>
      <c r="G1287" s="1610"/>
      <c r="H1287" s="411" t="str">
        <f>EUconst_tCO2epa</f>
        <v>t CO2e/year</v>
      </c>
      <c r="I1287" s="432" t="str">
        <f>INDEX(I$93:I$109,MATCH($I1271,$E$93:$E$109,0))</f>
        <v/>
      </c>
      <c r="J1287" s="433" t="str">
        <f>INDEX(J$93:J$109,MATCH($I1271,$E$93:$E$109,0))</f>
        <v/>
      </c>
      <c r="K1287" s="433" t="str">
        <f>INDEX(K$93:K$109,MATCH($I1271,$E$93:$E$109,0))</f>
        <v/>
      </c>
      <c r="L1287" s="433" t="str">
        <f>INDEX(L$93:L$109,MATCH($I1271,$E$93:$E$109,0))</f>
        <v/>
      </c>
      <c r="M1287" s="434" t="str">
        <f>INDEX(M$93:M$109,MATCH($I1271,$E$93:$E$109,0))</f>
        <v/>
      </c>
      <c r="N1287" s="342"/>
      <c r="O1287" s="17"/>
      <c r="T1287" s="9"/>
    </row>
    <row r="1288" spans="1:20" ht="12.75" customHeight="1" x14ac:dyDescent="0.25">
      <c r="B1288" s="17"/>
      <c r="C1288" s="17"/>
      <c r="D1288" s="17"/>
      <c r="E1288" s="342"/>
      <c r="F1288" s="342"/>
      <c r="G1288" s="342"/>
      <c r="H1288" s="342"/>
      <c r="I1288" s="342"/>
      <c r="J1288" s="342"/>
      <c r="K1288" s="342"/>
      <c r="L1288" s="342"/>
      <c r="M1288" s="342"/>
      <c r="N1288" s="342"/>
      <c r="O1288" s="17"/>
    </row>
    <row r="1289" spans="1:20" ht="25.5" customHeight="1" x14ac:dyDescent="0.25">
      <c r="B1289" s="17"/>
      <c r="C1289" s="17"/>
      <c r="D1289" s="17"/>
      <c r="E1289" s="17"/>
      <c r="F1289" s="17"/>
      <c r="G1289" s="17"/>
      <c r="H1289" s="17"/>
      <c r="I1289" s="17"/>
      <c r="J1289" s="17"/>
      <c r="K1289" s="17"/>
      <c r="L1289" s="17"/>
      <c r="M1289" s="17"/>
      <c r="N1289" s="17"/>
      <c r="O1289" s="17"/>
    </row>
    <row r="1290" spans="1:20" s="220" customFormat="1" ht="15.6" x14ac:dyDescent="0.3">
      <c r="A1290" s="145"/>
      <c r="B1290" s="8"/>
      <c r="C1290" s="13" t="s">
        <v>13</v>
      </c>
      <c r="D1290" s="14" t="str">
        <f>Translations!$B$1246</f>
        <v>Calculation of preliminary annual amount of allowances allocated free of charge</v>
      </c>
      <c r="E1290" s="14"/>
      <c r="F1290" s="14"/>
      <c r="G1290" s="14"/>
      <c r="H1290" s="14"/>
      <c r="I1290" s="14"/>
      <c r="J1290" s="14"/>
      <c r="K1290" s="14"/>
      <c r="L1290" s="14"/>
      <c r="M1290" s="14"/>
      <c r="N1290" s="14"/>
      <c r="O1290" s="17"/>
      <c r="P1290" s="9" t="s">
        <v>647</v>
      </c>
      <c r="Q1290" s="9" t="s">
        <v>647</v>
      </c>
      <c r="R1290" s="9" t="s">
        <v>647</v>
      </c>
      <c r="S1290" s="9" t="s">
        <v>647</v>
      </c>
      <c r="T1290" s="9" t="s">
        <v>647</v>
      </c>
    </row>
    <row r="1291" spans="1:20" ht="12.75" customHeight="1" x14ac:dyDescent="0.25">
      <c r="B1291" s="17"/>
      <c r="C1291" s="17"/>
      <c r="D1291" s="17"/>
      <c r="E1291" s="17"/>
      <c r="F1291" s="17"/>
      <c r="G1291" s="17"/>
      <c r="H1291" s="17"/>
      <c r="I1291" s="17"/>
      <c r="J1291" s="17"/>
      <c r="K1291" s="17"/>
      <c r="L1291" s="17"/>
      <c r="M1291" s="17"/>
      <c r="N1291" s="17"/>
      <c r="O1291" s="17"/>
      <c r="P1291" s="9"/>
      <c r="Q1291" s="9"/>
      <c r="R1291" s="9"/>
      <c r="S1291" s="9"/>
      <c r="T1291" s="9"/>
    </row>
    <row r="1292" spans="1:20" s="220" customFormat="1" ht="31.2" customHeight="1" x14ac:dyDescent="0.25">
      <c r="A1292" s="145"/>
      <c r="B1292" s="8"/>
      <c r="C1292" s="8"/>
      <c r="D1292" s="17"/>
      <c r="E1292" s="1223" t="s">
        <v>648</v>
      </c>
      <c r="F1292" s="1176"/>
      <c r="G1292" s="1176"/>
      <c r="H1292" s="1176"/>
      <c r="I1292" s="1176"/>
      <c r="J1292" s="1176"/>
      <c r="K1292" s="1176"/>
      <c r="L1292" s="1176"/>
      <c r="M1292" s="1176"/>
      <c r="N1292" s="1176"/>
      <c r="O1292" s="17"/>
      <c r="P1292" s="9"/>
      <c r="Q1292" s="145"/>
      <c r="R1292" s="145"/>
      <c r="S1292" s="145"/>
      <c r="T1292" s="145"/>
    </row>
    <row r="1293" spans="1:20" s="220" customFormat="1" x14ac:dyDescent="0.25">
      <c r="A1293" s="145"/>
      <c r="B1293" s="8"/>
      <c r="C1293" s="8"/>
      <c r="D1293" s="17"/>
      <c r="E1293" s="1028" t="s">
        <v>214</v>
      </c>
      <c r="F1293" s="1223" t="str">
        <f>Translations!$B$1248</f>
        <v>Sheet "A_InstallationData" is filled completely, especially sections A.II (eligibility and baseline period) and A.III (list of sub-installations)</v>
      </c>
      <c r="G1293" s="1223"/>
      <c r="H1293" s="1223"/>
      <c r="I1293" s="1223"/>
      <c r="J1293" s="1223"/>
      <c r="K1293" s="1223"/>
      <c r="L1293" s="1223"/>
      <c r="M1293" s="1223"/>
      <c r="N1293" s="1223"/>
      <c r="O1293" s="17"/>
      <c r="P1293" s="9"/>
      <c r="Q1293" s="145"/>
      <c r="R1293" s="145"/>
      <c r="S1293" s="145"/>
      <c r="T1293" s="145"/>
    </row>
    <row r="1294" spans="1:20" s="220" customFormat="1" x14ac:dyDescent="0.25">
      <c r="A1294" s="145"/>
      <c r="B1294" s="8"/>
      <c r="C1294" s="8"/>
      <c r="D1294" s="17"/>
      <c r="E1294" s="1028" t="s">
        <v>214</v>
      </c>
      <c r="F1294" s="1223" t="str">
        <f>Translations!$B$1249</f>
        <v>Data has been entered for all relevant baseline years and the relevant sections in sheets F and G are filled.</v>
      </c>
      <c r="G1294" s="1223"/>
      <c r="H1294" s="1223"/>
      <c r="I1294" s="1223"/>
      <c r="J1294" s="1223"/>
      <c r="K1294" s="1223"/>
      <c r="L1294" s="1223"/>
      <c r="M1294" s="1223"/>
      <c r="N1294" s="1223"/>
      <c r="O1294" s="17"/>
      <c r="P1294" s="9"/>
      <c r="Q1294" s="145"/>
      <c r="R1294" s="145"/>
      <c r="S1294" s="145"/>
      <c r="T1294" s="145"/>
    </row>
    <row r="1295" spans="1:20" s="220" customFormat="1" x14ac:dyDescent="0.25">
      <c r="A1295" s="145"/>
      <c r="B1295" s="8"/>
      <c r="C1295" s="8"/>
      <c r="D1295" s="17"/>
      <c r="E1295" s="1028" t="s">
        <v>214</v>
      </c>
      <c r="F1295" s="1223" t="str">
        <f>Translations!$B$1250</f>
        <v>No error messages are displayed in any of the relevant sections of those sheets.</v>
      </c>
      <c r="G1295" s="1223"/>
      <c r="H1295" s="1223"/>
      <c r="I1295" s="1223"/>
      <c r="J1295" s="1223"/>
      <c r="K1295" s="1223"/>
      <c r="L1295" s="1223"/>
      <c r="M1295" s="1223"/>
      <c r="N1295" s="1223"/>
      <c r="O1295" s="17"/>
      <c r="P1295" s="9"/>
      <c r="Q1295" s="145"/>
      <c r="R1295" s="145"/>
      <c r="S1295" s="145"/>
      <c r="T1295" s="145"/>
    </row>
    <row r="1296" spans="1:20" s="220" customFormat="1" x14ac:dyDescent="0.25">
      <c r="A1296" s="145"/>
      <c r="B1296" s="8"/>
      <c r="C1296" s="8"/>
      <c r="D1296" s="17"/>
      <c r="E1296" s="1223" t="str">
        <f>Translations!$B$1251</f>
        <v>For understanding the preliminary character of this information, it is important to understand what has been taken into account in the calculation:</v>
      </c>
      <c r="F1296" s="1176"/>
      <c r="G1296" s="1176"/>
      <c r="H1296" s="1176"/>
      <c r="I1296" s="1176"/>
      <c r="J1296" s="1176"/>
      <c r="K1296" s="1176"/>
      <c r="L1296" s="1176"/>
      <c r="M1296" s="1176"/>
      <c r="N1296" s="1176"/>
      <c r="O1296" s="17"/>
      <c r="P1296" s="9"/>
      <c r="Q1296" s="145"/>
      <c r="R1296" s="145"/>
      <c r="S1296" s="145"/>
      <c r="T1296" s="145"/>
    </row>
    <row r="1297" spans="1:20" s="220" customFormat="1" ht="25.5" customHeight="1" x14ac:dyDescent="0.25">
      <c r="A1297" s="145"/>
      <c r="B1297" s="8"/>
      <c r="C1297" s="8"/>
      <c r="D1297" s="17"/>
      <c r="E1297" s="1028" t="s">
        <v>214</v>
      </c>
      <c r="F1297" s="1223" t="str">
        <f>Translations!$B$1252</f>
        <v>Depending on your input in section A.II.2 (chosen baseline period), A.III (sub-installation data) and sheets F and G, you see in section IV of this sheet, which baseline years have been used for calculating historical activity levels ("HALs"), to which benchmarks are applied.</v>
      </c>
      <c r="G1297" s="1223"/>
      <c r="H1297" s="1223"/>
      <c r="I1297" s="1223"/>
      <c r="J1297" s="1223"/>
      <c r="K1297" s="1223"/>
      <c r="L1297" s="1223"/>
      <c r="M1297" s="1223"/>
      <c r="N1297" s="1223"/>
      <c r="O1297" s="17"/>
      <c r="P1297" s="9"/>
      <c r="Q1297" s="145"/>
      <c r="R1297" s="145"/>
      <c r="S1297" s="145"/>
      <c r="T1297" s="145"/>
    </row>
    <row r="1298" spans="1:20" s="220" customFormat="1" ht="25.5" customHeight="1" x14ac:dyDescent="0.25">
      <c r="A1298" s="145"/>
      <c r="B1298" s="8"/>
      <c r="C1298" s="8"/>
      <c r="D1298" s="17"/>
      <c r="E1298" s="1028" t="s">
        <v>214</v>
      </c>
      <c r="F1298" s="1314" t="s">
        <v>649</v>
      </c>
      <c r="G1298" s="1195"/>
      <c r="H1298" s="1195"/>
      <c r="I1298" s="1195"/>
      <c r="J1298" s="1195"/>
      <c r="K1298" s="1195"/>
      <c r="L1298" s="1195"/>
      <c r="M1298" s="1195"/>
      <c r="N1298" s="1195"/>
      <c r="O1298" s="17"/>
      <c r="P1298" s="9"/>
      <c r="Q1298" s="145"/>
      <c r="R1298" s="145"/>
      <c r="S1298" s="145"/>
      <c r="T1298" s="145"/>
    </row>
    <row r="1299" spans="1:20" s="220" customFormat="1" x14ac:dyDescent="0.25">
      <c r="A1299" s="145"/>
      <c r="B1299" s="8"/>
      <c r="C1299" s="8"/>
      <c r="D1299" s="17"/>
      <c r="E1299" s="1028" t="s">
        <v>214</v>
      </c>
      <c r="F1299" s="1223" t="str">
        <f>Translations!$B$1254</f>
        <v>The calculation takes into account for each sub-installation, if it is exposed to a significant risk of carbon leakage, or if this is not the case.</v>
      </c>
      <c r="G1299" s="1223"/>
      <c r="H1299" s="1223"/>
      <c r="I1299" s="1223"/>
      <c r="J1299" s="1223"/>
      <c r="K1299" s="1223"/>
      <c r="L1299" s="1223"/>
      <c r="M1299" s="1223"/>
      <c r="N1299" s="1223"/>
      <c r="O1299" s="17"/>
      <c r="P1299" s="9"/>
      <c r="Q1299" s="145"/>
      <c r="R1299" s="145"/>
      <c r="S1299" s="145"/>
      <c r="T1299" s="145"/>
    </row>
    <row r="1300" spans="1:20" s="220" customFormat="1" ht="46.2" customHeight="1" x14ac:dyDescent="0.25">
      <c r="A1300" s="145"/>
      <c r="B1300" s="8"/>
      <c r="C1300" s="8"/>
      <c r="D1300" s="17"/>
      <c r="E1300" s="1028" t="s">
        <v>214</v>
      </c>
      <c r="F1300" s="1223" t="s">
        <v>650</v>
      </c>
      <c r="G1300" s="1223"/>
      <c r="H1300" s="1223"/>
      <c r="I1300" s="1223"/>
      <c r="J1300" s="1223"/>
      <c r="K1300" s="1223"/>
      <c r="L1300" s="1223"/>
      <c r="M1300" s="1223"/>
      <c r="N1300" s="1223"/>
      <c r="O1300" s="17"/>
      <c r="P1300" s="9"/>
      <c r="Q1300" s="145"/>
      <c r="R1300" s="145"/>
      <c r="S1300" s="145"/>
      <c r="T1300" s="145"/>
    </row>
    <row r="1301" spans="1:20" s="220" customFormat="1" ht="39.9" customHeight="1" x14ac:dyDescent="0.25">
      <c r="A1301" s="145"/>
      <c r="B1301" s="8"/>
      <c r="C1301" s="8"/>
      <c r="D1301" s="17"/>
      <c r="E1301" s="1028" t="s">
        <v>214</v>
      </c>
      <c r="F1301" s="1223" t="s">
        <v>651</v>
      </c>
      <c r="G1301" s="1223"/>
      <c r="H1301" s="1223"/>
      <c r="I1301" s="1223"/>
      <c r="J1301" s="1223"/>
      <c r="K1301" s="1223"/>
      <c r="L1301" s="1223"/>
      <c r="M1301" s="1223"/>
      <c r="N1301" s="1223"/>
      <c r="O1301" s="17"/>
      <c r="P1301" s="9"/>
      <c r="Q1301" s="145"/>
      <c r="R1301" s="145"/>
      <c r="S1301" s="145"/>
      <c r="T1301" s="145"/>
    </row>
    <row r="1302" spans="1:20" s="220" customFormat="1" ht="25.5" customHeight="1" x14ac:dyDescent="0.25">
      <c r="A1302" s="145"/>
      <c r="B1302" s="8"/>
      <c r="C1302" s="8"/>
      <c r="D1302" s="17"/>
      <c r="E1302" s="1028" t="s">
        <v>214</v>
      </c>
      <c r="F1302" s="1223" t="s">
        <v>652</v>
      </c>
      <c r="G1302" s="1223"/>
      <c r="H1302" s="1223"/>
      <c r="I1302" s="1223"/>
      <c r="J1302" s="1223"/>
      <c r="K1302" s="1223"/>
      <c r="L1302" s="1223"/>
      <c r="M1302" s="1223"/>
      <c r="N1302" s="1223"/>
      <c r="O1302" s="17"/>
      <c r="P1302" s="9"/>
      <c r="Q1302" s="145"/>
      <c r="R1302" s="145"/>
      <c r="S1302" s="145"/>
      <c r="T1302" s="145"/>
    </row>
    <row r="1303" spans="1:20" s="220" customFormat="1" ht="25.5" customHeight="1" x14ac:dyDescent="0.25">
      <c r="A1303" s="145"/>
      <c r="B1303" s="8"/>
      <c r="C1303" s="8"/>
      <c r="D1303" s="17"/>
      <c r="E1303" s="1028" t="s">
        <v>214</v>
      </c>
      <c r="F1303" s="1223" t="str">
        <f>Translations!$B$1258</f>
        <v>However, this template offers the possibility to enter a value for the cross-sectoral correction factor. This feature can be used by the operator for his own information only. The results are by no means legally binding.</v>
      </c>
      <c r="G1303" s="1223"/>
      <c r="H1303" s="1223"/>
      <c r="I1303" s="1223"/>
      <c r="J1303" s="1223"/>
      <c r="K1303" s="1223"/>
      <c r="L1303" s="1223"/>
      <c r="M1303" s="1223"/>
      <c r="N1303" s="1223"/>
      <c r="O1303" s="17"/>
      <c r="P1303" s="9"/>
      <c r="Q1303" s="145"/>
      <c r="R1303" s="145"/>
      <c r="S1303" s="145"/>
      <c r="T1303" s="145"/>
    </row>
    <row r="1304" spans="1:20" s="220" customFormat="1" ht="12.75" customHeight="1" thickBot="1" x14ac:dyDescent="0.3">
      <c r="A1304" s="145"/>
      <c r="B1304" s="8"/>
      <c r="C1304" s="8"/>
      <c r="D1304" s="17"/>
      <c r="E1304" s="1028"/>
      <c r="F1304" s="758"/>
      <c r="G1304" s="758"/>
      <c r="H1304" s="758"/>
      <c r="I1304" s="758"/>
      <c r="J1304" s="758"/>
      <c r="K1304" s="758"/>
      <c r="L1304" s="758"/>
      <c r="M1304" s="758"/>
      <c r="N1304" s="758"/>
      <c r="O1304" s="17"/>
      <c r="P1304" s="9"/>
      <c r="Q1304" s="145"/>
      <c r="R1304" s="145"/>
      <c r="S1304" s="145"/>
      <c r="T1304" s="145"/>
    </row>
    <row r="1305" spans="1:20" s="348" customFormat="1" ht="90" customHeight="1" thickBot="1" x14ac:dyDescent="0.3">
      <c r="A1305" s="347"/>
      <c r="B1305" s="1060"/>
      <c r="C1305" s="1060"/>
      <c r="D1305" s="1214" t="s">
        <v>653</v>
      </c>
      <c r="E1305" s="1215"/>
      <c r="F1305" s="1215"/>
      <c r="G1305" s="1215"/>
      <c r="H1305" s="1215"/>
      <c r="I1305" s="1215"/>
      <c r="J1305" s="1215"/>
      <c r="K1305" s="1215"/>
      <c r="L1305" s="1215"/>
      <c r="M1305" s="1215"/>
      <c r="N1305" s="1216"/>
      <c r="O1305" s="17"/>
      <c r="P1305" s="9"/>
      <c r="Q1305" s="9"/>
      <c r="R1305" s="9"/>
      <c r="S1305" s="9"/>
      <c r="T1305" s="9"/>
    </row>
    <row r="1306" spans="1:20" s="220" customFormat="1" x14ac:dyDescent="0.25">
      <c r="A1306" s="145"/>
      <c r="B1306" s="17"/>
      <c r="C1306" s="17"/>
      <c r="D1306" s="17"/>
      <c r="E1306" s="17"/>
      <c r="F1306" s="17"/>
      <c r="G1306" s="17"/>
      <c r="H1306" s="17"/>
      <c r="I1306" s="17"/>
      <c r="J1306" s="17"/>
      <c r="K1306" s="17"/>
      <c r="L1306" s="17"/>
      <c r="M1306" s="17"/>
      <c r="N1306" s="17"/>
      <c r="O1306" s="17"/>
      <c r="P1306" s="145"/>
      <c r="Q1306" s="145"/>
      <c r="R1306" s="145"/>
      <c r="S1306" s="145"/>
      <c r="T1306" s="145"/>
    </row>
    <row r="1307" spans="1:20" s="220" customFormat="1" ht="13.8" x14ac:dyDescent="0.25">
      <c r="A1307" s="145"/>
      <c r="B1307" s="8"/>
      <c r="C1307" s="19">
        <v>1</v>
      </c>
      <c r="D1307" s="1659" t="str">
        <f>Translations!$B$1260</f>
        <v>Total preliminary annual amount of allowances allocated free of charge:</v>
      </c>
      <c r="E1307" s="1195"/>
      <c r="F1307" s="1195"/>
      <c r="G1307" s="1195"/>
      <c r="H1307" s="1195"/>
      <c r="I1307" s="1195"/>
      <c r="J1307" s="1195"/>
      <c r="K1307" s="1195"/>
      <c r="L1307" s="1195"/>
      <c r="M1307" s="1195"/>
      <c r="N1307" s="1195"/>
      <c r="O1307" s="17"/>
      <c r="P1307" s="145"/>
      <c r="Q1307" s="145"/>
      <c r="R1307" s="145"/>
      <c r="S1307" s="145"/>
      <c r="T1307" s="145"/>
    </row>
    <row r="1308" spans="1:20" s="220" customFormat="1" ht="38.85" customHeight="1" x14ac:dyDescent="0.25">
      <c r="A1308" s="145"/>
      <c r="B1308" s="8"/>
      <c r="C1308" s="8"/>
      <c r="D1308" s="17"/>
      <c r="E1308" s="1223" t="s">
        <v>654</v>
      </c>
      <c r="F1308" s="1176"/>
      <c r="G1308" s="1176"/>
      <c r="H1308" s="1176"/>
      <c r="I1308" s="1176"/>
      <c r="J1308" s="1176"/>
      <c r="K1308" s="1176"/>
      <c r="L1308" s="1176"/>
      <c r="M1308" s="1176"/>
      <c r="N1308" s="1176"/>
      <c r="O1308" s="17"/>
      <c r="P1308" s="9"/>
      <c r="Q1308" s="145"/>
      <c r="R1308" s="145"/>
      <c r="S1308" s="145"/>
      <c r="T1308" s="145"/>
    </row>
    <row r="1309" spans="1:20" s="220" customFormat="1" x14ac:dyDescent="0.25">
      <c r="A1309" s="145"/>
      <c r="B1309" s="8"/>
      <c r="C1309" s="8"/>
      <c r="D1309" s="17"/>
      <c r="E1309" s="1378" t="str">
        <f>Translations!$B$1262</f>
        <v>If for a sub-installation the calculated preliminary annual amount of allowances allocated free of charge results in a negative value, it is set to zero instead.</v>
      </c>
      <c r="F1309" s="1168"/>
      <c r="G1309" s="1168"/>
      <c r="H1309" s="1168"/>
      <c r="I1309" s="1168"/>
      <c r="J1309" s="1168"/>
      <c r="K1309" s="1168"/>
      <c r="L1309" s="1168"/>
      <c r="M1309" s="1168"/>
      <c r="N1309" s="1168"/>
      <c r="O1309" s="17"/>
      <c r="P1309" s="9"/>
      <c r="Q1309" s="145"/>
      <c r="R1309" s="145"/>
      <c r="S1309" s="145"/>
      <c r="T1309" s="145"/>
    </row>
    <row r="1310" spans="1:20" s="220" customFormat="1" ht="5.0999999999999996" customHeight="1" thickBot="1" x14ac:dyDescent="0.3">
      <c r="A1310" s="145"/>
      <c r="B1310" s="17"/>
      <c r="C1310" s="17"/>
      <c r="D1310" s="17"/>
      <c r="E1310" s="17"/>
      <c r="F1310" s="17"/>
      <c r="G1310" s="17"/>
      <c r="H1310" s="17"/>
      <c r="I1310" s="17"/>
      <c r="J1310" s="17"/>
      <c r="K1310" s="17"/>
      <c r="L1310" s="17"/>
      <c r="M1310" s="17"/>
      <c r="N1310" s="17"/>
      <c r="O1310" s="17"/>
      <c r="P1310" s="145"/>
      <c r="Q1310" s="145"/>
      <c r="R1310" s="145"/>
      <c r="S1310" s="145"/>
      <c r="T1310" s="145"/>
    </row>
    <row r="1311" spans="1:20" s="220" customFormat="1" ht="13.8" thickBot="1" x14ac:dyDescent="0.3">
      <c r="A1311" s="145"/>
      <c r="B1311" s="8"/>
      <c r="D1311" s="15" t="s">
        <v>190</v>
      </c>
      <c r="E1311" s="1765" t="str">
        <f>Translations!$B$1263</f>
        <v>Calculation of the minimum, maximum, or actual preliminary allocation?</v>
      </c>
      <c r="F1311" s="1765"/>
      <c r="G1311" s="1765"/>
      <c r="H1311" s="1765"/>
      <c r="I1311" s="1765"/>
      <c r="J1311" s="1765"/>
      <c r="K1311" s="1766"/>
      <c r="L1311" s="1072" t="s">
        <v>655</v>
      </c>
      <c r="M1311" s="17"/>
      <c r="N1311" s="17"/>
      <c r="O1311" s="17"/>
      <c r="P1311" s="443">
        <f>IF(L1311="",1,MATCH(L1311,EUconst_MinOrMaxOrActual,0))</f>
        <v>3</v>
      </c>
      <c r="Q1311" s="28" t="s">
        <v>656</v>
      </c>
      <c r="R1311" s="145"/>
      <c r="S1311" s="145"/>
      <c r="T1311" s="145"/>
    </row>
    <row r="1312" spans="1:20" s="220" customFormat="1" ht="12.75" customHeight="1" x14ac:dyDescent="0.25">
      <c r="A1312" s="145"/>
      <c r="B1312" s="8"/>
      <c r="C1312" s="8"/>
      <c r="D1312" s="17"/>
      <c r="E1312" s="1223" t="str">
        <f>Translations!$B$1264</f>
        <v>Based on the selection made here, the indicative minimum, maximum or actual preliminary allocation, as determined in section IV above, will be shown.</v>
      </c>
      <c r="F1312" s="1176"/>
      <c r="G1312" s="1176"/>
      <c r="H1312" s="1176"/>
      <c r="I1312" s="1176"/>
      <c r="J1312" s="1176"/>
      <c r="K1312" s="1176"/>
      <c r="L1312" s="1176"/>
      <c r="M1312" s="1176"/>
      <c r="N1312" s="1176"/>
      <c r="O1312" s="17"/>
      <c r="P1312" s="9"/>
      <c r="Q1312" s="145"/>
      <c r="R1312" s="145"/>
      <c r="S1312" s="145"/>
      <c r="T1312" s="145"/>
    </row>
    <row r="1313" spans="1:20" s="220" customFormat="1" ht="12.75" customHeight="1" x14ac:dyDescent="0.25">
      <c r="A1313" s="145"/>
      <c r="B1313" s="8"/>
      <c r="C1313" s="8"/>
      <c r="D1313" s="17"/>
      <c r="E1313" s="1223" t="str">
        <f>Translations!$B$1265</f>
        <v>Please note that the actual allocation can only be calculated once the new benchmark values are published. Before that, no calculations will be performed below, if "actual" is chosen.</v>
      </c>
      <c r="F1313" s="1176"/>
      <c r="G1313" s="1176"/>
      <c r="H1313" s="1176"/>
      <c r="I1313" s="1176"/>
      <c r="J1313" s="1176"/>
      <c r="K1313" s="1176"/>
      <c r="L1313" s="1176"/>
      <c r="M1313" s="1176"/>
      <c r="N1313" s="1176"/>
      <c r="O1313" s="17"/>
      <c r="P1313" s="9"/>
      <c r="Q1313" s="145"/>
      <c r="R1313" s="145"/>
      <c r="S1313" s="145"/>
      <c r="T1313" s="145"/>
    </row>
    <row r="1314" spans="1:20" s="220" customFormat="1" ht="12.75" customHeight="1" x14ac:dyDescent="0.25">
      <c r="A1314" s="145"/>
      <c r="B1314" s="8"/>
      <c r="C1314" s="8"/>
      <c r="D1314" s="17"/>
      <c r="E1314" s="1223" t="str">
        <f>Translations!$B$1266</f>
        <v>If this field is left empty, the minimum preliminary allocation will be used as the default for all calculations below.</v>
      </c>
      <c r="F1314" s="1176"/>
      <c r="G1314" s="1176"/>
      <c r="H1314" s="1176"/>
      <c r="I1314" s="1176"/>
      <c r="J1314" s="1176"/>
      <c r="K1314" s="1176"/>
      <c r="L1314" s="1176"/>
      <c r="M1314" s="1176"/>
      <c r="N1314" s="1176"/>
      <c r="O1314" s="17"/>
      <c r="P1314" s="9"/>
      <c r="Q1314" s="145"/>
      <c r="R1314" s="145"/>
      <c r="S1314" s="145"/>
      <c r="T1314" s="145"/>
    </row>
    <row r="1315" spans="1:20" s="220" customFormat="1" ht="5.0999999999999996" customHeight="1" x14ac:dyDescent="0.25">
      <c r="A1315" s="145"/>
      <c r="B1315" s="17"/>
      <c r="C1315" s="17"/>
      <c r="D1315" s="17"/>
      <c r="E1315" s="17"/>
      <c r="F1315" s="17"/>
      <c r="G1315" s="17"/>
      <c r="H1315" s="17"/>
      <c r="I1315" s="17"/>
      <c r="J1315" s="17"/>
      <c r="K1315" s="17"/>
      <c r="L1315" s="17"/>
      <c r="M1315" s="17"/>
      <c r="N1315" s="17"/>
      <c r="O1315" s="17"/>
      <c r="P1315" s="145"/>
      <c r="Q1315" s="145"/>
      <c r="R1315" s="145"/>
      <c r="S1315" s="145"/>
      <c r="T1315" s="145"/>
    </row>
    <row r="1316" spans="1:20" s="220" customFormat="1" x14ac:dyDescent="0.25">
      <c r="A1316" s="145"/>
      <c r="B1316" s="8"/>
      <c r="D1316" s="15" t="s">
        <v>192</v>
      </c>
      <c r="E1316" s="27" t="str">
        <f>Translations!$B$1267</f>
        <v>Calculation factors:</v>
      </c>
      <c r="F1316" s="27"/>
      <c r="G1316" s="27"/>
      <c r="H1316" s="17"/>
      <c r="I1316" s="16"/>
      <c r="J1316" s="16"/>
      <c r="K1316" s="77"/>
      <c r="L1316" s="17"/>
      <c r="M1316" s="17"/>
      <c r="N1316" s="17"/>
      <c r="O1316" s="17"/>
      <c r="P1316" s="145"/>
      <c r="Q1316" s="145"/>
      <c r="R1316" s="145"/>
      <c r="S1316" s="145"/>
      <c r="T1316" s="145"/>
    </row>
    <row r="1317" spans="1:20" s="220" customFormat="1" x14ac:dyDescent="0.25">
      <c r="A1317" s="145"/>
      <c r="B1317" s="17"/>
      <c r="C1317" s="17"/>
      <c r="D1317" s="17"/>
      <c r="E1317" s="78"/>
      <c r="F1317" s="78"/>
      <c r="G1317" s="78"/>
      <c r="H1317" s="259"/>
      <c r="I1317" s="149">
        <f>I$1397+7</f>
        <v>2026</v>
      </c>
      <c r="J1317" s="149">
        <f>J$1397+7</f>
        <v>2027</v>
      </c>
      <c r="K1317" s="149">
        <f>K$1397+7</f>
        <v>2028</v>
      </c>
      <c r="L1317" s="149">
        <f>L$1397+7</f>
        <v>2029</v>
      </c>
      <c r="M1317" s="149">
        <f>M$1397+7</f>
        <v>2030</v>
      </c>
      <c r="N1317" s="17"/>
      <c r="O1317" s="17"/>
      <c r="P1317" s="145"/>
      <c r="Q1317" s="145"/>
      <c r="R1317" s="145"/>
      <c r="S1317" s="145"/>
      <c r="T1317" s="145"/>
    </row>
    <row r="1318" spans="1:20" s="220" customFormat="1" x14ac:dyDescent="0.25">
      <c r="A1318" s="145"/>
      <c r="B1318" s="17"/>
      <c r="C1318" s="17"/>
      <c r="D1318" s="17"/>
      <c r="E1318" s="1757" t="str">
        <f>Translations!$B$1268</f>
        <v>Carbon leakage factor for non-CL sectors</v>
      </c>
      <c r="F1318" s="1757"/>
      <c r="G1318" s="1757"/>
      <c r="H1318" s="1757"/>
      <c r="I1318" s="417">
        <f>INDEX(UK_ETS_CL_FactorForNonCLSectors,I1317-2025)</f>
        <v>0.3</v>
      </c>
      <c r="J1318" s="417">
        <f>INDEX(UK_ETS_CL_FactorForNonCLSectors,J1317-2025)</f>
        <v>0.22500000000000001</v>
      </c>
      <c r="K1318" s="417">
        <f>INDEX(UK_ETS_CL_FactorForNonCLSectors,K1317-2025)</f>
        <v>0.15</v>
      </c>
      <c r="L1318" s="417">
        <f>INDEX(UK_ETS_CL_FactorForNonCLSectors,L1317-2025)</f>
        <v>7.4999999999999997E-2</v>
      </c>
      <c r="M1318" s="417">
        <f>INDEX(UK_ETS_CL_FactorForNonCLSectors,M1317-2025)</f>
        <v>0</v>
      </c>
      <c r="N1318" s="17"/>
      <c r="O1318" s="17"/>
      <c r="P1318" s="145"/>
      <c r="Q1318" s="145"/>
      <c r="R1318" s="145"/>
      <c r="S1318" s="145"/>
      <c r="T1318" s="145"/>
    </row>
    <row r="1319" spans="1:20" s="220" customFormat="1" x14ac:dyDescent="0.25">
      <c r="A1319" s="145"/>
      <c r="B1319" s="17"/>
      <c r="C1319" s="17"/>
      <c r="D1319" s="17"/>
      <c r="E1319" s="1757" t="str">
        <f>Translations!$B$1269</f>
        <v>Carbon leakage factor for district heating</v>
      </c>
      <c r="F1319" s="1757"/>
      <c r="G1319" s="1757"/>
      <c r="H1319" s="1757"/>
      <c r="I1319" s="417">
        <f>INDEX(UK_ETS_CL_FactorForDistrictHeating,I1317-2025)</f>
        <v>0.3</v>
      </c>
      <c r="J1319" s="417">
        <f>INDEX(UK_ETS_CL_FactorForDistrictHeating,J1317-2025)</f>
        <v>0.3</v>
      </c>
      <c r="K1319" s="417">
        <f>INDEX(UK_ETS_CL_FactorForDistrictHeating,K1317-2025)</f>
        <v>0.3</v>
      </c>
      <c r="L1319" s="417">
        <f>INDEX(UK_ETS_CL_FactorForDistrictHeating,L1317-2025)</f>
        <v>0.3</v>
      </c>
      <c r="M1319" s="417">
        <f>INDEX(UK_ETS_CL_FactorForDistrictHeating,M1317-2025)</f>
        <v>0.3</v>
      </c>
      <c r="N1319" s="17"/>
      <c r="O1319" s="77"/>
      <c r="P1319" s="145"/>
      <c r="Q1319" s="145"/>
      <c r="R1319" s="145"/>
      <c r="S1319" s="145"/>
      <c r="T1319" s="145"/>
    </row>
    <row r="1320" spans="1:20" s="220" customFormat="1" x14ac:dyDescent="0.25">
      <c r="A1320" s="145"/>
      <c r="B1320" s="17"/>
      <c r="C1320" s="17"/>
      <c r="D1320" s="17"/>
      <c r="E1320" s="1223" t="str">
        <f>Translations!$B$1270</f>
        <v>Note: for CL exposed sectors, the CL factor is 1.0000 for all years.</v>
      </c>
      <c r="F1320" s="1223"/>
      <c r="G1320" s="1223"/>
      <c r="H1320" s="1223"/>
      <c r="I1320" s="1223"/>
      <c r="J1320" s="1223"/>
      <c r="K1320" s="1223"/>
      <c r="L1320" s="1223"/>
      <c r="M1320" s="1223"/>
      <c r="N1320" s="1223"/>
      <c r="O1320" s="17"/>
      <c r="P1320" s="145"/>
      <c r="Q1320" s="145"/>
      <c r="R1320" s="145"/>
      <c r="S1320" s="145"/>
      <c r="T1320" s="145"/>
    </row>
    <row r="1321" spans="1:20" s="220" customFormat="1" x14ac:dyDescent="0.25">
      <c r="A1321" s="145"/>
      <c r="B1321" s="17"/>
      <c r="C1321" s="17"/>
      <c r="D1321" s="17"/>
      <c r="E1321" s="17"/>
      <c r="F1321" s="17"/>
      <c r="G1321" s="17"/>
      <c r="H1321" s="17"/>
      <c r="I1321" s="17"/>
      <c r="J1321" s="17"/>
      <c r="K1321" s="17"/>
      <c r="L1321" s="17"/>
      <c r="M1321" s="17"/>
      <c r="N1321" s="17"/>
      <c r="O1321" s="17"/>
      <c r="P1321" s="145"/>
      <c r="Q1321" s="145"/>
      <c r="R1321" s="145"/>
      <c r="S1321" s="145"/>
      <c r="T1321" s="145"/>
    </row>
    <row r="1322" spans="1:20" s="220" customFormat="1" x14ac:dyDescent="0.25">
      <c r="A1322" s="145"/>
      <c r="B1322" s="8"/>
      <c r="D1322" s="15" t="s">
        <v>195</v>
      </c>
      <c r="E1322" s="27" t="str">
        <f>Translations!$B$1271</f>
        <v>Calculation in accordance with Article 16(1) to (7) of the FAR:</v>
      </c>
      <c r="F1322" s="27"/>
      <c r="G1322" s="27"/>
      <c r="H1322" s="17"/>
      <c r="I1322" s="16"/>
      <c r="J1322" s="16"/>
      <c r="K1322" s="77"/>
      <c r="L1322" s="17"/>
      <c r="M1322" s="17"/>
      <c r="N1322" s="17"/>
      <c r="O1322" s="17"/>
      <c r="P1322" s="145"/>
      <c r="Q1322" s="145"/>
      <c r="R1322" s="145"/>
      <c r="S1322" s="145"/>
      <c r="T1322" s="145"/>
    </row>
    <row r="1323" spans="1:20" s="220" customFormat="1" ht="5.0999999999999996" customHeight="1" thickBot="1" x14ac:dyDescent="0.3">
      <c r="A1323" s="145"/>
      <c r="B1323" s="17"/>
      <c r="C1323" s="17"/>
      <c r="D1323" s="17"/>
      <c r="E1323" s="17"/>
      <c r="F1323" s="17"/>
      <c r="G1323" s="17"/>
      <c r="H1323" s="17"/>
      <c r="I1323" s="17"/>
      <c r="J1323" s="17"/>
      <c r="K1323" s="17"/>
      <c r="L1323" s="17"/>
      <c r="M1323" s="17"/>
      <c r="N1323" s="17"/>
      <c r="O1323" s="17"/>
      <c r="P1323" s="145"/>
      <c r="Q1323" s="145"/>
      <c r="R1323" s="145"/>
      <c r="S1323" s="145"/>
      <c r="T1323" s="145"/>
    </row>
    <row r="1324" spans="1:20" s="220" customFormat="1" ht="12.75" customHeight="1" thickBot="1" x14ac:dyDescent="0.3">
      <c r="A1324" s="145"/>
      <c r="B1324" s="17"/>
      <c r="C1324" s="17"/>
      <c r="D1324" s="1630" t="str">
        <f>Translations!$B$614</f>
        <v>Sub-installation</v>
      </c>
      <c r="E1324" s="1630"/>
      <c r="F1324" s="1630"/>
      <c r="G1324" s="1630"/>
      <c r="H1324" s="1630"/>
      <c r="I1324" s="1103">
        <f>I$1397+7</f>
        <v>2026</v>
      </c>
      <c r="J1324" s="149">
        <f>J$1397+7</f>
        <v>2027</v>
      </c>
      <c r="K1324" s="149">
        <f>K$1397+7</f>
        <v>2028</v>
      </c>
      <c r="L1324" s="149">
        <f>L$1397+7</f>
        <v>2029</v>
      </c>
      <c r="M1324" s="149">
        <f>M$1397+7</f>
        <v>2030</v>
      </c>
      <c r="N1324" s="17"/>
      <c r="O1324" s="17"/>
      <c r="P1324" s="145"/>
      <c r="Q1324" s="430" t="s">
        <v>657</v>
      </c>
      <c r="R1324" s="431" t="s">
        <v>658</v>
      </c>
      <c r="S1324" s="145"/>
      <c r="T1324" s="145"/>
    </row>
    <row r="1325" spans="1:20" s="220" customFormat="1" x14ac:dyDescent="0.25">
      <c r="A1325" s="145"/>
      <c r="B1325" s="17"/>
      <c r="C1325" s="80">
        <v>1</v>
      </c>
      <c r="D1325" s="1757" t="str">
        <f t="shared" ref="D1325:D1341" si="13">INDEX($R$469:$R$1290,MATCH($C1325,$Q$469:$Q$1290,0))</f>
        <v/>
      </c>
      <c r="E1325" s="1757"/>
      <c r="F1325" s="1757"/>
      <c r="G1325" s="1757"/>
      <c r="H1325" s="1758"/>
      <c r="I1325" s="1104" t="str">
        <f t="shared" ref="I1325:M1334" si="14">IF(ISNUMBER($Q1325),IF(CNTR_Eligible10a,MAX(0,ROUND($Q1325*IF($R1325,1,IF($C1325=13,I$1319,I$1318)),0)),EUconst_NotEligible),"")</f>
        <v/>
      </c>
      <c r="J1325" s="148" t="str">
        <f t="shared" si="14"/>
        <v/>
      </c>
      <c r="K1325" s="148" t="str">
        <f t="shared" si="14"/>
        <v/>
      </c>
      <c r="L1325" s="148" t="str">
        <f t="shared" si="14"/>
        <v/>
      </c>
      <c r="M1325" s="148" t="str">
        <f t="shared" si="14"/>
        <v/>
      </c>
      <c r="N1325" s="17"/>
      <c r="O1325" s="17"/>
      <c r="P1325" s="145"/>
      <c r="Q1325" s="477" t="str">
        <f t="shared" ref="Q1325:Q1341" si="15">IF(ISNUMBER(INDEX($R$469:$T$1290,MATCH(EUconst_AllocPrelim&amp;$D1325,$P$469:$P$1290,0),CNTR_MinMaxActual)),INDEX($R$469:$T$1290,MATCH(EUconst_AllocPrelim&amp;$D1325,$P$469:$P$1290,0),CNTR_MinMaxActual),"")</f>
        <v/>
      </c>
      <c r="R1325" s="391" t="str">
        <f t="shared" ref="R1325:R1341" si="16">IF(ISLOGICAL(INDEX($S$469:$S$1290,MATCH($C1325,$Q$469:$Q$1290,0))),INDEX($S$469:$S$1290,MATCH($C1325,$Q$469:$Q$1290,0)),"")</f>
        <v/>
      </c>
      <c r="S1325" s="145"/>
      <c r="T1325" s="145"/>
    </row>
    <row r="1326" spans="1:20" s="220" customFormat="1" x14ac:dyDescent="0.25">
      <c r="A1326" s="145"/>
      <c r="B1326" s="17"/>
      <c r="C1326" s="80">
        <f>C1325+1</f>
        <v>2</v>
      </c>
      <c r="D1326" s="1757" t="str">
        <f t="shared" si="13"/>
        <v/>
      </c>
      <c r="E1326" s="1757"/>
      <c r="F1326" s="1757"/>
      <c r="G1326" s="1757"/>
      <c r="H1326" s="1758"/>
      <c r="I1326" s="1104" t="str">
        <f t="shared" si="14"/>
        <v/>
      </c>
      <c r="J1326" s="148" t="str">
        <f t="shared" si="14"/>
        <v/>
      </c>
      <c r="K1326" s="148" t="str">
        <f t="shared" si="14"/>
        <v/>
      </c>
      <c r="L1326" s="148" t="str">
        <f t="shared" si="14"/>
        <v/>
      </c>
      <c r="M1326" s="148" t="str">
        <f t="shared" si="14"/>
        <v/>
      </c>
      <c r="N1326" s="17"/>
      <c r="O1326" s="17"/>
      <c r="P1326" s="145"/>
      <c r="Q1326" s="478" t="str">
        <f t="shared" si="15"/>
        <v/>
      </c>
      <c r="R1326" s="285" t="str">
        <f t="shared" si="16"/>
        <v/>
      </c>
      <c r="S1326" s="145"/>
      <c r="T1326" s="145"/>
    </row>
    <row r="1327" spans="1:20" s="220" customFormat="1" x14ac:dyDescent="0.25">
      <c r="A1327" s="145"/>
      <c r="B1327" s="17"/>
      <c r="C1327" s="80">
        <f t="shared" ref="C1327:C1340" si="17">C1326+1</f>
        <v>3</v>
      </c>
      <c r="D1327" s="1757" t="str">
        <f t="shared" si="13"/>
        <v/>
      </c>
      <c r="E1327" s="1757"/>
      <c r="F1327" s="1757"/>
      <c r="G1327" s="1757"/>
      <c r="H1327" s="1758"/>
      <c r="I1327" s="1104" t="str">
        <f t="shared" si="14"/>
        <v/>
      </c>
      <c r="J1327" s="148" t="str">
        <f t="shared" si="14"/>
        <v/>
      </c>
      <c r="K1327" s="148" t="str">
        <f t="shared" si="14"/>
        <v/>
      </c>
      <c r="L1327" s="148" t="str">
        <f t="shared" si="14"/>
        <v/>
      </c>
      <c r="M1327" s="148" t="str">
        <f t="shared" si="14"/>
        <v/>
      </c>
      <c r="N1327" s="17"/>
      <c r="O1327" s="17"/>
      <c r="P1327" s="145"/>
      <c r="Q1327" s="478" t="str">
        <f t="shared" si="15"/>
        <v/>
      </c>
      <c r="R1327" s="285" t="str">
        <f t="shared" si="16"/>
        <v/>
      </c>
      <c r="S1327" s="145"/>
      <c r="T1327" s="145"/>
    </row>
    <row r="1328" spans="1:20" s="220" customFormat="1" x14ac:dyDescent="0.25">
      <c r="A1328" s="145"/>
      <c r="B1328" s="17"/>
      <c r="C1328" s="80">
        <f t="shared" si="17"/>
        <v>4</v>
      </c>
      <c r="D1328" s="1757" t="str">
        <f t="shared" si="13"/>
        <v/>
      </c>
      <c r="E1328" s="1757"/>
      <c r="F1328" s="1757"/>
      <c r="G1328" s="1757"/>
      <c r="H1328" s="1758"/>
      <c r="I1328" s="1104" t="str">
        <f t="shared" si="14"/>
        <v/>
      </c>
      <c r="J1328" s="148" t="str">
        <f t="shared" si="14"/>
        <v/>
      </c>
      <c r="K1328" s="148" t="str">
        <f t="shared" si="14"/>
        <v/>
      </c>
      <c r="L1328" s="148" t="str">
        <f t="shared" si="14"/>
        <v/>
      </c>
      <c r="M1328" s="148" t="str">
        <f t="shared" si="14"/>
        <v/>
      </c>
      <c r="N1328" s="17"/>
      <c r="O1328" s="17"/>
      <c r="P1328" s="145"/>
      <c r="Q1328" s="478" t="str">
        <f t="shared" si="15"/>
        <v/>
      </c>
      <c r="R1328" s="285" t="str">
        <f t="shared" si="16"/>
        <v/>
      </c>
      <c r="S1328" s="145"/>
      <c r="T1328" s="145"/>
    </row>
    <row r="1329" spans="1:20" s="220" customFormat="1" x14ac:dyDescent="0.25">
      <c r="A1329" s="145"/>
      <c r="B1329" s="17"/>
      <c r="C1329" s="80">
        <f t="shared" si="17"/>
        <v>5</v>
      </c>
      <c r="D1329" s="1757" t="str">
        <f t="shared" si="13"/>
        <v/>
      </c>
      <c r="E1329" s="1757"/>
      <c r="F1329" s="1757"/>
      <c r="G1329" s="1757"/>
      <c r="H1329" s="1758"/>
      <c r="I1329" s="1104" t="str">
        <f t="shared" si="14"/>
        <v/>
      </c>
      <c r="J1329" s="148" t="str">
        <f t="shared" si="14"/>
        <v/>
      </c>
      <c r="K1329" s="148" t="str">
        <f t="shared" si="14"/>
        <v/>
      </c>
      <c r="L1329" s="148" t="str">
        <f t="shared" si="14"/>
        <v/>
      </c>
      <c r="M1329" s="148" t="str">
        <f t="shared" si="14"/>
        <v/>
      </c>
      <c r="N1329" s="17"/>
      <c r="O1329" s="17"/>
      <c r="P1329" s="145"/>
      <c r="Q1329" s="478" t="str">
        <f t="shared" si="15"/>
        <v/>
      </c>
      <c r="R1329" s="285" t="str">
        <f t="shared" si="16"/>
        <v/>
      </c>
      <c r="S1329" s="145"/>
      <c r="T1329" s="145"/>
    </row>
    <row r="1330" spans="1:20" s="220" customFormat="1" x14ac:dyDescent="0.25">
      <c r="A1330" s="145"/>
      <c r="B1330" s="17"/>
      <c r="C1330" s="80">
        <f t="shared" si="17"/>
        <v>6</v>
      </c>
      <c r="D1330" s="1757" t="str">
        <f t="shared" si="13"/>
        <v/>
      </c>
      <c r="E1330" s="1757"/>
      <c r="F1330" s="1757"/>
      <c r="G1330" s="1757"/>
      <c r="H1330" s="1758"/>
      <c r="I1330" s="1104" t="str">
        <f t="shared" si="14"/>
        <v/>
      </c>
      <c r="J1330" s="148" t="str">
        <f t="shared" si="14"/>
        <v/>
      </c>
      <c r="K1330" s="148" t="str">
        <f t="shared" si="14"/>
        <v/>
      </c>
      <c r="L1330" s="148" t="str">
        <f t="shared" si="14"/>
        <v/>
      </c>
      <c r="M1330" s="148" t="str">
        <f t="shared" si="14"/>
        <v/>
      </c>
      <c r="N1330" s="17"/>
      <c r="O1330" s="17"/>
      <c r="P1330" s="145"/>
      <c r="Q1330" s="478" t="str">
        <f t="shared" si="15"/>
        <v/>
      </c>
      <c r="R1330" s="285" t="str">
        <f t="shared" si="16"/>
        <v/>
      </c>
      <c r="S1330" s="145"/>
      <c r="T1330" s="145"/>
    </row>
    <row r="1331" spans="1:20" s="220" customFormat="1" ht="12.75" customHeight="1" x14ac:dyDescent="0.25">
      <c r="A1331" s="145"/>
      <c r="B1331" s="17"/>
      <c r="C1331" s="80">
        <f t="shared" si="17"/>
        <v>7</v>
      </c>
      <c r="D1331" s="1757" t="str">
        <f t="shared" si="13"/>
        <v/>
      </c>
      <c r="E1331" s="1757"/>
      <c r="F1331" s="1757"/>
      <c r="G1331" s="1757"/>
      <c r="H1331" s="1758"/>
      <c r="I1331" s="1104" t="str">
        <f t="shared" si="14"/>
        <v/>
      </c>
      <c r="J1331" s="148" t="str">
        <f t="shared" si="14"/>
        <v/>
      </c>
      <c r="K1331" s="148" t="str">
        <f t="shared" si="14"/>
        <v/>
      </c>
      <c r="L1331" s="148" t="str">
        <f t="shared" si="14"/>
        <v/>
      </c>
      <c r="M1331" s="148" t="str">
        <f t="shared" si="14"/>
        <v/>
      </c>
      <c r="N1331" s="17"/>
      <c r="O1331" s="17"/>
      <c r="P1331" s="145"/>
      <c r="Q1331" s="478" t="str">
        <f t="shared" si="15"/>
        <v/>
      </c>
      <c r="R1331" s="285" t="str">
        <f t="shared" si="16"/>
        <v/>
      </c>
      <c r="S1331" s="145"/>
      <c r="T1331" s="145"/>
    </row>
    <row r="1332" spans="1:20" s="220" customFormat="1" ht="12.75" customHeight="1" x14ac:dyDescent="0.25">
      <c r="A1332" s="145"/>
      <c r="B1332" s="17"/>
      <c r="C1332" s="80">
        <f t="shared" si="17"/>
        <v>8</v>
      </c>
      <c r="D1332" s="1757" t="str">
        <f t="shared" si="13"/>
        <v/>
      </c>
      <c r="E1332" s="1757"/>
      <c r="F1332" s="1757"/>
      <c r="G1332" s="1757"/>
      <c r="H1332" s="1758"/>
      <c r="I1332" s="1104" t="str">
        <f t="shared" si="14"/>
        <v/>
      </c>
      <c r="J1332" s="148" t="str">
        <f t="shared" si="14"/>
        <v/>
      </c>
      <c r="K1332" s="148" t="str">
        <f t="shared" si="14"/>
        <v/>
      </c>
      <c r="L1332" s="148" t="str">
        <f t="shared" si="14"/>
        <v/>
      </c>
      <c r="M1332" s="148" t="str">
        <f t="shared" si="14"/>
        <v/>
      </c>
      <c r="N1332" s="17"/>
      <c r="O1332" s="17"/>
      <c r="P1332" s="145"/>
      <c r="Q1332" s="478" t="str">
        <f t="shared" si="15"/>
        <v/>
      </c>
      <c r="R1332" s="285" t="str">
        <f t="shared" si="16"/>
        <v/>
      </c>
      <c r="S1332" s="145"/>
      <c r="T1332" s="145"/>
    </row>
    <row r="1333" spans="1:20" s="220" customFormat="1" ht="12.75" customHeight="1" x14ac:dyDescent="0.25">
      <c r="A1333" s="145"/>
      <c r="B1333" s="17"/>
      <c r="C1333" s="80">
        <f t="shared" si="17"/>
        <v>9</v>
      </c>
      <c r="D1333" s="1757" t="str">
        <f t="shared" si="13"/>
        <v/>
      </c>
      <c r="E1333" s="1757"/>
      <c r="F1333" s="1757"/>
      <c r="G1333" s="1757"/>
      <c r="H1333" s="1758"/>
      <c r="I1333" s="1104" t="str">
        <f t="shared" si="14"/>
        <v/>
      </c>
      <c r="J1333" s="148" t="str">
        <f t="shared" si="14"/>
        <v/>
      </c>
      <c r="K1333" s="148" t="str">
        <f t="shared" si="14"/>
        <v/>
      </c>
      <c r="L1333" s="148" t="str">
        <f t="shared" si="14"/>
        <v/>
      </c>
      <c r="M1333" s="148" t="str">
        <f t="shared" si="14"/>
        <v/>
      </c>
      <c r="N1333" s="17"/>
      <c r="O1333" s="17"/>
      <c r="P1333" s="145"/>
      <c r="Q1333" s="478" t="str">
        <f t="shared" si="15"/>
        <v/>
      </c>
      <c r="R1333" s="285" t="str">
        <f t="shared" si="16"/>
        <v/>
      </c>
      <c r="S1333" s="145"/>
      <c r="T1333" s="145"/>
    </row>
    <row r="1334" spans="1:20" s="220" customFormat="1" ht="13.8" thickBot="1" x14ac:dyDescent="0.3">
      <c r="A1334" s="145"/>
      <c r="B1334" s="17"/>
      <c r="C1334" s="418">
        <f t="shared" si="17"/>
        <v>10</v>
      </c>
      <c r="D1334" s="1761" t="str">
        <f t="shared" si="13"/>
        <v/>
      </c>
      <c r="E1334" s="1761"/>
      <c r="F1334" s="1761"/>
      <c r="G1334" s="1761"/>
      <c r="H1334" s="1762"/>
      <c r="I1334" s="1105" t="str">
        <f t="shared" si="14"/>
        <v/>
      </c>
      <c r="J1334" s="419" t="str">
        <f t="shared" si="14"/>
        <v/>
      </c>
      <c r="K1334" s="419" t="str">
        <f t="shared" si="14"/>
        <v/>
      </c>
      <c r="L1334" s="419" t="str">
        <f t="shared" si="14"/>
        <v/>
      </c>
      <c r="M1334" s="419" t="str">
        <f t="shared" si="14"/>
        <v/>
      </c>
      <c r="N1334" s="17"/>
      <c r="O1334" s="17"/>
      <c r="P1334" s="145"/>
      <c r="Q1334" s="478" t="str">
        <f t="shared" si="15"/>
        <v/>
      </c>
      <c r="R1334" s="285" t="str">
        <f t="shared" si="16"/>
        <v/>
      </c>
      <c r="S1334" s="145"/>
      <c r="T1334" s="145"/>
    </row>
    <row r="1335" spans="1:20" s="220" customFormat="1" x14ac:dyDescent="0.25">
      <c r="A1335" s="145"/>
      <c r="B1335" s="17"/>
      <c r="C1335" s="80">
        <f t="shared" si="17"/>
        <v>11</v>
      </c>
      <c r="D1335" s="1763" t="str">
        <f t="shared" si="13"/>
        <v>Heat benchmark sub-installation, CL</v>
      </c>
      <c r="E1335" s="1763"/>
      <c r="F1335" s="1763"/>
      <c r="G1335" s="1763"/>
      <c r="H1335" s="1764"/>
      <c r="I1335" s="1106" t="str">
        <f t="shared" ref="I1335:M1341" si="18">IF(ISNUMBER($Q1335),IF(CNTR_Eligible10a,MAX(0,ROUND($Q1335*IF($R1335,1,IF($C1335=13,I$1319,I$1318)),0)),EUconst_NotEligible),"")</f>
        <v/>
      </c>
      <c r="J1335" s="420" t="str">
        <f t="shared" si="18"/>
        <v/>
      </c>
      <c r="K1335" s="420" t="str">
        <f t="shared" si="18"/>
        <v/>
      </c>
      <c r="L1335" s="420" t="str">
        <f t="shared" si="18"/>
        <v/>
      </c>
      <c r="M1335" s="420" t="str">
        <f t="shared" si="18"/>
        <v/>
      </c>
      <c r="N1335" s="17"/>
      <c r="O1335" s="17"/>
      <c r="P1335" s="145"/>
      <c r="Q1335" s="478" t="str">
        <f t="shared" si="15"/>
        <v/>
      </c>
      <c r="R1335" s="285" t="b">
        <f t="shared" si="16"/>
        <v>1</v>
      </c>
      <c r="S1335" s="145"/>
      <c r="T1335" s="145"/>
    </row>
    <row r="1336" spans="1:20" s="220" customFormat="1" x14ac:dyDescent="0.25">
      <c r="A1336" s="145"/>
      <c r="B1336" s="17"/>
      <c r="C1336" s="80">
        <f t="shared" si="17"/>
        <v>12</v>
      </c>
      <c r="D1336" s="1757" t="str">
        <f t="shared" si="13"/>
        <v>Heat benchmark sub-installation, non-CL</v>
      </c>
      <c r="E1336" s="1757"/>
      <c r="F1336" s="1757"/>
      <c r="G1336" s="1757"/>
      <c r="H1336" s="1758"/>
      <c r="I1336" s="1104" t="str">
        <f t="shared" si="18"/>
        <v/>
      </c>
      <c r="J1336" s="148" t="str">
        <f t="shared" si="18"/>
        <v/>
      </c>
      <c r="K1336" s="148" t="str">
        <f t="shared" si="18"/>
        <v/>
      </c>
      <c r="L1336" s="148" t="str">
        <f t="shared" si="18"/>
        <v/>
      </c>
      <c r="M1336" s="148" t="str">
        <f t="shared" si="18"/>
        <v/>
      </c>
      <c r="N1336" s="17"/>
      <c r="O1336" s="17"/>
      <c r="P1336" s="145"/>
      <c r="Q1336" s="478" t="str">
        <f t="shared" si="15"/>
        <v/>
      </c>
      <c r="R1336" s="285" t="b">
        <f t="shared" si="16"/>
        <v>0</v>
      </c>
      <c r="S1336" s="145"/>
      <c r="T1336" s="145"/>
    </row>
    <row r="1337" spans="1:20" s="220" customFormat="1" x14ac:dyDescent="0.25">
      <c r="A1337" s="145"/>
      <c r="B1337" s="17"/>
      <c r="C1337" s="80">
        <f t="shared" si="17"/>
        <v>13</v>
      </c>
      <c r="D1337" s="1757" t="str">
        <f t="shared" si="13"/>
        <v>District heating sub-installation</v>
      </c>
      <c r="E1337" s="1757"/>
      <c r="F1337" s="1757"/>
      <c r="G1337" s="1757"/>
      <c r="H1337" s="1758"/>
      <c r="I1337" s="1104" t="str">
        <f t="shared" si="18"/>
        <v/>
      </c>
      <c r="J1337" s="148" t="str">
        <f t="shared" si="18"/>
        <v/>
      </c>
      <c r="K1337" s="148" t="str">
        <f t="shared" si="18"/>
        <v/>
      </c>
      <c r="L1337" s="148" t="str">
        <f t="shared" si="18"/>
        <v/>
      </c>
      <c r="M1337" s="148" t="str">
        <f t="shared" si="18"/>
        <v/>
      </c>
      <c r="N1337" s="17"/>
      <c r="O1337" s="17"/>
      <c r="P1337" s="145"/>
      <c r="Q1337" s="478" t="str">
        <f t="shared" si="15"/>
        <v/>
      </c>
      <c r="R1337" s="285" t="b">
        <f t="shared" si="16"/>
        <v>0</v>
      </c>
      <c r="S1337" s="145"/>
      <c r="T1337" s="145"/>
    </row>
    <row r="1338" spans="1:20" s="220" customFormat="1" x14ac:dyDescent="0.25">
      <c r="A1338" s="145"/>
      <c r="B1338" s="17"/>
      <c r="C1338" s="80">
        <f t="shared" si="17"/>
        <v>14</v>
      </c>
      <c r="D1338" s="1757" t="str">
        <f t="shared" si="13"/>
        <v>Fuel benchmark sub-installation, CL</v>
      </c>
      <c r="E1338" s="1757"/>
      <c r="F1338" s="1757"/>
      <c r="G1338" s="1757"/>
      <c r="H1338" s="1758"/>
      <c r="I1338" s="1104" t="str">
        <f t="shared" si="18"/>
        <v/>
      </c>
      <c r="J1338" s="148" t="str">
        <f t="shared" si="18"/>
        <v/>
      </c>
      <c r="K1338" s="148" t="str">
        <f t="shared" si="18"/>
        <v/>
      </c>
      <c r="L1338" s="148" t="str">
        <f t="shared" si="18"/>
        <v/>
      </c>
      <c r="M1338" s="148" t="str">
        <f t="shared" si="18"/>
        <v/>
      </c>
      <c r="N1338" s="17"/>
      <c r="O1338" s="17"/>
      <c r="P1338" s="145"/>
      <c r="Q1338" s="478" t="str">
        <f t="shared" si="15"/>
        <v/>
      </c>
      <c r="R1338" s="285" t="b">
        <f t="shared" si="16"/>
        <v>1</v>
      </c>
      <c r="S1338" s="145"/>
      <c r="T1338" s="145"/>
    </row>
    <row r="1339" spans="1:20" s="220" customFormat="1" x14ac:dyDescent="0.25">
      <c r="A1339" s="145"/>
      <c r="B1339" s="17"/>
      <c r="C1339" s="80">
        <f t="shared" si="17"/>
        <v>15</v>
      </c>
      <c r="D1339" s="1757" t="str">
        <f t="shared" si="13"/>
        <v>Fuel benchmark sub-installation, non-CL</v>
      </c>
      <c r="E1339" s="1757"/>
      <c r="F1339" s="1757"/>
      <c r="G1339" s="1757"/>
      <c r="H1339" s="1758"/>
      <c r="I1339" s="1104" t="str">
        <f t="shared" si="18"/>
        <v/>
      </c>
      <c r="J1339" s="148" t="str">
        <f t="shared" si="18"/>
        <v/>
      </c>
      <c r="K1339" s="148" t="str">
        <f t="shared" si="18"/>
        <v/>
      </c>
      <c r="L1339" s="148" t="str">
        <f t="shared" si="18"/>
        <v/>
      </c>
      <c r="M1339" s="148" t="str">
        <f t="shared" si="18"/>
        <v/>
      </c>
      <c r="N1339" s="17"/>
      <c r="O1339" s="17"/>
      <c r="P1339" s="145"/>
      <c r="Q1339" s="478" t="str">
        <f t="shared" si="15"/>
        <v/>
      </c>
      <c r="R1339" s="285" t="b">
        <f t="shared" si="16"/>
        <v>0</v>
      </c>
      <c r="S1339" s="145"/>
      <c r="T1339" s="145"/>
    </row>
    <row r="1340" spans="1:20" s="220" customFormat="1" x14ac:dyDescent="0.25">
      <c r="A1340" s="145"/>
      <c r="B1340" s="17"/>
      <c r="C1340" s="80">
        <f t="shared" si="17"/>
        <v>16</v>
      </c>
      <c r="D1340" s="1757" t="str">
        <f t="shared" si="13"/>
        <v>Process emissions sub-installation, CL</v>
      </c>
      <c r="E1340" s="1757"/>
      <c r="F1340" s="1757"/>
      <c r="G1340" s="1757"/>
      <c r="H1340" s="1758"/>
      <c r="I1340" s="1107" t="str">
        <f t="shared" si="18"/>
        <v/>
      </c>
      <c r="J1340" s="429" t="str">
        <f t="shared" si="18"/>
        <v/>
      </c>
      <c r="K1340" s="429" t="str">
        <f t="shared" si="18"/>
        <v/>
      </c>
      <c r="L1340" s="429" t="str">
        <f t="shared" si="18"/>
        <v/>
      </c>
      <c r="M1340" s="429" t="str">
        <f t="shared" si="18"/>
        <v/>
      </c>
      <c r="N1340" s="17"/>
      <c r="O1340" s="17"/>
      <c r="P1340" s="145"/>
      <c r="Q1340" s="478" t="str">
        <f t="shared" si="15"/>
        <v/>
      </c>
      <c r="R1340" s="285" t="b">
        <f t="shared" si="16"/>
        <v>1</v>
      </c>
      <c r="S1340" s="145"/>
      <c r="T1340" s="145"/>
    </row>
    <row r="1341" spans="1:20" s="220" customFormat="1" ht="13.8" thickBot="1" x14ac:dyDescent="0.3">
      <c r="A1341" s="145"/>
      <c r="B1341" s="17"/>
      <c r="C1341" s="428">
        <v>17</v>
      </c>
      <c r="D1341" s="1759" t="str">
        <f t="shared" si="13"/>
        <v>Process emissions sub-installation, non-CL</v>
      </c>
      <c r="E1341" s="1759"/>
      <c r="F1341" s="1759"/>
      <c r="G1341" s="1759"/>
      <c r="H1341" s="1760"/>
      <c r="I1341" s="1105" t="str">
        <f t="shared" si="18"/>
        <v/>
      </c>
      <c r="J1341" s="419" t="str">
        <f t="shared" si="18"/>
        <v/>
      </c>
      <c r="K1341" s="419" t="str">
        <f t="shared" si="18"/>
        <v/>
      </c>
      <c r="L1341" s="419" t="str">
        <f t="shared" si="18"/>
        <v/>
      </c>
      <c r="M1341" s="419" t="str">
        <f t="shared" si="18"/>
        <v/>
      </c>
      <c r="N1341" s="17"/>
      <c r="O1341" s="17"/>
      <c r="P1341" s="145"/>
      <c r="Q1341" s="479" t="str">
        <f t="shared" si="15"/>
        <v/>
      </c>
      <c r="R1341" s="286" t="b">
        <f t="shared" si="16"/>
        <v>0</v>
      </c>
      <c r="S1341" s="145"/>
      <c r="T1341" s="145"/>
    </row>
    <row r="1342" spans="1:20" s="220" customFormat="1" x14ac:dyDescent="0.25">
      <c r="A1342" s="145"/>
      <c r="B1342" s="17"/>
      <c r="C1342" s="17"/>
      <c r="D1342" s="1755" t="str">
        <f>Translations!$B$1272</f>
        <v>Total preliminary free allocation</v>
      </c>
      <c r="E1342" s="1755"/>
      <c r="F1342" s="1755"/>
      <c r="G1342" s="1755"/>
      <c r="H1342" s="1756"/>
      <c r="I1342" s="1108" t="str">
        <f>IF(COUNT(I1325:I1341)&gt;0,IF(SUM(I1325:I1341)&gt;0,SUM(I1325:I1341),0),"")</f>
        <v/>
      </c>
      <c r="J1342" s="421" t="str">
        <f>IF(COUNT(J1325:J1341)&gt;0,IF(SUM(J1325:J1341)&gt;0,SUM(J1325:J1341),0),"")</f>
        <v/>
      </c>
      <c r="K1342" s="421" t="str">
        <f>IF(COUNT(K1325:K1341)&gt;0,IF(SUM(K1325:K1341)&gt;0,SUM(K1325:K1341),0),"")</f>
        <v/>
      </c>
      <c r="L1342" s="421" t="str">
        <f>IF(COUNT(L1325:L1341)&gt;0,IF(SUM(L1325:L1341)&gt;0,SUM(L1325:L1341),0),"")</f>
        <v/>
      </c>
      <c r="M1342" s="421" t="str">
        <f>IF(COUNT(M1325:M1341)&gt;0,IF(SUM(M1325:M1341)&gt;0,SUM(M1325:M1341),0),"")</f>
        <v/>
      </c>
      <c r="N1342" s="17"/>
      <c r="O1342" s="17"/>
      <c r="P1342" s="145"/>
      <c r="Q1342" s="145"/>
      <c r="R1342" s="145"/>
      <c r="S1342" s="145"/>
      <c r="T1342" s="145"/>
    </row>
    <row r="1343" spans="1:20" s="220" customFormat="1" x14ac:dyDescent="0.25">
      <c r="A1343" s="145"/>
      <c r="B1343" s="17"/>
      <c r="C1343" s="17"/>
      <c r="D1343" s="17"/>
      <c r="E1343" s="17"/>
      <c r="F1343" s="17"/>
      <c r="G1343" s="17"/>
      <c r="H1343" s="17"/>
      <c r="I1343" s="17"/>
      <c r="J1343" s="17"/>
      <c r="K1343" s="17"/>
      <c r="L1343" s="17"/>
      <c r="M1343" s="17"/>
      <c r="N1343" s="17"/>
      <c r="O1343" s="17"/>
      <c r="P1343" s="145"/>
      <c r="Q1343" s="145"/>
      <c r="R1343" s="145"/>
      <c r="S1343" s="145"/>
      <c r="T1343" s="145"/>
    </row>
    <row r="1344" spans="1:20" s="220" customFormat="1" ht="13.8" x14ac:dyDescent="0.25">
      <c r="A1344" s="145"/>
      <c r="B1344" s="8"/>
      <c r="C1344" s="19">
        <v>2</v>
      </c>
      <c r="D1344" s="338" t="str">
        <f>Translations!$B$1273</f>
        <v>Indicative expected final amount of free allowances:</v>
      </c>
      <c r="E1344" s="17"/>
      <c r="F1344" s="17"/>
      <c r="G1344" s="17"/>
      <c r="H1344" s="17"/>
      <c r="I1344" s="16"/>
      <c r="J1344" s="16"/>
      <c r="K1344" s="77"/>
      <c r="L1344" s="17"/>
      <c r="M1344" s="17"/>
      <c r="N1344" s="17"/>
      <c r="O1344" s="17"/>
      <c r="P1344" s="145"/>
      <c r="Q1344" s="145"/>
      <c r="R1344" s="145"/>
      <c r="S1344" s="145"/>
      <c r="T1344" s="145"/>
    </row>
    <row r="1345" spans="1:20" s="220" customFormat="1" ht="5.0999999999999996" customHeight="1" x14ac:dyDescent="0.25">
      <c r="A1345" s="145"/>
      <c r="B1345" s="17"/>
      <c r="C1345" s="17"/>
      <c r="D1345" s="17"/>
      <c r="E1345" s="17"/>
      <c r="F1345" s="17"/>
      <c r="G1345" s="17"/>
      <c r="H1345" s="17"/>
      <c r="I1345" s="17"/>
      <c r="J1345" s="17"/>
      <c r="K1345" s="17"/>
      <c r="L1345" s="17"/>
      <c r="M1345" s="17"/>
      <c r="N1345" s="17"/>
      <c r="O1345" s="17"/>
      <c r="P1345" s="145"/>
      <c r="Q1345" s="145"/>
      <c r="R1345" s="145"/>
      <c r="S1345" s="145"/>
      <c r="T1345" s="145"/>
    </row>
    <row r="1346" spans="1:20" s="220" customFormat="1" x14ac:dyDescent="0.25">
      <c r="A1346" s="145"/>
      <c r="B1346" s="8"/>
      <c r="D1346" s="15" t="s">
        <v>190</v>
      </c>
      <c r="E1346" s="27" t="s">
        <v>659</v>
      </c>
      <c r="F1346" s="27"/>
      <c r="G1346" s="27"/>
      <c r="H1346" s="17"/>
      <c r="I1346" s="16"/>
      <c r="J1346" s="16"/>
      <c r="K1346" s="77"/>
      <c r="L1346" s="17"/>
      <c r="M1346" s="17"/>
      <c r="N1346" s="17"/>
      <c r="O1346" s="17"/>
      <c r="P1346" s="145"/>
      <c r="Q1346" s="145"/>
      <c r="R1346" s="145"/>
      <c r="S1346" s="145"/>
      <c r="T1346" s="145"/>
    </row>
    <row r="1347" spans="1:20" s="220" customFormat="1" ht="5.0999999999999996" customHeight="1" x14ac:dyDescent="0.25">
      <c r="A1347" s="145"/>
      <c r="B1347" s="17"/>
      <c r="C1347" s="17"/>
      <c r="D1347" s="17"/>
      <c r="E1347" s="17"/>
      <c r="F1347" s="17"/>
      <c r="G1347" s="17"/>
      <c r="H1347" s="17"/>
      <c r="I1347" s="17"/>
      <c r="J1347" s="17"/>
      <c r="K1347" s="17"/>
      <c r="L1347" s="17"/>
      <c r="M1347" s="17"/>
      <c r="N1347" s="17"/>
      <c r="O1347" s="17"/>
      <c r="P1347" s="145"/>
      <c r="Q1347" s="145"/>
      <c r="R1347" s="145"/>
      <c r="S1347" s="145"/>
      <c r="T1347" s="145"/>
    </row>
    <row r="1348" spans="1:20" s="220" customFormat="1" x14ac:dyDescent="0.25">
      <c r="A1348" s="145"/>
      <c r="B1348" s="17"/>
      <c r="C1348" s="17"/>
      <c r="D1348" s="17"/>
      <c r="E1348" s="78"/>
      <c r="F1348" s="78"/>
      <c r="G1348" s="78"/>
      <c r="H1348" s="259"/>
      <c r="I1348" s="149">
        <f>I$1397+7</f>
        <v>2026</v>
      </c>
      <c r="J1348" s="149">
        <f>J$1397+7</f>
        <v>2027</v>
      </c>
      <c r="K1348" s="149">
        <f>K$1397+7</f>
        <v>2028</v>
      </c>
      <c r="L1348" s="149">
        <f>L$1397+7</f>
        <v>2029</v>
      </c>
      <c r="M1348" s="149">
        <f>M$1397+7</f>
        <v>2030</v>
      </c>
      <c r="N1348" s="17"/>
      <c r="O1348" s="17"/>
      <c r="P1348" s="145"/>
      <c r="Q1348" s="145"/>
      <c r="R1348" s="145"/>
      <c r="S1348" s="145"/>
      <c r="T1348" s="145"/>
    </row>
    <row r="1349" spans="1:20" s="220" customFormat="1" x14ac:dyDescent="0.25">
      <c r="A1349" s="145"/>
      <c r="B1349" s="17"/>
      <c r="C1349" s="17"/>
      <c r="D1349" s="17"/>
      <c r="E1349" s="1757" t="str">
        <f>Translations!$B$1275</f>
        <v>Linear factor</v>
      </c>
      <c r="F1349" s="1757"/>
      <c r="G1349" s="1757"/>
      <c r="H1349" s="1757"/>
      <c r="I1349" s="417">
        <f>INDEX(UK_ETS_Linear_Factors,I1348-2025)</f>
        <v>0.74619999999999997</v>
      </c>
      <c r="J1349" s="417">
        <f>INDEX(UK_ETS_Linear_Factors,J1348-2025)</f>
        <v>0.72419999999999995</v>
      </c>
      <c r="K1349" s="417">
        <f>INDEX(UK_ETS_Linear_Factors,K1348-2025)</f>
        <v>0.70220000000000005</v>
      </c>
      <c r="L1349" s="417">
        <f>INDEX(UK_ETS_Linear_Factors,L1348-2025)</f>
        <v>0.68020000000000003</v>
      </c>
      <c r="M1349" s="417">
        <f>INDEX(UK_ETS_Linear_Factors,M1348-2025)</f>
        <v>0.65820000000000001</v>
      </c>
      <c r="N1349" s="17"/>
      <c r="O1349" s="17"/>
      <c r="P1349" s="145"/>
      <c r="Q1349" s="145"/>
      <c r="R1349" s="145"/>
      <c r="S1349" s="145"/>
      <c r="T1349" s="145"/>
    </row>
    <row r="1350" spans="1:20" s="220" customFormat="1" ht="5.0999999999999996" customHeight="1" x14ac:dyDescent="0.25">
      <c r="A1350" s="145"/>
      <c r="B1350" s="17"/>
      <c r="C1350" s="17"/>
      <c r="D1350" s="17"/>
      <c r="E1350" s="17"/>
      <c r="F1350" s="17"/>
      <c r="G1350" s="17"/>
      <c r="H1350" s="17"/>
      <c r="I1350" s="17"/>
      <c r="J1350" s="17"/>
      <c r="K1350" s="17"/>
      <c r="L1350" s="17"/>
      <c r="M1350" s="17"/>
      <c r="N1350" s="17"/>
      <c r="O1350" s="17"/>
      <c r="P1350" s="145"/>
      <c r="Q1350" s="145"/>
      <c r="R1350" s="145"/>
      <c r="S1350" s="145"/>
      <c r="T1350" s="145"/>
    </row>
    <row r="1351" spans="1:20" s="220" customFormat="1" x14ac:dyDescent="0.25">
      <c r="A1351" s="145"/>
      <c r="B1351" s="8"/>
      <c r="C1351" s="8"/>
      <c r="D1351" s="15" t="s">
        <v>192</v>
      </c>
      <c r="E1351" s="27" t="s">
        <v>660</v>
      </c>
      <c r="F1351" s="17"/>
      <c r="G1351" s="17"/>
      <c r="H1351" s="17"/>
      <c r="I1351" s="17"/>
      <c r="J1351" s="17"/>
      <c r="K1351" s="17"/>
      <c r="L1351" s="17"/>
      <c r="M1351" s="17"/>
      <c r="N1351" s="17"/>
      <c r="O1351" s="17"/>
      <c r="P1351" s="9"/>
      <c r="Q1351" s="145"/>
      <c r="R1351" s="145"/>
      <c r="S1351" s="145"/>
      <c r="T1351" s="145"/>
    </row>
    <row r="1352" spans="1:20" s="220" customFormat="1" ht="25.5" customHeight="1" x14ac:dyDescent="0.25">
      <c r="A1352" s="145"/>
      <c r="B1352" s="8"/>
      <c r="C1352" s="8"/>
      <c r="D1352" s="17"/>
      <c r="E1352" s="1223" t="s">
        <v>661</v>
      </c>
      <c r="F1352" s="1176"/>
      <c r="G1352" s="1176"/>
      <c r="H1352" s="1176"/>
      <c r="I1352" s="1176"/>
      <c r="J1352" s="1176"/>
      <c r="K1352" s="1176"/>
      <c r="L1352" s="1176"/>
      <c r="M1352" s="1176"/>
      <c r="N1352" s="1176"/>
      <c r="O1352" s="17"/>
      <c r="P1352" s="9"/>
      <c r="Q1352" s="145"/>
      <c r="R1352" s="145"/>
      <c r="S1352" s="145"/>
      <c r="T1352" s="145"/>
    </row>
    <row r="1353" spans="1:20" s="220" customFormat="1" ht="25.5" customHeight="1" x14ac:dyDescent="0.25">
      <c r="A1353" s="145"/>
      <c r="B1353" s="8"/>
      <c r="C1353" s="8"/>
      <c r="D1353" s="17"/>
      <c r="E1353" s="1378" t="s">
        <v>662</v>
      </c>
      <c r="F1353" s="1168"/>
      <c r="G1353" s="1168"/>
      <c r="H1353" s="1168"/>
      <c r="I1353" s="1168"/>
      <c r="J1353" s="1168"/>
      <c r="K1353" s="1168"/>
      <c r="L1353" s="1168"/>
      <c r="M1353" s="1168"/>
      <c r="N1353" s="1168"/>
      <c r="O1353" s="17"/>
      <c r="P1353" s="9"/>
      <c r="Q1353" s="145"/>
      <c r="R1353" s="145"/>
      <c r="S1353" s="145"/>
      <c r="T1353" s="145"/>
    </row>
    <row r="1354" spans="1:20" s="220" customFormat="1" ht="12.75" customHeight="1" x14ac:dyDescent="0.25">
      <c r="A1354" s="145"/>
      <c r="B1354" s="17"/>
      <c r="C1354" s="17"/>
      <c r="D1354" s="17"/>
      <c r="E1354" s="78"/>
      <c r="F1354" s="78"/>
      <c r="G1354" s="78"/>
      <c r="H1354" s="259"/>
      <c r="I1354" s="149">
        <f>I$1397+7</f>
        <v>2026</v>
      </c>
      <c r="J1354" s="149">
        <f>J$1397+7</f>
        <v>2027</v>
      </c>
      <c r="K1354" s="149">
        <f>K$1397+7</f>
        <v>2028</v>
      </c>
      <c r="L1354" s="149">
        <f>L$1397+7</f>
        <v>2029</v>
      </c>
      <c r="M1354" s="149">
        <f>M$1397+7</f>
        <v>2030</v>
      </c>
      <c r="N1354" s="17"/>
      <c r="O1354" s="17"/>
      <c r="P1354" s="145"/>
      <c r="Q1354" s="145"/>
      <c r="R1354" s="145"/>
      <c r="S1354" s="145"/>
      <c r="T1354" s="145"/>
    </row>
    <row r="1355" spans="1:20" s="220" customFormat="1" x14ac:dyDescent="0.25">
      <c r="A1355" s="145"/>
      <c r="B1355" s="17"/>
      <c r="C1355" s="17"/>
      <c r="D1355" s="17"/>
      <c r="E1355" s="1757" t="str">
        <f>Translations!$B$1279</f>
        <v>CSCF</v>
      </c>
      <c r="F1355" s="1757"/>
      <c r="G1355" s="1757"/>
      <c r="H1355" s="1757"/>
      <c r="I1355" s="1073"/>
      <c r="J1355" s="1073"/>
      <c r="K1355" s="1073"/>
      <c r="L1355" s="1073"/>
      <c r="M1355" s="1073"/>
      <c r="N1355" s="17"/>
      <c r="O1355" s="17"/>
      <c r="P1355" s="145"/>
      <c r="Q1355" s="145"/>
      <c r="R1355" s="145"/>
      <c r="S1355" s="145"/>
      <c r="T1355" s="145"/>
    </row>
    <row r="1356" spans="1:20" s="220" customFormat="1" x14ac:dyDescent="0.25">
      <c r="A1356" s="145"/>
      <c r="B1356" s="17"/>
      <c r="C1356" s="17"/>
      <c r="D1356" s="17"/>
      <c r="E1356" s="1757" t="str">
        <f>Translations!$B$1280</f>
        <v>Value used for calculation</v>
      </c>
      <c r="F1356" s="1757"/>
      <c r="G1356" s="1757"/>
      <c r="H1356" s="1757"/>
      <c r="I1356" s="422">
        <f>IF(ISNUMBER(I1355),IF(AND(I1355&gt;=0,I1355&lt;=1),I1355,1),1)</f>
        <v>1</v>
      </c>
      <c r="J1356" s="422">
        <f>IF(ISNUMBER(J1355),IF(AND(J1355&gt;=0,J1355&lt;=1),J1355,1),1)</f>
        <v>1</v>
      </c>
      <c r="K1356" s="422">
        <f>IF(ISNUMBER(K1355),IF(AND(K1355&gt;=0,K1355&lt;=1),K1355,1),1)</f>
        <v>1</v>
      </c>
      <c r="L1356" s="422">
        <f>IF(ISNUMBER(L1355),IF(AND(L1355&gt;=0,L1355&lt;=1),L1355,1),1)</f>
        <v>1</v>
      </c>
      <c r="M1356" s="422">
        <f>IF(ISNUMBER(M1355),IF(AND(M1355&gt;=0,M1355&lt;=1),M1355,1),1)</f>
        <v>1</v>
      </c>
      <c r="N1356" s="17"/>
      <c r="O1356" s="17"/>
      <c r="P1356" s="145"/>
      <c r="Q1356" s="145"/>
      <c r="R1356" s="145"/>
      <c r="S1356" s="145"/>
      <c r="T1356" s="145"/>
    </row>
    <row r="1357" spans="1:20" s="220" customFormat="1" ht="5.0999999999999996" customHeight="1" x14ac:dyDescent="0.25">
      <c r="A1357" s="145"/>
      <c r="B1357" s="17"/>
      <c r="C1357" s="17"/>
      <c r="D1357" s="17"/>
      <c r="E1357" s="17"/>
      <c r="F1357" s="17"/>
      <c r="G1357" s="17"/>
      <c r="H1357" s="17"/>
      <c r="I1357" s="17"/>
      <c r="J1357" s="17"/>
      <c r="K1357" s="17"/>
      <c r="L1357" s="17"/>
      <c r="M1357" s="17"/>
      <c r="N1357" s="17"/>
      <c r="O1357" s="17"/>
      <c r="P1357" s="145"/>
      <c r="Q1357" s="145"/>
      <c r="R1357" s="145"/>
      <c r="S1357" s="145"/>
      <c r="T1357" s="145"/>
    </row>
    <row r="1358" spans="1:20" s="220" customFormat="1" x14ac:dyDescent="0.25">
      <c r="A1358" s="145"/>
      <c r="B1358" s="17"/>
      <c r="C1358" s="17"/>
      <c r="D1358" s="15" t="s">
        <v>195</v>
      </c>
      <c r="E1358" s="27" t="str">
        <f>Translations!$B$1281</f>
        <v>Factor to be used for calculation:</v>
      </c>
      <c r="F1358" s="17"/>
      <c r="G1358" s="17"/>
      <c r="H1358" s="17"/>
      <c r="I1358" s="17"/>
      <c r="J1358" s="17"/>
      <c r="K1358" s="17"/>
      <c r="L1358" s="17"/>
      <c r="M1358" s="17"/>
      <c r="N1358" s="17"/>
      <c r="O1358" s="17"/>
      <c r="P1358" s="145"/>
      <c r="Q1358" s="145"/>
      <c r="R1358" s="145"/>
      <c r="S1358" s="145"/>
      <c r="T1358" s="145"/>
    </row>
    <row r="1359" spans="1:20" s="220" customFormat="1" ht="25.5" customHeight="1" x14ac:dyDescent="0.25">
      <c r="A1359" s="145"/>
      <c r="B1359" s="17"/>
      <c r="C1359" s="17"/>
      <c r="D1359" s="17"/>
      <c r="E1359" s="1223" t="s">
        <v>663</v>
      </c>
      <c r="F1359" s="1176"/>
      <c r="G1359" s="1176"/>
      <c r="H1359" s="1176"/>
      <c r="I1359" s="1176"/>
      <c r="J1359" s="1176"/>
      <c r="K1359" s="1176"/>
      <c r="L1359" s="1176"/>
      <c r="M1359" s="1176"/>
      <c r="N1359" s="1176"/>
      <c r="O1359" s="17"/>
      <c r="P1359" s="145"/>
      <c r="Q1359" s="145"/>
      <c r="R1359" s="145"/>
      <c r="S1359" s="145"/>
      <c r="T1359" s="145"/>
    </row>
    <row r="1360" spans="1:20" s="220" customFormat="1" x14ac:dyDescent="0.25">
      <c r="A1360" s="145"/>
      <c r="B1360" s="17"/>
      <c r="C1360" s="17"/>
      <c r="D1360" s="17"/>
      <c r="E1360" s="1223" t="s">
        <v>664</v>
      </c>
      <c r="F1360" s="1176"/>
      <c r="G1360" s="1176"/>
      <c r="H1360" s="1176"/>
      <c r="I1360" s="1176"/>
      <c r="J1360" s="1176"/>
      <c r="K1360" s="1176"/>
      <c r="L1360" s="1176"/>
      <c r="M1360" s="1176"/>
      <c r="N1360" s="1176"/>
      <c r="O1360" s="17"/>
      <c r="P1360" s="145"/>
      <c r="Q1360" s="145"/>
      <c r="R1360" s="145"/>
      <c r="S1360" s="145"/>
      <c r="T1360" s="145"/>
    </row>
    <row r="1361" spans="1:20" s="220" customFormat="1" ht="12.75" customHeight="1" x14ac:dyDescent="0.25">
      <c r="A1361" s="145"/>
      <c r="B1361" s="17"/>
      <c r="C1361" s="17"/>
      <c r="D1361" s="17"/>
      <c r="E1361" s="78"/>
      <c r="F1361" s="78"/>
      <c r="G1361" s="78"/>
      <c r="H1361" s="259"/>
      <c r="I1361" s="149">
        <f>I$1397+7</f>
        <v>2026</v>
      </c>
      <c r="J1361" s="149">
        <f>J$1397+7</f>
        <v>2027</v>
      </c>
      <c r="K1361" s="149">
        <f>K$1397+7</f>
        <v>2028</v>
      </c>
      <c r="L1361" s="149">
        <f>L$1397+7</f>
        <v>2029</v>
      </c>
      <c r="M1361" s="149">
        <f>M$1397+7</f>
        <v>2030</v>
      </c>
      <c r="N1361" s="17"/>
      <c r="O1361" s="17"/>
      <c r="P1361" s="145"/>
      <c r="Q1361" s="145"/>
      <c r="R1361" s="145"/>
      <c r="S1361" s="145"/>
      <c r="T1361" s="145"/>
    </row>
    <row r="1362" spans="1:20" s="220" customFormat="1" x14ac:dyDescent="0.25">
      <c r="A1362" s="145"/>
      <c r="B1362" s="17"/>
      <c r="C1362" s="17"/>
      <c r="D1362" s="17"/>
      <c r="E1362" s="1757" t="str">
        <f>Translations!$B$1280</f>
        <v>Value used for calculation</v>
      </c>
      <c r="F1362" s="1757"/>
      <c r="G1362" s="1757"/>
      <c r="H1362" s="1757"/>
      <c r="I1362" s="422" t="str">
        <f>IF(CNTR_HasEntries_A_I,IF(AND(CNTR_ApplyLinF,I1356=1),I1349,I1356),"")</f>
        <v/>
      </c>
      <c r="J1362" s="422" t="str">
        <f>IF(CNTR_HasEntries_A_I,IF(AND(CNTR_ApplyLinF,J1356=1),J1349,J1356),"")</f>
        <v/>
      </c>
      <c r="K1362" s="422" t="str">
        <f>IF(CNTR_HasEntries_A_I,IF(AND(CNTR_ApplyLinF,K1356=1),K1349,K1356),"")</f>
        <v/>
      </c>
      <c r="L1362" s="422" t="str">
        <f>IF(CNTR_HasEntries_A_I,IF(AND(CNTR_ApplyLinF,L1356=1),L1349,L1356),"")</f>
        <v/>
      </c>
      <c r="M1362" s="422" t="str">
        <f>IF(CNTR_HasEntries_A_I,IF(AND(CNTR_ApplyLinF,M1356=1),M1349,M1356),"")</f>
        <v/>
      </c>
      <c r="N1362" s="17"/>
      <c r="O1362" s="17"/>
      <c r="P1362" s="145"/>
      <c r="Q1362" s="145"/>
      <c r="R1362" s="145"/>
      <c r="S1362" s="145"/>
      <c r="T1362" s="145"/>
    </row>
    <row r="1363" spans="1:20" s="220" customFormat="1" ht="5.0999999999999996" customHeight="1" x14ac:dyDescent="0.25">
      <c r="A1363" s="145"/>
      <c r="B1363" s="17"/>
      <c r="C1363" s="17"/>
      <c r="D1363" s="17"/>
      <c r="E1363" s="17"/>
      <c r="F1363" s="17"/>
      <c r="G1363" s="17"/>
      <c r="H1363" s="17"/>
      <c r="I1363" s="17"/>
      <c r="J1363" s="17"/>
      <c r="K1363" s="17"/>
      <c r="L1363" s="17"/>
      <c r="M1363" s="17"/>
      <c r="N1363" s="17"/>
      <c r="O1363" s="17"/>
      <c r="P1363" s="145"/>
      <c r="Q1363" s="145"/>
      <c r="R1363" s="145"/>
      <c r="S1363" s="145"/>
      <c r="T1363" s="145"/>
    </row>
    <row r="1364" spans="1:20" s="220" customFormat="1" x14ac:dyDescent="0.25">
      <c r="A1364" s="145"/>
      <c r="B1364" s="8"/>
      <c r="D1364" s="15" t="s">
        <v>197</v>
      </c>
      <c r="E1364" s="27" t="s">
        <v>665</v>
      </c>
      <c r="F1364" s="27"/>
      <c r="G1364" s="27"/>
      <c r="H1364" s="17"/>
      <c r="I1364" s="16"/>
      <c r="J1364" s="16"/>
      <c r="K1364" s="77"/>
      <c r="L1364" s="17"/>
      <c r="M1364" s="17"/>
      <c r="N1364" s="17"/>
      <c r="O1364" s="17"/>
      <c r="P1364" s="145"/>
      <c r="Q1364" s="145"/>
      <c r="R1364" s="145"/>
      <c r="S1364" s="145"/>
      <c r="T1364" s="145"/>
    </row>
    <row r="1365" spans="1:20" s="220" customFormat="1" ht="39.9" customHeight="1" x14ac:dyDescent="0.25">
      <c r="A1365" s="145"/>
      <c r="B1365" s="8"/>
      <c r="C1365" s="8"/>
      <c r="D1365" s="17"/>
      <c r="E1365" s="1223" t="s">
        <v>666</v>
      </c>
      <c r="F1365" s="1176"/>
      <c r="G1365" s="1176"/>
      <c r="H1365" s="1176"/>
      <c r="I1365" s="1176"/>
      <c r="J1365" s="1176"/>
      <c r="K1365" s="1176"/>
      <c r="L1365" s="1176"/>
      <c r="M1365" s="1176"/>
      <c r="N1365" s="1176"/>
      <c r="O1365" s="17"/>
      <c r="P1365" s="9"/>
      <c r="Q1365" s="145"/>
      <c r="R1365" s="145"/>
      <c r="S1365" s="145"/>
      <c r="T1365" s="145"/>
    </row>
    <row r="1366" spans="1:20" s="220" customFormat="1" ht="5.0999999999999996" customHeight="1" x14ac:dyDescent="0.25">
      <c r="A1366" s="145"/>
      <c r="B1366" s="17"/>
      <c r="C1366" s="17"/>
      <c r="D1366" s="17"/>
      <c r="E1366" s="17"/>
      <c r="F1366" s="17"/>
      <c r="G1366" s="17"/>
      <c r="H1366" s="17"/>
      <c r="I1366" s="17"/>
      <c r="J1366" s="17"/>
      <c r="K1366" s="17"/>
      <c r="L1366" s="17"/>
      <c r="M1366" s="17"/>
      <c r="N1366" s="17"/>
      <c r="O1366" s="17"/>
      <c r="P1366" s="145"/>
      <c r="Q1366" s="145"/>
      <c r="R1366" s="145"/>
      <c r="S1366" s="145"/>
      <c r="T1366" s="145"/>
    </row>
    <row r="1367" spans="1:20" s="220" customFormat="1" ht="12.75" customHeight="1" x14ac:dyDescent="0.25">
      <c r="A1367" s="145"/>
      <c r="B1367" s="17"/>
      <c r="C1367" s="17"/>
      <c r="D1367" s="1630" t="str">
        <f>Translations!$B$614</f>
        <v>Sub-installation</v>
      </c>
      <c r="E1367" s="1630"/>
      <c r="F1367" s="1630"/>
      <c r="G1367" s="1630"/>
      <c r="H1367" s="1630"/>
      <c r="I1367" s="1103">
        <f>I$1397+7</f>
        <v>2026</v>
      </c>
      <c r="J1367" s="149">
        <f>J$1397+7</f>
        <v>2027</v>
      </c>
      <c r="K1367" s="149">
        <f>K$1397+7</f>
        <v>2028</v>
      </c>
      <c r="L1367" s="149">
        <f>L$1397+7</f>
        <v>2029</v>
      </c>
      <c r="M1367" s="149">
        <f>M$1397+7</f>
        <v>2030</v>
      </c>
      <c r="N1367" s="17"/>
      <c r="O1367" s="17"/>
      <c r="P1367" s="145"/>
      <c r="Q1367" s="145"/>
      <c r="R1367" s="145"/>
      <c r="S1367" s="145"/>
      <c r="T1367" s="145"/>
    </row>
    <row r="1368" spans="1:20" s="220" customFormat="1" x14ac:dyDescent="0.25">
      <c r="A1368" s="145"/>
      <c r="B1368" s="17"/>
      <c r="C1368" s="80">
        <v>1</v>
      </c>
      <c r="D1368" s="1757" t="str">
        <f t="shared" ref="D1368:D1384" si="19">D1325</f>
        <v/>
      </c>
      <c r="E1368" s="1757"/>
      <c r="F1368" s="1757"/>
      <c r="G1368" s="1757"/>
      <c r="H1368" s="1758"/>
      <c r="I1368" s="1104" t="str">
        <f t="shared" ref="I1368:M1377" si="20">IF(ISNUMBER(I1325),ROUND(I1325*I$1362,0),"")</f>
        <v/>
      </c>
      <c r="J1368" s="148" t="str">
        <f t="shared" si="20"/>
        <v/>
      </c>
      <c r="K1368" s="148" t="str">
        <f t="shared" si="20"/>
        <v/>
      </c>
      <c r="L1368" s="148" t="str">
        <f t="shared" si="20"/>
        <v/>
      </c>
      <c r="M1368" s="148" t="str">
        <f t="shared" si="20"/>
        <v/>
      </c>
      <c r="N1368" s="17"/>
      <c r="O1368" s="17"/>
      <c r="P1368" s="145"/>
      <c r="Q1368" s="145"/>
      <c r="R1368" s="145"/>
      <c r="S1368" s="145"/>
      <c r="T1368" s="145"/>
    </row>
    <row r="1369" spans="1:20" s="220" customFormat="1" x14ac:dyDescent="0.25">
      <c r="A1369" s="145"/>
      <c r="B1369" s="17"/>
      <c r="C1369" s="80">
        <f>C1368+1</f>
        <v>2</v>
      </c>
      <c r="D1369" s="1757" t="str">
        <f t="shared" si="19"/>
        <v/>
      </c>
      <c r="E1369" s="1757"/>
      <c r="F1369" s="1757"/>
      <c r="G1369" s="1757"/>
      <c r="H1369" s="1758"/>
      <c r="I1369" s="1104" t="str">
        <f t="shared" si="20"/>
        <v/>
      </c>
      <c r="J1369" s="148" t="str">
        <f t="shared" si="20"/>
        <v/>
      </c>
      <c r="K1369" s="148" t="str">
        <f t="shared" si="20"/>
        <v/>
      </c>
      <c r="L1369" s="148" t="str">
        <f t="shared" si="20"/>
        <v/>
      </c>
      <c r="M1369" s="148" t="str">
        <f t="shared" si="20"/>
        <v/>
      </c>
      <c r="N1369" s="17"/>
      <c r="O1369" s="17"/>
      <c r="P1369" s="145"/>
      <c r="Q1369" s="145"/>
      <c r="R1369" s="145"/>
      <c r="S1369" s="145"/>
      <c r="T1369" s="145"/>
    </row>
    <row r="1370" spans="1:20" s="220" customFormat="1" x14ac:dyDescent="0.25">
      <c r="A1370" s="145"/>
      <c r="B1370" s="17"/>
      <c r="C1370" s="80">
        <f t="shared" ref="C1370:C1383" si="21">C1369+1</f>
        <v>3</v>
      </c>
      <c r="D1370" s="1757" t="str">
        <f t="shared" si="19"/>
        <v/>
      </c>
      <c r="E1370" s="1757"/>
      <c r="F1370" s="1757"/>
      <c r="G1370" s="1757"/>
      <c r="H1370" s="1758"/>
      <c r="I1370" s="1104" t="str">
        <f t="shared" si="20"/>
        <v/>
      </c>
      <c r="J1370" s="148" t="str">
        <f t="shared" si="20"/>
        <v/>
      </c>
      <c r="K1370" s="148" t="str">
        <f t="shared" si="20"/>
        <v/>
      </c>
      <c r="L1370" s="148" t="str">
        <f t="shared" si="20"/>
        <v/>
      </c>
      <c r="M1370" s="148" t="str">
        <f t="shared" si="20"/>
        <v/>
      </c>
      <c r="N1370" s="17"/>
      <c r="O1370" s="17"/>
      <c r="P1370" s="145"/>
      <c r="Q1370" s="145"/>
      <c r="R1370" s="145"/>
      <c r="S1370" s="145"/>
      <c r="T1370" s="145"/>
    </row>
    <row r="1371" spans="1:20" s="220" customFormat="1" x14ac:dyDescent="0.25">
      <c r="A1371" s="145"/>
      <c r="B1371" s="17"/>
      <c r="C1371" s="80">
        <f t="shared" si="21"/>
        <v>4</v>
      </c>
      <c r="D1371" s="1757" t="str">
        <f t="shared" si="19"/>
        <v/>
      </c>
      <c r="E1371" s="1757"/>
      <c r="F1371" s="1757"/>
      <c r="G1371" s="1757"/>
      <c r="H1371" s="1758"/>
      <c r="I1371" s="1104" t="str">
        <f t="shared" si="20"/>
        <v/>
      </c>
      <c r="J1371" s="148" t="str">
        <f t="shared" si="20"/>
        <v/>
      </c>
      <c r="K1371" s="148" t="str">
        <f t="shared" si="20"/>
        <v/>
      </c>
      <c r="L1371" s="148" t="str">
        <f t="shared" si="20"/>
        <v/>
      </c>
      <c r="M1371" s="148" t="str">
        <f t="shared" si="20"/>
        <v/>
      </c>
      <c r="N1371" s="17"/>
      <c r="O1371" s="17"/>
      <c r="P1371" s="145"/>
      <c r="Q1371" s="145"/>
      <c r="R1371" s="145"/>
      <c r="S1371" s="145"/>
      <c r="T1371" s="145"/>
    </row>
    <row r="1372" spans="1:20" s="220" customFormat="1" x14ac:dyDescent="0.25">
      <c r="A1372" s="145"/>
      <c r="B1372" s="17"/>
      <c r="C1372" s="80">
        <f t="shared" si="21"/>
        <v>5</v>
      </c>
      <c r="D1372" s="1757" t="str">
        <f t="shared" si="19"/>
        <v/>
      </c>
      <c r="E1372" s="1757"/>
      <c r="F1372" s="1757"/>
      <c r="G1372" s="1757"/>
      <c r="H1372" s="1758"/>
      <c r="I1372" s="1104" t="str">
        <f t="shared" si="20"/>
        <v/>
      </c>
      <c r="J1372" s="148" t="str">
        <f t="shared" si="20"/>
        <v/>
      </c>
      <c r="K1372" s="148" t="str">
        <f t="shared" si="20"/>
        <v/>
      </c>
      <c r="L1372" s="148" t="str">
        <f t="shared" si="20"/>
        <v/>
      </c>
      <c r="M1372" s="148" t="str">
        <f t="shared" si="20"/>
        <v/>
      </c>
      <c r="N1372" s="17"/>
      <c r="O1372" s="17"/>
      <c r="P1372" s="145"/>
      <c r="Q1372" s="145"/>
      <c r="R1372" s="145"/>
      <c r="S1372" s="145"/>
      <c r="T1372" s="145"/>
    </row>
    <row r="1373" spans="1:20" s="220" customFormat="1" x14ac:dyDescent="0.25">
      <c r="A1373" s="145"/>
      <c r="B1373" s="17"/>
      <c r="C1373" s="80">
        <f t="shared" si="21"/>
        <v>6</v>
      </c>
      <c r="D1373" s="1757" t="str">
        <f t="shared" si="19"/>
        <v/>
      </c>
      <c r="E1373" s="1757"/>
      <c r="F1373" s="1757"/>
      <c r="G1373" s="1757"/>
      <c r="H1373" s="1758"/>
      <c r="I1373" s="1104" t="str">
        <f t="shared" si="20"/>
        <v/>
      </c>
      <c r="J1373" s="148" t="str">
        <f t="shared" si="20"/>
        <v/>
      </c>
      <c r="K1373" s="148" t="str">
        <f t="shared" si="20"/>
        <v/>
      </c>
      <c r="L1373" s="148" t="str">
        <f t="shared" si="20"/>
        <v/>
      </c>
      <c r="M1373" s="148" t="str">
        <f t="shared" si="20"/>
        <v/>
      </c>
      <c r="N1373" s="17"/>
      <c r="O1373" s="17"/>
      <c r="P1373" s="145"/>
      <c r="Q1373" s="145"/>
      <c r="R1373" s="145"/>
      <c r="S1373" s="145"/>
      <c r="T1373" s="145"/>
    </row>
    <row r="1374" spans="1:20" s="220" customFormat="1" x14ac:dyDescent="0.25">
      <c r="A1374" s="145"/>
      <c r="B1374" s="17"/>
      <c r="C1374" s="80">
        <f t="shared" si="21"/>
        <v>7</v>
      </c>
      <c r="D1374" s="1757" t="str">
        <f t="shared" si="19"/>
        <v/>
      </c>
      <c r="E1374" s="1757"/>
      <c r="F1374" s="1757"/>
      <c r="G1374" s="1757"/>
      <c r="H1374" s="1758"/>
      <c r="I1374" s="1104" t="str">
        <f t="shared" si="20"/>
        <v/>
      </c>
      <c r="J1374" s="148" t="str">
        <f t="shared" si="20"/>
        <v/>
      </c>
      <c r="K1374" s="148" t="str">
        <f t="shared" si="20"/>
        <v/>
      </c>
      <c r="L1374" s="148" t="str">
        <f t="shared" si="20"/>
        <v/>
      </c>
      <c r="M1374" s="148" t="str">
        <f t="shared" si="20"/>
        <v/>
      </c>
      <c r="N1374" s="17"/>
      <c r="O1374" s="17"/>
      <c r="P1374" s="145"/>
      <c r="Q1374" s="145"/>
      <c r="R1374" s="145"/>
      <c r="S1374" s="145"/>
      <c r="T1374" s="145"/>
    </row>
    <row r="1375" spans="1:20" s="220" customFormat="1" x14ac:dyDescent="0.25">
      <c r="A1375" s="145"/>
      <c r="B1375" s="17"/>
      <c r="C1375" s="80">
        <f t="shared" si="21"/>
        <v>8</v>
      </c>
      <c r="D1375" s="1757" t="str">
        <f t="shared" si="19"/>
        <v/>
      </c>
      <c r="E1375" s="1757"/>
      <c r="F1375" s="1757"/>
      <c r="G1375" s="1757"/>
      <c r="H1375" s="1758"/>
      <c r="I1375" s="1104" t="str">
        <f t="shared" si="20"/>
        <v/>
      </c>
      <c r="J1375" s="148" t="str">
        <f t="shared" si="20"/>
        <v/>
      </c>
      <c r="K1375" s="148" t="str">
        <f t="shared" si="20"/>
        <v/>
      </c>
      <c r="L1375" s="148" t="str">
        <f t="shared" si="20"/>
        <v/>
      </c>
      <c r="M1375" s="148" t="str">
        <f t="shared" si="20"/>
        <v/>
      </c>
      <c r="N1375" s="17"/>
      <c r="O1375" s="17"/>
      <c r="P1375" s="145"/>
      <c r="Q1375" s="145"/>
      <c r="R1375" s="145"/>
      <c r="S1375" s="145"/>
      <c r="T1375" s="145"/>
    </row>
    <row r="1376" spans="1:20" s="220" customFormat="1" x14ac:dyDescent="0.25">
      <c r="A1376" s="145"/>
      <c r="B1376" s="17"/>
      <c r="C1376" s="80">
        <f t="shared" si="21"/>
        <v>9</v>
      </c>
      <c r="D1376" s="1757" t="str">
        <f t="shared" si="19"/>
        <v/>
      </c>
      <c r="E1376" s="1757"/>
      <c r="F1376" s="1757"/>
      <c r="G1376" s="1757"/>
      <c r="H1376" s="1758"/>
      <c r="I1376" s="1104" t="str">
        <f t="shared" si="20"/>
        <v/>
      </c>
      <c r="J1376" s="148" t="str">
        <f t="shared" si="20"/>
        <v/>
      </c>
      <c r="K1376" s="148" t="str">
        <f t="shared" si="20"/>
        <v/>
      </c>
      <c r="L1376" s="148" t="str">
        <f t="shared" si="20"/>
        <v/>
      </c>
      <c r="M1376" s="148" t="str">
        <f t="shared" si="20"/>
        <v/>
      </c>
      <c r="N1376" s="17"/>
      <c r="O1376" s="17"/>
      <c r="P1376" s="145"/>
      <c r="Q1376" s="145"/>
      <c r="R1376" s="145"/>
      <c r="S1376" s="145"/>
      <c r="T1376" s="145"/>
    </row>
    <row r="1377" spans="1:20" s="220" customFormat="1" ht="13.8" thickBot="1" x14ac:dyDescent="0.3">
      <c r="A1377" s="145"/>
      <c r="B1377" s="17"/>
      <c r="C1377" s="418">
        <f t="shared" si="21"/>
        <v>10</v>
      </c>
      <c r="D1377" s="1761" t="str">
        <f t="shared" si="19"/>
        <v/>
      </c>
      <c r="E1377" s="1761"/>
      <c r="F1377" s="1761"/>
      <c r="G1377" s="1761"/>
      <c r="H1377" s="1762"/>
      <c r="I1377" s="1105" t="str">
        <f t="shared" si="20"/>
        <v/>
      </c>
      <c r="J1377" s="419" t="str">
        <f t="shared" si="20"/>
        <v/>
      </c>
      <c r="K1377" s="419" t="str">
        <f t="shared" si="20"/>
        <v/>
      </c>
      <c r="L1377" s="419" t="str">
        <f t="shared" si="20"/>
        <v/>
      </c>
      <c r="M1377" s="419" t="str">
        <f t="shared" si="20"/>
        <v/>
      </c>
      <c r="N1377" s="17"/>
      <c r="O1377" s="17"/>
      <c r="P1377" s="145"/>
      <c r="Q1377" s="145"/>
      <c r="R1377" s="145"/>
      <c r="S1377" s="145"/>
      <c r="T1377" s="145"/>
    </row>
    <row r="1378" spans="1:20" s="220" customFormat="1" x14ac:dyDescent="0.25">
      <c r="A1378" s="145"/>
      <c r="B1378" s="17"/>
      <c r="C1378" s="80">
        <f t="shared" si="21"/>
        <v>11</v>
      </c>
      <c r="D1378" s="1763" t="str">
        <f t="shared" si="19"/>
        <v>Heat benchmark sub-installation, CL</v>
      </c>
      <c r="E1378" s="1763"/>
      <c r="F1378" s="1763"/>
      <c r="G1378" s="1763"/>
      <c r="H1378" s="1764"/>
      <c r="I1378" s="1109" t="str">
        <f t="shared" ref="I1378:M1384" si="22">IF(ISNUMBER(I1335),ROUND(I1335*I$1362,0),"")</f>
        <v/>
      </c>
      <c r="J1378" s="420" t="str">
        <f t="shared" si="22"/>
        <v/>
      </c>
      <c r="K1378" s="420" t="str">
        <f t="shared" si="22"/>
        <v/>
      </c>
      <c r="L1378" s="420" t="str">
        <f t="shared" si="22"/>
        <v/>
      </c>
      <c r="M1378" s="420" t="str">
        <f t="shared" si="22"/>
        <v/>
      </c>
      <c r="N1378" s="17"/>
      <c r="O1378" s="17"/>
      <c r="P1378" s="145"/>
      <c r="Q1378" s="145"/>
      <c r="R1378" s="145"/>
      <c r="S1378" s="145"/>
      <c r="T1378" s="145"/>
    </row>
    <row r="1379" spans="1:20" s="220" customFormat="1" x14ac:dyDescent="0.25">
      <c r="A1379" s="145"/>
      <c r="B1379" s="17"/>
      <c r="C1379" s="80">
        <f t="shared" si="21"/>
        <v>12</v>
      </c>
      <c r="D1379" s="1757" t="str">
        <f t="shared" si="19"/>
        <v>Heat benchmark sub-installation, non-CL</v>
      </c>
      <c r="E1379" s="1757"/>
      <c r="F1379" s="1757"/>
      <c r="G1379" s="1757"/>
      <c r="H1379" s="1758"/>
      <c r="I1379" s="1104" t="str">
        <f t="shared" si="22"/>
        <v/>
      </c>
      <c r="J1379" s="148" t="str">
        <f t="shared" si="22"/>
        <v/>
      </c>
      <c r="K1379" s="148" t="str">
        <f t="shared" si="22"/>
        <v/>
      </c>
      <c r="L1379" s="148" t="str">
        <f t="shared" si="22"/>
        <v/>
      </c>
      <c r="M1379" s="148" t="str">
        <f t="shared" si="22"/>
        <v/>
      </c>
      <c r="N1379" s="17"/>
      <c r="O1379" s="17"/>
      <c r="P1379" s="145"/>
      <c r="Q1379" s="145"/>
      <c r="R1379" s="145"/>
      <c r="S1379" s="145"/>
      <c r="T1379" s="145"/>
    </row>
    <row r="1380" spans="1:20" s="220" customFormat="1" x14ac:dyDescent="0.25">
      <c r="A1380" s="145"/>
      <c r="B1380" s="17"/>
      <c r="C1380" s="80">
        <f t="shared" si="21"/>
        <v>13</v>
      </c>
      <c r="D1380" s="1757" t="str">
        <f t="shared" si="19"/>
        <v>District heating sub-installation</v>
      </c>
      <c r="E1380" s="1757"/>
      <c r="F1380" s="1757"/>
      <c r="G1380" s="1757"/>
      <c r="H1380" s="1758"/>
      <c r="I1380" s="1104" t="str">
        <f t="shared" si="22"/>
        <v/>
      </c>
      <c r="J1380" s="148" t="str">
        <f t="shared" si="22"/>
        <v/>
      </c>
      <c r="K1380" s="148" t="str">
        <f t="shared" si="22"/>
        <v/>
      </c>
      <c r="L1380" s="148" t="str">
        <f t="shared" si="22"/>
        <v/>
      </c>
      <c r="M1380" s="148" t="str">
        <f t="shared" si="22"/>
        <v/>
      </c>
      <c r="N1380" s="17"/>
      <c r="O1380" s="17"/>
      <c r="P1380" s="145"/>
      <c r="Q1380" s="145"/>
      <c r="R1380" s="145"/>
      <c r="S1380" s="145"/>
      <c r="T1380" s="145"/>
    </row>
    <row r="1381" spans="1:20" s="220" customFormat="1" x14ac:dyDescent="0.25">
      <c r="A1381" s="145"/>
      <c r="B1381" s="17"/>
      <c r="C1381" s="80">
        <f t="shared" si="21"/>
        <v>14</v>
      </c>
      <c r="D1381" s="1757" t="str">
        <f t="shared" si="19"/>
        <v>Fuel benchmark sub-installation, CL</v>
      </c>
      <c r="E1381" s="1757"/>
      <c r="F1381" s="1757"/>
      <c r="G1381" s="1757"/>
      <c r="H1381" s="1758"/>
      <c r="I1381" s="1104" t="str">
        <f t="shared" si="22"/>
        <v/>
      </c>
      <c r="J1381" s="148" t="str">
        <f t="shared" si="22"/>
        <v/>
      </c>
      <c r="K1381" s="148" t="str">
        <f t="shared" si="22"/>
        <v/>
      </c>
      <c r="L1381" s="148" t="str">
        <f t="shared" si="22"/>
        <v/>
      </c>
      <c r="M1381" s="148" t="str">
        <f t="shared" si="22"/>
        <v/>
      </c>
      <c r="N1381" s="17"/>
      <c r="O1381" s="17"/>
      <c r="P1381" s="145"/>
      <c r="Q1381" s="145"/>
      <c r="R1381" s="145"/>
      <c r="S1381" s="145"/>
      <c r="T1381" s="145"/>
    </row>
    <row r="1382" spans="1:20" s="220" customFormat="1" x14ac:dyDescent="0.25">
      <c r="A1382" s="145"/>
      <c r="B1382" s="17"/>
      <c r="C1382" s="80">
        <f t="shared" si="21"/>
        <v>15</v>
      </c>
      <c r="D1382" s="1757" t="str">
        <f t="shared" si="19"/>
        <v>Fuel benchmark sub-installation, non-CL</v>
      </c>
      <c r="E1382" s="1757"/>
      <c r="F1382" s="1757"/>
      <c r="G1382" s="1757"/>
      <c r="H1382" s="1758"/>
      <c r="I1382" s="1104" t="str">
        <f t="shared" si="22"/>
        <v/>
      </c>
      <c r="J1382" s="148" t="str">
        <f t="shared" si="22"/>
        <v/>
      </c>
      <c r="K1382" s="148" t="str">
        <f t="shared" si="22"/>
        <v/>
      </c>
      <c r="L1382" s="148" t="str">
        <f t="shared" si="22"/>
        <v/>
      </c>
      <c r="M1382" s="148" t="str">
        <f t="shared" si="22"/>
        <v/>
      </c>
      <c r="N1382" s="17"/>
      <c r="O1382" s="17"/>
      <c r="P1382" s="145"/>
      <c r="Q1382" s="145"/>
      <c r="R1382" s="145"/>
      <c r="S1382" s="145"/>
      <c r="T1382" s="145"/>
    </row>
    <row r="1383" spans="1:20" s="220" customFormat="1" x14ac:dyDescent="0.25">
      <c r="A1383" s="145"/>
      <c r="B1383" s="17"/>
      <c r="C1383" s="80">
        <f t="shared" si="21"/>
        <v>16</v>
      </c>
      <c r="D1383" s="1757" t="str">
        <f t="shared" si="19"/>
        <v>Process emissions sub-installation, CL</v>
      </c>
      <c r="E1383" s="1757"/>
      <c r="F1383" s="1757"/>
      <c r="G1383" s="1757"/>
      <c r="H1383" s="1758"/>
      <c r="I1383" s="1107" t="str">
        <f t="shared" si="22"/>
        <v/>
      </c>
      <c r="J1383" s="429" t="str">
        <f t="shared" si="22"/>
        <v/>
      </c>
      <c r="K1383" s="429" t="str">
        <f t="shared" si="22"/>
        <v/>
      </c>
      <c r="L1383" s="429" t="str">
        <f t="shared" si="22"/>
        <v/>
      </c>
      <c r="M1383" s="429" t="str">
        <f t="shared" si="22"/>
        <v/>
      </c>
      <c r="N1383" s="17"/>
      <c r="O1383" s="17"/>
      <c r="P1383" s="145"/>
      <c r="Q1383" s="145"/>
      <c r="R1383" s="145"/>
      <c r="S1383" s="145"/>
      <c r="T1383" s="145"/>
    </row>
    <row r="1384" spans="1:20" s="220" customFormat="1" ht="13.8" thickBot="1" x14ac:dyDescent="0.3">
      <c r="A1384" s="145"/>
      <c r="B1384" s="17"/>
      <c r="C1384" s="428">
        <v>17</v>
      </c>
      <c r="D1384" s="1759" t="str">
        <f t="shared" si="19"/>
        <v>Process emissions sub-installation, non-CL</v>
      </c>
      <c r="E1384" s="1759"/>
      <c r="F1384" s="1759"/>
      <c r="G1384" s="1759"/>
      <c r="H1384" s="1760"/>
      <c r="I1384" s="1105" t="str">
        <f t="shared" si="22"/>
        <v/>
      </c>
      <c r="J1384" s="419" t="str">
        <f t="shared" si="22"/>
        <v/>
      </c>
      <c r="K1384" s="419" t="str">
        <f t="shared" si="22"/>
        <v/>
      </c>
      <c r="L1384" s="419" t="str">
        <f t="shared" si="22"/>
        <v/>
      </c>
      <c r="M1384" s="419" t="str">
        <f t="shared" si="22"/>
        <v/>
      </c>
      <c r="N1384" s="17"/>
      <c r="O1384" s="17"/>
      <c r="P1384" s="145"/>
      <c r="Q1384" s="145"/>
      <c r="R1384" s="145"/>
      <c r="S1384" s="145"/>
      <c r="T1384" s="145"/>
    </row>
    <row r="1385" spans="1:20" s="220" customFormat="1" x14ac:dyDescent="0.25">
      <c r="A1385" s="145"/>
      <c r="B1385" s="17"/>
      <c r="C1385" s="17"/>
      <c r="D1385" s="1755" t="str">
        <f>Translations!$B$1272</f>
        <v>Total preliminary free allocation</v>
      </c>
      <c r="E1385" s="1755"/>
      <c r="F1385" s="1755"/>
      <c r="G1385" s="1755"/>
      <c r="H1385" s="1756"/>
      <c r="I1385" s="1110" t="str">
        <f>IF(COUNT(I1368:I1384)&gt;0,IF(SUM(I1368:I1384)&gt;0,SUM(I1368:I1384),0),"")</f>
        <v/>
      </c>
      <c r="J1385" s="421" t="str">
        <f>IF(COUNT(J1368:J1384)&gt;0,IF(SUM(J1368:J1384)&gt;0,SUM(J1368:J1384),0),"")</f>
        <v/>
      </c>
      <c r="K1385" s="421" t="str">
        <f>IF(COUNT(K1368:K1384)&gt;0,IF(SUM(K1368:K1384)&gt;0,SUM(K1368:K1384),0),"")</f>
        <v/>
      </c>
      <c r="L1385" s="421" t="str">
        <f>IF(COUNT(L1368:L1384)&gt;0,IF(SUM(L1368:L1384)&gt;0,SUM(L1368:L1384),0),"")</f>
        <v/>
      </c>
      <c r="M1385" s="421" t="str">
        <f>IF(COUNT(M1368:M1384)&gt;0,IF(SUM(M1368:M1384)&gt;0,SUM(M1368:M1384),0),"")</f>
        <v/>
      </c>
      <c r="N1385" s="17"/>
      <c r="O1385" s="17"/>
      <c r="P1385" s="145"/>
      <c r="Q1385" s="145"/>
      <c r="R1385" s="145"/>
      <c r="S1385" s="145"/>
      <c r="T1385" s="145"/>
    </row>
    <row r="1386" spans="1:20" ht="13.8" thickBot="1" x14ac:dyDescent="0.3">
      <c r="B1386" s="17"/>
      <c r="C1386" s="17"/>
      <c r="D1386" s="17"/>
      <c r="E1386" s="17"/>
      <c r="F1386" s="17"/>
      <c r="G1386" s="17"/>
      <c r="H1386" s="17"/>
      <c r="I1386" s="17"/>
      <c r="J1386" s="17"/>
      <c r="K1386" s="17"/>
      <c r="L1386" s="17"/>
      <c r="M1386" s="17"/>
      <c r="N1386" s="17"/>
      <c r="O1386" s="17"/>
    </row>
    <row r="1387" spans="1:20" s="1061" customFormat="1" ht="25.5" customHeight="1" thickBot="1" x14ac:dyDescent="0.3">
      <c r="A1387" s="131"/>
      <c r="B1387" s="130"/>
      <c r="C1387" s="130"/>
      <c r="D1387" s="130"/>
      <c r="E1387" s="1734" t="str">
        <f>Translations!$B$1286</f>
        <v>The results displayed here are by no means legally binding. Please see disclaimer in the introduction of this section.</v>
      </c>
      <c r="F1387" s="1735"/>
      <c r="G1387" s="1735"/>
      <c r="H1387" s="1735"/>
      <c r="I1387" s="1735"/>
      <c r="J1387" s="1735"/>
      <c r="K1387" s="1735"/>
      <c r="L1387" s="1735"/>
      <c r="M1387" s="1735"/>
      <c r="N1387" s="1736"/>
      <c r="O1387" s="17"/>
      <c r="P1387" s="131"/>
      <c r="Q1387" s="131"/>
      <c r="R1387" s="131"/>
      <c r="S1387" s="131"/>
      <c r="T1387" s="131"/>
    </row>
    <row r="1388" spans="1:20" x14ac:dyDescent="0.25">
      <c r="B1388" s="17"/>
      <c r="C1388" s="17"/>
      <c r="D1388" s="17"/>
      <c r="E1388" s="17"/>
      <c r="F1388" s="17"/>
      <c r="G1388" s="17"/>
      <c r="H1388" s="17"/>
      <c r="I1388" s="17"/>
      <c r="J1388" s="17"/>
      <c r="K1388" s="17"/>
      <c r="L1388" s="17"/>
      <c r="M1388" s="17"/>
      <c r="N1388" s="17"/>
      <c r="O1388" s="17"/>
    </row>
    <row r="1389" spans="1:20" hidden="1" x14ac:dyDescent="0.25">
      <c r="A1389" s="145" t="s">
        <v>187</v>
      </c>
      <c r="B1389" s="17"/>
      <c r="C1389" s="17"/>
      <c r="D1389" s="76" t="s">
        <v>667</v>
      </c>
      <c r="E1389" s="8"/>
      <c r="F1389" s="8"/>
      <c r="G1389" s="8"/>
      <c r="H1389" s="8"/>
      <c r="I1389" s="8"/>
      <c r="J1389" s="17"/>
      <c r="K1389" s="17"/>
      <c r="L1389" s="17"/>
      <c r="M1389" s="17"/>
      <c r="N1389" s="17"/>
      <c r="O1389" s="17"/>
    </row>
    <row r="1390" spans="1:20" hidden="1" x14ac:dyDescent="0.25">
      <c r="B1390" s="17"/>
      <c r="C1390" s="17"/>
      <c r="D1390" s="17"/>
      <c r="E1390" s="17"/>
      <c r="F1390" s="17"/>
      <c r="G1390" s="17"/>
      <c r="H1390" s="17"/>
      <c r="I1390" s="17"/>
      <c r="J1390" s="17"/>
      <c r="K1390" s="17"/>
      <c r="L1390" s="17"/>
      <c r="M1390" s="17"/>
      <c r="N1390" s="17"/>
      <c r="O1390" s="17"/>
    </row>
    <row r="1391" spans="1:20" hidden="1" x14ac:dyDescent="0.25">
      <c r="A1391" s="145" t="s">
        <v>187</v>
      </c>
      <c r="B1391" s="145" t="s">
        <v>287</v>
      </c>
      <c r="C1391" s="145" t="s">
        <v>287</v>
      </c>
      <c r="D1391" s="145" t="s">
        <v>287</v>
      </c>
      <c r="E1391" s="145" t="s">
        <v>287</v>
      </c>
      <c r="F1391" s="145" t="s">
        <v>287</v>
      </c>
      <c r="G1391" s="145" t="s">
        <v>287</v>
      </c>
      <c r="H1391" s="145" t="s">
        <v>287</v>
      </c>
      <c r="I1391" s="145" t="s">
        <v>287</v>
      </c>
      <c r="J1391" s="145" t="s">
        <v>287</v>
      </c>
      <c r="K1391" s="145" t="s">
        <v>287</v>
      </c>
      <c r="L1391" s="145" t="s">
        <v>287</v>
      </c>
      <c r="M1391" s="145" t="s">
        <v>287</v>
      </c>
      <c r="N1391" s="145" t="s">
        <v>287</v>
      </c>
      <c r="O1391" s="145" t="s">
        <v>287</v>
      </c>
      <c r="P1391" s="145" t="s">
        <v>287</v>
      </c>
      <c r="Q1391" s="145" t="s">
        <v>287</v>
      </c>
      <c r="R1391" s="145" t="s">
        <v>287</v>
      </c>
      <c r="S1391" s="145" t="s">
        <v>287</v>
      </c>
      <c r="T1391" s="145" t="s">
        <v>287</v>
      </c>
    </row>
    <row r="1392" spans="1:20" hidden="1" x14ac:dyDescent="0.25">
      <c r="A1392" s="145" t="s">
        <v>187</v>
      </c>
    </row>
    <row r="1393" spans="1:15" ht="13.8" hidden="1" thickBot="1" x14ac:dyDescent="0.3">
      <c r="A1393" s="145" t="s">
        <v>187</v>
      </c>
      <c r="D1393" s="220" t="s">
        <v>288</v>
      </c>
    </row>
    <row r="1394" spans="1:15" hidden="1" x14ac:dyDescent="0.25">
      <c r="A1394" s="145" t="s">
        <v>187</v>
      </c>
      <c r="E1394" s="55" t="s">
        <v>290</v>
      </c>
      <c r="F1394" s="690"/>
      <c r="G1394" s="690"/>
      <c r="H1394" s="690"/>
      <c r="I1394" s="690"/>
      <c r="J1394" s="690"/>
      <c r="K1394" s="690"/>
      <c r="L1394" s="690"/>
      <c r="M1394" s="690"/>
      <c r="N1394" s="691"/>
    </row>
    <row r="1395" spans="1:15" hidden="1" x14ac:dyDescent="0.25">
      <c r="A1395" s="145" t="s">
        <v>187</v>
      </c>
      <c r="E1395" s="49" t="s">
        <v>291</v>
      </c>
      <c r="F1395" s="47"/>
      <c r="G1395" s="47"/>
      <c r="H1395" s="47"/>
      <c r="I1395" s="48">
        <v>1</v>
      </c>
      <c r="J1395" s="48">
        <v>2</v>
      </c>
      <c r="K1395" s="48">
        <v>3</v>
      </c>
      <c r="L1395" s="48">
        <v>4</v>
      </c>
      <c r="M1395" s="48">
        <v>5</v>
      </c>
      <c r="N1395" s="50"/>
    </row>
    <row r="1396" spans="1:15" hidden="1" x14ac:dyDescent="0.25">
      <c r="A1396" s="145" t="s">
        <v>187</v>
      </c>
      <c r="E1396" s="49" t="s">
        <v>292</v>
      </c>
      <c r="F1396" s="47"/>
      <c r="G1396" s="47"/>
      <c r="H1396" s="47"/>
      <c r="I1396" s="48">
        <f>INDEX(EUconst_ReportingYears,I1395)</f>
        <v>2014</v>
      </c>
      <c r="J1396" s="48">
        <f>INDEX(EUconst_ReportingYears,J1395)</f>
        <v>2015</v>
      </c>
      <c r="K1396" s="48">
        <f>INDEX(EUconst_ReportingYears,K1395)</f>
        <v>2016</v>
      </c>
      <c r="L1396" s="48">
        <f>INDEX(EUconst_ReportingYears,L1395)</f>
        <v>2017</v>
      </c>
      <c r="M1396" s="48">
        <f>INDEX(EUconst_ReportingYears,M1395)</f>
        <v>2018</v>
      </c>
      <c r="N1396" s="50"/>
    </row>
    <row r="1397" spans="1:15" hidden="1" x14ac:dyDescent="0.25">
      <c r="A1397" s="145" t="s">
        <v>187</v>
      </c>
      <c r="E1397" s="49" t="s">
        <v>293</v>
      </c>
      <c r="F1397" s="47"/>
      <c r="G1397" s="47"/>
      <c r="H1397" s="47"/>
      <c r="I1397" s="48">
        <f>IF(CNTR_BaselinePeriod=EUconst_NA,I1396,INDEX(EUconst_ReportingYears,I1395)+(CNTR_BaselinePeriod-1)*5)</f>
        <v>2019</v>
      </c>
      <c r="J1397" s="48">
        <f>IF(CNTR_BaselinePeriod=EUconst_NA,J1396,INDEX(EUconst_ReportingYears,J1395)+(CNTR_BaselinePeriod-1)*5)</f>
        <v>2020</v>
      </c>
      <c r="K1397" s="48">
        <f>IF(CNTR_BaselinePeriod=EUconst_NA,K1396,INDEX(EUconst_ReportingYears,K1395)+(CNTR_BaselinePeriod-1)*5)</f>
        <v>2021</v>
      </c>
      <c r="L1397" s="48">
        <f>IF(CNTR_BaselinePeriod=EUconst_NA,L1396,INDEX(EUconst_ReportingYears,L1395)+(CNTR_BaselinePeriod-1)*5)</f>
        <v>2022</v>
      </c>
      <c r="M1397" s="48">
        <f>IF(CNTR_BaselinePeriod=EUconst_NA,M1396,INDEX(EUconst_ReportingYears,M1395)+(CNTR_BaselinePeriod-1)*5)</f>
        <v>2023</v>
      </c>
      <c r="N1397" s="50"/>
      <c r="O1397" s="17"/>
    </row>
    <row r="1398" spans="1:15" hidden="1" x14ac:dyDescent="0.25">
      <c r="A1398" s="145" t="s">
        <v>187</v>
      </c>
      <c r="E1398" s="49" t="s">
        <v>294</v>
      </c>
      <c r="F1398" s="47"/>
      <c r="G1398" s="47"/>
      <c r="H1398" s="47"/>
      <c r="I1398" s="48">
        <v>1</v>
      </c>
      <c r="J1398" s="48">
        <v>1</v>
      </c>
      <c r="K1398" s="48">
        <v>1</v>
      </c>
      <c r="L1398" s="48">
        <v>1</v>
      </c>
      <c r="M1398" s="48">
        <v>1</v>
      </c>
      <c r="N1398" s="50"/>
    </row>
    <row r="1399" spans="1:15" hidden="1" x14ac:dyDescent="0.25">
      <c r="A1399" s="145" t="s">
        <v>187</v>
      </c>
      <c r="E1399" s="49" t="s">
        <v>341</v>
      </c>
      <c r="F1399" s="47"/>
      <c r="G1399" s="47"/>
      <c r="H1399" s="47"/>
      <c r="I1399" s="47" t="b">
        <f>(I1398=CNTR_BaselinePeriod)</f>
        <v>0</v>
      </c>
      <c r="J1399" s="47" t="b">
        <f>(J1398=CNTR_BaselinePeriod)</f>
        <v>0</v>
      </c>
      <c r="K1399" s="47" t="b">
        <f>(K1398=CNTR_BaselinePeriod)</f>
        <v>0</v>
      </c>
      <c r="L1399" s="47" t="b">
        <f>(L1398=CNTR_BaselinePeriod)</f>
        <v>0</v>
      </c>
      <c r="M1399" s="47" t="b">
        <f>(M1398=CNTR_BaselinePeriod)</f>
        <v>0</v>
      </c>
      <c r="N1399" s="51"/>
    </row>
    <row r="1400" spans="1:15" ht="13.8" hidden="1" thickBot="1" x14ac:dyDescent="0.3">
      <c r="A1400" s="145" t="s">
        <v>187</v>
      </c>
      <c r="E1400" s="52" t="s">
        <v>296</v>
      </c>
      <c r="F1400" s="53"/>
      <c r="G1400" s="53"/>
      <c r="H1400" s="53"/>
      <c r="I1400" s="53">
        <f>INDEX(CNTR_BaslineYearRelevant,I1395)</f>
        <v>0</v>
      </c>
      <c r="J1400" s="53">
        <f>INDEX(CNTR_BaslineYearRelevant,J1395)</f>
        <v>0</v>
      </c>
      <c r="K1400" s="53">
        <f>INDEX(CNTR_BaslineYearRelevant,K1395)</f>
        <v>0</v>
      </c>
      <c r="L1400" s="53">
        <f>INDEX(CNTR_BaslineYearRelevant,L1395)</f>
        <v>0</v>
      </c>
      <c r="M1400" s="53">
        <f>INDEX(CNTR_BaslineYearRelevant,M1395)</f>
        <v>0</v>
      </c>
      <c r="N1400" s="54"/>
    </row>
    <row r="1401" spans="1:15" hidden="1" x14ac:dyDescent="0.25">
      <c r="A1401" s="145" t="s">
        <v>187</v>
      </c>
    </row>
    <row r="1402" spans="1:15" hidden="1" x14ac:dyDescent="0.25">
      <c r="A1402" s="145" t="s">
        <v>187</v>
      </c>
    </row>
    <row r="1403" spans="1:15" hidden="1" x14ac:dyDescent="0.25">
      <c r="A1403" s="145" t="s">
        <v>187</v>
      </c>
    </row>
  </sheetData>
  <sheetProtection algorithmName="SHA-512" hashValue="IHakw3scpQ/34ouIOrSAclinmN8uKQZ1A5QzJNVlhit9mrRrph7LmhssBRYPK+1mYOlErSHq25FKeR1S5+oPhg==" saltValue="QGTL8tQ8ImZOxqw1sxocsg==" spinCount="100000" sheet="1" objects="1" scenarios="1" formatColumns="0" formatRows="0"/>
  <mergeCells count="896">
    <mergeCell ref="E1244:G1244"/>
    <mergeCell ref="E575:G575"/>
    <mergeCell ref="E635:G635"/>
    <mergeCell ref="E695:G695"/>
    <mergeCell ref="E755:G755"/>
    <mergeCell ref="E1089:G1089"/>
    <mergeCell ref="E1091:G1091"/>
    <mergeCell ref="E1092:G1092"/>
    <mergeCell ref="E1087:G1087"/>
    <mergeCell ref="E1106:G1106"/>
    <mergeCell ref="E1211:G1211"/>
    <mergeCell ref="E1134:G1134"/>
    <mergeCell ref="E1136:G1136"/>
    <mergeCell ref="E1138:G1138"/>
    <mergeCell ref="E1169:G1169"/>
    <mergeCell ref="E1171:G1171"/>
    <mergeCell ref="E1172:G1172"/>
    <mergeCell ref="E1212:G1212"/>
    <mergeCell ref="E1214:G1214"/>
    <mergeCell ref="D1221:H1221"/>
    <mergeCell ref="E1173:G1173"/>
    <mergeCell ref="E1178:G1178"/>
    <mergeCell ref="E1210:G1210"/>
    <mergeCell ref="E1099:G1099"/>
    <mergeCell ref="E1247:G1247"/>
    <mergeCell ref="D1338:H1338"/>
    <mergeCell ref="D1326:H1326"/>
    <mergeCell ref="D1327:H1327"/>
    <mergeCell ref="F1303:N1303"/>
    <mergeCell ref="E1308:N1308"/>
    <mergeCell ref="D1332:H1332"/>
    <mergeCell ref="D1329:H1329"/>
    <mergeCell ref="D1330:H1330"/>
    <mergeCell ref="F1298:N1298"/>
    <mergeCell ref="D1251:H1251"/>
    <mergeCell ref="I1251:L1251"/>
    <mergeCell ref="E1296:N1296"/>
    <mergeCell ref="F1297:N1297"/>
    <mergeCell ref="E1309:N1309"/>
    <mergeCell ref="D1324:H1324"/>
    <mergeCell ref="F1302:N1302"/>
    <mergeCell ref="M1251:N1251"/>
    <mergeCell ref="E1267:G1267"/>
    <mergeCell ref="D1307:N1307"/>
    <mergeCell ref="F1293:N1293"/>
    <mergeCell ref="F1294:N1294"/>
    <mergeCell ref="E1292:N1292"/>
    <mergeCell ref="M1271:N1271"/>
    <mergeCell ref="D1271:H1271"/>
    <mergeCell ref="I1271:L1271"/>
    <mergeCell ref="E1287:G1287"/>
    <mergeCell ref="F1299:N1299"/>
    <mergeCell ref="F1300:N1300"/>
    <mergeCell ref="F1301:N1301"/>
    <mergeCell ref="E1312:N1312"/>
    <mergeCell ref="E1311:K1311"/>
    <mergeCell ref="E1313:N1313"/>
    <mergeCell ref="E1100:G1100"/>
    <mergeCell ref="E1101:G1101"/>
    <mergeCell ref="E1102:G1102"/>
    <mergeCell ref="E1103:G1103"/>
    <mergeCell ref="E1104:G1104"/>
    <mergeCell ref="E1105:G1105"/>
    <mergeCell ref="D1383:H1383"/>
    <mergeCell ref="D1367:H1367"/>
    <mergeCell ref="E1352:N1352"/>
    <mergeCell ref="E1359:N1359"/>
    <mergeCell ref="E1362:H1362"/>
    <mergeCell ref="D1377:H1377"/>
    <mergeCell ref="D1382:H1382"/>
    <mergeCell ref="D1379:H1379"/>
    <mergeCell ref="D1380:H1380"/>
    <mergeCell ref="D1381:H1381"/>
    <mergeCell ref="D1375:H1375"/>
    <mergeCell ref="D1376:H1376"/>
    <mergeCell ref="D1371:H1371"/>
    <mergeCell ref="E1356:H1356"/>
    <mergeCell ref="E1318:H1318"/>
    <mergeCell ref="E1355:H1355"/>
    <mergeCell ref="E1314:N1314"/>
    <mergeCell ref="D1305:N1305"/>
    <mergeCell ref="D1334:H1334"/>
    <mergeCell ref="D1342:H1342"/>
    <mergeCell ref="F1295:N1295"/>
    <mergeCell ref="D1378:H1378"/>
    <mergeCell ref="D1339:H1339"/>
    <mergeCell ref="D1340:H1340"/>
    <mergeCell ref="D1341:H1341"/>
    <mergeCell ref="E1353:N1353"/>
    <mergeCell ref="E1365:N1365"/>
    <mergeCell ref="E1360:N1360"/>
    <mergeCell ref="E1349:H1349"/>
    <mergeCell ref="D1373:H1373"/>
    <mergeCell ref="D1374:H1374"/>
    <mergeCell ref="D1333:H1333"/>
    <mergeCell ref="D1331:H1331"/>
    <mergeCell ref="D1335:H1335"/>
    <mergeCell ref="E1320:N1320"/>
    <mergeCell ref="D1328:H1328"/>
    <mergeCell ref="D1325:H1325"/>
    <mergeCell ref="E1319:H1319"/>
    <mergeCell ref="D1385:H1385"/>
    <mergeCell ref="E485:G485"/>
    <mergeCell ref="E487:G487"/>
    <mergeCell ref="E498:G498"/>
    <mergeCell ref="E491:G491"/>
    <mergeCell ref="E504:G504"/>
    <mergeCell ref="E505:G505"/>
    <mergeCell ref="D1372:H1372"/>
    <mergeCell ref="E499:G499"/>
    <mergeCell ref="D1336:H1336"/>
    <mergeCell ref="D1384:H1384"/>
    <mergeCell ref="D1337:H1337"/>
    <mergeCell ref="D1368:H1368"/>
    <mergeCell ref="D1369:H1369"/>
    <mergeCell ref="D1370:H1370"/>
    <mergeCell ref="E510:G510"/>
    <mergeCell ref="E495:G495"/>
    <mergeCell ref="E507:G507"/>
    <mergeCell ref="E502:G502"/>
    <mergeCell ref="E506:G506"/>
    <mergeCell ref="E496:G496"/>
    <mergeCell ref="E501:G501"/>
    <mergeCell ref="E516:G516"/>
    <mergeCell ref="E513:G513"/>
    <mergeCell ref="F79:N79"/>
    <mergeCell ref="F80:N80"/>
    <mergeCell ref="F81:N81"/>
    <mergeCell ref="F88:N88"/>
    <mergeCell ref="F89:N89"/>
    <mergeCell ref="E204:G204"/>
    <mergeCell ref="E141:G141"/>
    <mergeCell ref="E192:G192"/>
    <mergeCell ref="E199:G199"/>
    <mergeCell ref="H199:N199"/>
    <mergeCell ref="E139:G139"/>
    <mergeCell ref="E179:G179"/>
    <mergeCell ref="E166:G166"/>
    <mergeCell ref="E167:G167"/>
    <mergeCell ref="E172:G172"/>
    <mergeCell ref="E194:G194"/>
    <mergeCell ref="E193:G193"/>
    <mergeCell ref="E146:G146"/>
    <mergeCell ref="E147:G147"/>
    <mergeCell ref="E148:G148"/>
    <mergeCell ref="E150:G150"/>
    <mergeCell ref="E181:G181"/>
    <mergeCell ref="E177:G177"/>
    <mergeCell ref="E159:L159"/>
    <mergeCell ref="E380:G380"/>
    <mergeCell ref="E381:G381"/>
    <mergeCell ref="E382:G382"/>
    <mergeCell ref="E384:N384"/>
    <mergeCell ref="E385:G385"/>
    <mergeCell ref="E274:G274"/>
    <mergeCell ref="E275:G275"/>
    <mergeCell ref="E388:G388"/>
    <mergeCell ref="E365:G365"/>
    <mergeCell ref="E387:N387"/>
    <mergeCell ref="E276:G276"/>
    <mergeCell ref="E277:G277"/>
    <mergeCell ref="E278:G278"/>
    <mergeCell ref="E371:G371"/>
    <mergeCell ref="E372:G372"/>
    <mergeCell ref="E368:G368"/>
    <mergeCell ref="E313:G313"/>
    <mergeCell ref="E315:N315"/>
    <mergeCell ref="E292:N292"/>
    <mergeCell ref="E293:G293"/>
    <mergeCell ref="E295:N295"/>
    <mergeCell ref="E296:G296"/>
    <mergeCell ref="E351:G351"/>
    <mergeCell ref="E352:G352"/>
    <mergeCell ref="E370:N370"/>
    <mergeCell ref="E266:N266"/>
    <mergeCell ref="E279:G279"/>
    <mergeCell ref="E282:G282"/>
    <mergeCell ref="E283:G283"/>
    <mergeCell ref="E284:G284"/>
    <mergeCell ref="E286:N286"/>
    <mergeCell ref="E287:G287"/>
    <mergeCell ref="E289:N289"/>
    <mergeCell ref="E290:G290"/>
    <mergeCell ref="E353:G353"/>
    <mergeCell ref="E299:G299"/>
    <mergeCell ref="E300:G300"/>
    <mergeCell ref="E301:G301"/>
    <mergeCell ref="E302:G302"/>
    <mergeCell ref="E310:G310"/>
    <mergeCell ref="E312:N312"/>
    <mergeCell ref="E297:G297"/>
    <mergeCell ref="E298:G298"/>
    <mergeCell ref="E316:G316"/>
    <mergeCell ref="E304:N304"/>
    <mergeCell ref="E307:G307"/>
    <mergeCell ref="E309:G309"/>
    <mergeCell ref="E324:G324"/>
    <mergeCell ref="L186:N186"/>
    <mergeCell ref="E186:K186"/>
    <mergeCell ref="E190:G190"/>
    <mergeCell ref="D467:N467"/>
    <mergeCell ref="E493:G493"/>
    <mergeCell ref="F459:N459"/>
    <mergeCell ref="D184:N184"/>
    <mergeCell ref="E187:G187"/>
    <mergeCell ref="E198:K198"/>
    <mergeCell ref="E196:H196"/>
    <mergeCell ref="E189:G189"/>
    <mergeCell ref="E254:G254"/>
    <mergeCell ref="E230:G230"/>
    <mergeCell ref="E250:N250"/>
    <mergeCell ref="E217:G217"/>
    <mergeCell ref="E253:G253"/>
    <mergeCell ref="F462:N462"/>
    <mergeCell ref="D462:E462"/>
    <mergeCell ref="E492:G492"/>
    <mergeCell ref="E490:G490"/>
    <mergeCell ref="E488:G488"/>
    <mergeCell ref="D459:E459"/>
    <mergeCell ref="E191:G191"/>
    <mergeCell ref="E281:G281"/>
    <mergeCell ref="E117:G117"/>
    <mergeCell ref="E118:G118"/>
    <mergeCell ref="E110:G110"/>
    <mergeCell ref="D464:E464"/>
    <mergeCell ref="E252:G252"/>
    <mergeCell ref="E127:G127"/>
    <mergeCell ref="E168:G168"/>
    <mergeCell ref="E138:G138"/>
    <mergeCell ref="E163:G163"/>
    <mergeCell ref="D457:E457"/>
    <mergeCell ref="D460:E460"/>
    <mergeCell ref="F460:N460"/>
    <mergeCell ref="D456:E456"/>
    <mergeCell ref="D455:E455"/>
    <mergeCell ref="F455:N455"/>
    <mergeCell ref="D452:E452"/>
    <mergeCell ref="E358:G358"/>
    <mergeCell ref="E359:G359"/>
    <mergeCell ref="E361:N361"/>
    <mergeCell ref="E362:G362"/>
    <mergeCell ref="E268:G268"/>
    <mergeCell ref="E269:G269"/>
    <mergeCell ref="E280:G280"/>
    <mergeCell ref="H187:N187"/>
    <mergeCell ref="E121:G121"/>
    <mergeCell ref="E162:G162"/>
    <mergeCell ref="E134:L134"/>
    <mergeCell ref="E154:G154"/>
    <mergeCell ref="E136:G136"/>
    <mergeCell ref="E137:G137"/>
    <mergeCell ref="E126:G126"/>
    <mergeCell ref="E119:G119"/>
    <mergeCell ref="E149:G149"/>
    <mergeCell ref="E142:G142"/>
    <mergeCell ref="E143:G143"/>
    <mergeCell ref="E144:G144"/>
    <mergeCell ref="E120:G120"/>
    <mergeCell ref="L198:N198"/>
    <mergeCell ref="E215:G215"/>
    <mergeCell ref="E208:H208"/>
    <mergeCell ref="E201:G201"/>
    <mergeCell ref="E272:N272"/>
    <mergeCell ref="E255:G255"/>
    <mergeCell ref="E257:N257"/>
    <mergeCell ref="E258:G258"/>
    <mergeCell ref="E260:N260"/>
    <mergeCell ref="E261:G261"/>
    <mergeCell ref="E263:N263"/>
    <mergeCell ref="E264:G264"/>
    <mergeCell ref="E214:G214"/>
    <mergeCell ref="E241:G241"/>
    <mergeCell ref="E203:G203"/>
    <mergeCell ref="E202:G202"/>
    <mergeCell ref="E216:G216"/>
    <mergeCell ref="E239:N239"/>
    <mergeCell ref="E243:N243"/>
    <mergeCell ref="D237:N237"/>
    <mergeCell ref="E231:G231"/>
    <mergeCell ref="E244:G244"/>
    <mergeCell ref="E245:G245"/>
    <mergeCell ref="E108:G108"/>
    <mergeCell ref="E115:G115"/>
    <mergeCell ref="E116:G116"/>
    <mergeCell ref="E100:G100"/>
    <mergeCell ref="E270:G270"/>
    <mergeCell ref="E169:G169"/>
    <mergeCell ref="E178:G178"/>
    <mergeCell ref="E173:G173"/>
    <mergeCell ref="E174:G174"/>
    <mergeCell ref="E152:G152"/>
    <mergeCell ref="E164:G164"/>
    <mergeCell ref="E171:G171"/>
    <mergeCell ref="E175:G175"/>
    <mergeCell ref="E161:G161"/>
    <mergeCell ref="E156:G156"/>
    <mergeCell ref="E157:G157"/>
    <mergeCell ref="E153:G153"/>
    <mergeCell ref="E206:G206"/>
    <mergeCell ref="E218:G218"/>
    <mergeCell ref="E182:G182"/>
    <mergeCell ref="E221:G221"/>
    <mergeCell ref="E222:G222"/>
    <mergeCell ref="E205:G205"/>
    <mergeCell ref="E109:G109"/>
    <mergeCell ref="E94:G94"/>
    <mergeCell ref="E106:G106"/>
    <mergeCell ref="E101:G101"/>
    <mergeCell ref="E99:G99"/>
    <mergeCell ref="E95:G95"/>
    <mergeCell ref="E103:G103"/>
    <mergeCell ref="E102:G102"/>
    <mergeCell ref="E98:G98"/>
    <mergeCell ref="E97:G97"/>
    <mergeCell ref="E104:G104"/>
    <mergeCell ref="E91:N91"/>
    <mergeCell ref="F82:N82"/>
    <mergeCell ref="F83:N83"/>
    <mergeCell ref="F86:N86"/>
    <mergeCell ref="E87:N87"/>
    <mergeCell ref="E90:N90"/>
    <mergeCell ref="F84:N84"/>
    <mergeCell ref="F85:N85"/>
    <mergeCell ref="E247:G247"/>
    <mergeCell ref="E246:G246"/>
    <mergeCell ref="E212:G212"/>
    <mergeCell ref="E213:G213"/>
    <mergeCell ref="E223:G223"/>
    <mergeCell ref="E125:G125"/>
    <mergeCell ref="E235:G235"/>
    <mergeCell ref="E225:G225"/>
    <mergeCell ref="E226:G226"/>
    <mergeCell ref="E227:G227"/>
    <mergeCell ref="E228:G228"/>
    <mergeCell ref="E229:G229"/>
    <mergeCell ref="E96:G96"/>
    <mergeCell ref="E113:G113"/>
    <mergeCell ref="E114:G114"/>
    <mergeCell ref="E107:G107"/>
    <mergeCell ref="E508:G508"/>
    <mergeCell ref="E1246:G1246"/>
    <mergeCell ref="M1221:N1221"/>
    <mergeCell ref="E1237:G1237"/>
    <mergeCell ref="E1240:G1240"/>
    <mergeCell ref="E1239:G1239"/>
    <mergeCell ref="I1221:L1221"/>
    <mergeCell ref="E525:G525"/>
    <mergeCell ref="E1241:G1241"/>
    <mergeCell ref="E1242:G1242"/>
    <mergeCell ref="E511:G511"/>
    <mergeCell ref="E512:G512"/>
    <mergeCell ref="D1071:H1071"/>
    <mergeCell ref="I1071:L1071"/>
    <mergeCell ref="M1071:N1071"/>
    <mergeCell ref="E518:G518"/>
    <mergeCell ref="E571:G571"/>
    <mergeCell ref="E572:G572"/>
    <mergeCell ref="E1107:G1107"/>
    <mergeCell ref="E1093:G1093"/>
    <mergeCell ref="E1094:G1094"/>
    <mergeCell ref="E1096:G1096"/>
    <mergeCell ref="E1098:G1098"/>
    <mergeCell ref="E521:G521"/>
    <mergeCell ref="M2:N2"/>
    <mergeCell ref="D450:E450"/>
    <mergeCell ref="D46:N46"/>
    <mergeCell ref="E48:H48"/>
    <mergeCell ref="K48:L48"/>
    <mergeCell ref="E49:H49"/>
    <mergeCell ref="K49:L49"/>
    <mergeCell ref="E68:G68"/>
    <mergeCell ref="E65:G65"/>
    <mergeCell ref="E67:G67"/>
    <mergeCell ref="E76:N76"/>
    <mergeCell ref="E92:G92"/>
    <mergeCell ref="E93:G93"/>
    <mergeCell ref="E77:N77"/>
    <mergeCell ref="M3:N3"/>
    <mergeCell ref="E39:H39"/>
    <mergeCell ref="I3:J3"/>
    <mergeCell ref="K3:L3"/>
    <mergeCell ref="E66:G66"/>
    <mergeCell ref="K2:L2"/>
    <mergeCell ref="E4:F4"/>
    <mergeCell ref="B2:D4"/>
    <mergeCell ref="G2:H2"/>
    <mergeCell ref="E128:G128"/>
    <mergeCell ref="I2:J2"/>
    <mergeCell ref="E3:F3"/>
    <mergeCell ref="G3:H3"/>
    <mergeCell ref="I39:K39"/>
    <mergeCell ref="L39:N39"/>
    <mergeCell ref="E40:H40"/>
    <mergeCell ref="I40:K40"/>
    <mergeCell ref="E41:H41"/>
    <mergeCell ref="E1387:N1387"/>
    <mergeCell ref="E51:M51"/>
    <mergeCell ref="E52:M52"/>
    <mergeCell ref="E54:L54"/>
    <mergeCell ref="D453:E453"/>
    <mergeCell ref="G4:H4"/>
    <mergeCell ref="I4:J4"/>
    <mergeCell ref="K4:L4"/>
    <mergeCell ref="M4:N4"/>
    <mergeCell ref="D458:E458"/>
    <mergeCell ref="I41:K41"/>
    <mergeCell ref="L41:N41"/>
    <mergeCell ref="E42:H42"/>
    <mergeCell ref="I42:K42"/>
    <mergeCell ref="L42:N42"/>
    <mergeCell ref="F456:N456"/>
    <mergeCell ref="E71:G71"/>
    <mergeCell ref="L40:N40"/>
    <mergeCell ref="F452:N452"/>
    <mergeCell ref="E248:G248"/>
    <mergeCell ref="E251:G251"/>
    <mergeCell ref="D62:N62"/>
    <mergeCell ref="E64:G64"/>
    <mergeCell ref="D210:N210"/>
    <mergeCell ref="E69:G69"/>
    <mergeCell ref="E70:G70"/>
    <mergeCell ref="E105:G105"/>
    <mergeCell ref="E224:G224"/>
    <mergeCell ref="E123:G123"/>
    <mergeCell ref="E72:G72"/>
    <mergeCell ref="D74:N74"/>
    <mergeCell ref="E122:G122"/>
    <mergeCell ref="D132:N132"/>
    <mergeCell ref="F78:N78"/>
    <mergeCell ref="E124:G124"/>
    <mergeCell ref="E130:G130"/>
    <mergeCell ref="E129:G129"/>
    <mergeCell ref="E232:G232"/>
    <mergeCell ref="E233:G233"/>
    <mergeCell ref="E234:G234"/>
    <mergeCell ref="E37:H37"/>
    <mergeCell ref="I37:K37"/>
    <mergeCell ref="L37:N37"/>
    <mergeCell ref="E38:H38"/>
    <mergeCell ref="I38:K38"/>
    <mergeCell ref="L38:N38"/>
    <mergeCell ref="E35:H35"/>
    <mergeCell ref="I35:K35"/>
    <mergeCell ref="L35:N35"/>
    <mergeCell ref="E36:H36"/>
    <mergeCell ref="I36:K36"/>
    <mergeCell ref="L36:N36"/>
    <mergeCell ref="E33:H33"/>
    <mergeCell ref="I33:K33"/>
    <mergeCell ref="L33:N33"/>
    <mergeCell ref="E34:H34"/>
    <mergeCell ref="I34:K34"/>
    <mergeCell ref="L34:N34"/>
    <mergeCell ref="F27:N27"/>
    <mergeCell ref="F28:N28"/>
    <mergeCell ref="F29:N29"/>
    <mergeCell ref="D10:N10"/>
    <mergeCell ref="D31:N31"/>
    <mergeCell ref="E32:H32"/>
    <mergeCell ref="I32:K32"/>
    <mergeCell ref="L32:N32"/>
    <mergeCell ref="H14:L14"/>
    <mergeCell ref="H15:L15"/>
    <mergeCell ref="H12:I12"/>
    <mergeCell ref="M12:N12"/>
    <mergeCell ref="H13:L13"/>
    <mergeCell ref="F24:N24"/>
    <mergeCell ref="F25:N25"/>
    <mergeCell ref="F26:N26"/>
    <mergeCell ref="E12:G12"/>
    <mergeCell ref="E325:G325"/>
    <mergeCell ref="E323:G323"/>
    <mergeCell ref="E318:N318"/>
    <mergeCell ref="E319:G319"/>
    <mergeCell ref="E320:G320"/>
    <mergeCell ref="E321:G321"/>
    <mergeCell ref="E322:G322"/>
    <mergeCell ref="E379:G379"/>
    <mergeCell ref="E373:G373"/>
    <mergeCell ref="E374:G374"/>
    <mergeCell ref="E327:N327"/>
    <mergeCell ref="D345:N345"/>
    <mergeCell ref="E350:G350"/>
    <mergeCell ref="E375:G375"/>
    <mergeCell ref="E377:N377"/>
    <mergeCell ref="E378:G378"/>
    <mergeCell ref="E364:G364"/>
    <mergeCell ref="E329:G329"/>
    <mergeCell ref="E330:G330"/>
    <mergeCell ref="E332:N332"/>
    <mergeCell ref="E333:G333"/>
    <mergeCell ref="E335:N335"/>
    <mergeCell ref="D339:N339"/>
    <mergeCell ref="E337:G337"/>
    <mergeCell ref="E347:N347"/>
    <mergeCell ref="E348:G348"/>
    <mergeCell ref="E349:G349"/>
    <mergeCell ref="E357:G357"/>
    <mergeCell ref="E367:N367"/>
    <mergeCell ref="E363:G363"/>
    <mergeCell ref="E354:G354"/>
    <mergeCell ref="E355:G355"/>
    <mergeCell ref="E356:G356"/>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08:G408"/>
    <mergeCell ref="E410:N410"/>
    <mergeCell ref="E411:G411"/>
    <mergeCell ref="E413:N413"/>
    <mergeCell ref="E414:G414"/>
    <mergeCell ref="E415:G415"/>
    <mergeCell ref="E416:G416"/>
    <mergeCell ref="E417:G417"/>
    <mergeCell ref="E418:G418"/>
    <mergeCell ref="E419:G419"/>
    <mergeCell ref="E420:G420"/>
    <mergeCell ref="E421:G421"/>
    <mergeCell ref="E422:G422"/>
    <mergeCell ref="E423:G423"/>
    <mergeCell ref="E424:G424"/>
    <mergeCell ref="E425:G425"/>
    <mergeCell ref="E426:G426"/>
    <mergeCell ref="E428:N428"/>
    <mergeCell ref="E429:G429"/>
    <mergeCell ref="E430:G430"/>
    <mergeCell ref="D432:N432"/>
    <mergeCell ref="E434:K434"/>
    <mergeCell ref="L434:M434"/>
    <mergeCell ref="D446:N446"/>
    <mergeCell ref="D451:E451"/>
    <mergeCell ref="F451:N451"/>
    <mergeCell ref="E435:N435"/>
    <mergeCell ref="F449:N449"/>
    <mergeCell ref="E441:G441"/>
    <mergeCell ref="E439:G439"/>
    <mergeCell ref="F450:N450"/>
    <mergeCell ref="E442:G442"/>
    <mergeCell ref="D449:E449"/>
    <mergeCell ref="D461:E461"/>
    <mergeCell ref="F461:N461"/>
    <mergeCell ref="D454:E454"/>
    <mergeCell ref="F454:N454"/>
    <mergeCell ref="F457:N457"/>
    <mergeCell ref="E440:G440"/>
    <mergeCell ref="D448:N448"/>
    <mergeCell ref="F453:N453"/>
    <mergeCell ref="E1207:G1207"/>
    <mergeCell ref="E1180:G1180"/>
    <mergeCell ref="E1176:G1176"/>
    <mergeCell ref="I1151:L1151"/>
    <mergeCell ref="E1144:G1144"/>
    <mergeCell ref="E1143:G1143"/>
    <mergeCell ref="E1147:G1147"/>
    <mergeCell ref="E1146:G1146"/>
    <mergeCell ref="E1133:G1133"/>
    <mergeCell ref="E1141:G1141"/>
    <mergeCell ref="I1111:L1111"/>
    <mergeCell ref="E1179:G1179"/>
    <mergeCell ref="D1151:H1151"/>
    <mergeCell ref="E1127:G1127"/>
    <mergeCell ref="E1167:G1167"/>
    <mergeCell ref="E1140:G1140"/>
    <mergeCell ref="E1217:G1217"/>
    <mergeCell ref="E1209:G1209"/>
    <mergeCell ref="M1191:N1191"/>
    <mergeCell ref="E1181:G1181"/>
    <mergeCell ref="E1182:G1182"/>
    <mergeCell ref="E1184:G1184"/>
    <mergeCell ref="E1185:G1185"/>
    <mergeCell ref="E1183:G1183"/>
    <mergeCell ref="I1191:L1191"/>
    <mergeCell ref="E1216:G1216"/>
    <mergeCell ref="E1187:G1187"/>
    <mergeCell ref="D1191:H1191"/>
    <mergeCell ref="E1174:G1174"/>
    <mergeCell ref="E1145:G1145"/>
    <mergeCell ref="D1111:H1111"/>
    <mergeCell ref="E1139:G1139"/>
    <mergeCell ref="E569:G569"/>
    <mergeCell ref="M1111:N1111"/>
    <mergeCell ref="E551:G551"/>
    <mergeCell ref="E1129:G1129"/>
    <mergeCell ref="E1186:G1186"/>
    <mergeCell ref="E1131:G1131"/>
    <mergeCell ref="M1151:N1151"/>
    <mergeCell ref="E1132:G1132"/>
    <mergeCell ref="E1142:G1142"/>
    <mergeCell ref="E608:G608"/>
    <mergeCell ref="E610:G610"/>
    <mergeCell ref="E611:G611"/>
    <mergeCell ref="E612:G612"/>
    <mergeCell ref="E613:G613"/>
    <mergeCell ref="E615:G615"/>
    <mergeCell ref="E616:G616"/>
    <mergeCell ref="E618:G618"/>
    <mergeCell ref="E619:G619"/>
    <mergeCell ref="E621:G621"/>
    <mergeCell ref="E622:G622"/>
    <mergeCell ref="E509:G509"/>
    <mergeCell ref="E570:G570"/>
    <mergeCell ref="E584:G584"/>
    <mergeCell ref="E568:G568"/>
    <mergeCell ref="D589:H589"/>
    <mergeCell ref="I589:N589"/>
    <mergeCell ref="E605:G605"/>
    <mergeCell ref="E607:G607"/>
    <mergeCell ref="E573:G573"/>
    <mergeCell ref="E576:G576"/>
    <mergeCell ref="E578:G578"/>
    <mergeCell ref="E582:G582"/>
    <mergeCell ref="E585:G585"/>
    <mergeCell ref="E581:G581"/>
    <mergeCell ref="E515:G515"/>
    <mergeCell ref="E522:G522"/>
    <mergeCell ref="E524:G524"/>
    <mergeCell ref="E547:G547"/>
    <mergeCell ref="F463:N463"/>
    <mergeCell ref="F458:N458"/>
    <mergeCell ref="D469:H469"/>
    <mergeCell ref="I469:N469"/>
    <mergeCell ref="E564:G564"/>
    <mergeCell ref="E565:G565"/>
    <mergeCell ref="E566:G566"/>
    <mergeCell ref="E567:G567"/>
    <mergeCell ref="E558:G558"/>
    <mergeCell ref="E559:G559"/>
    <mergeCell ref="E561:G561"/>
    <mergeCell ref="E550:G550"/>
    <mergeCell ref="E552:G552"/>
    <mergeCell ref="D529:H529"/>
    <mergeCell ref="I529:N529"/>
    <mergeCell ref="E545:G545"/>
    <mergeCell ref="E548:G548"/>
    <mergeCell ref="E553:G553"/>
    <mergeCell ref="E556:G556"/>
    <mergeCell ref="E555:G555"/>
    <mergeCell ref="E562:G562"/>
    <mergeCell ref="F464:N464"/>
    <mergeCell ref="D465:E465"/>
    <mergeCell ref="F465:N465"/>
    <mergeCell ref="E624:G624"/>
    <mergeCell ref="E625:G625"/>
    <mergeCell ref="E626:G626"/>
    <mergeCell ref="E627:G627"/>
    <mergeCell ref="E628:G628"/>
    <mergeCell ref="E629:G629"/>
    <mergeCell ref="E630:G630"/>
    <mergeCell ref="E631:G631"/>
    <mergeCell ref="E632:G632"/>
    <mergeCell ref="E633:G633"/>
    <mergeCell ref="E636:G636"/>
    <mergeCell ref="E638:G638"/>
    <mergeCell ref="E641:G641"/>
    <mergeCell ref="E642:G642"/>
    <mergeCell ref="E644:G644"/>
    <mergeCell ref="E645:G645"/>
    <mergeCell ref="D649:H649"/>
    <mergeCell ref="I649:N649"/>
    <mergeCell ref="E665:G665"/>
    <mergeCell ref="E667:G667"/>
    <mergeCell ref="E668:G668"/>
    <mergeCell ref="E670:G670"/>
    <mergeCell ref="E671:G671"/>
    <mergeCell ref="E672:G672"/>
    <mergeCell ref="E673:G673"/>
    <mergeCell ref="E675:G675"/>
    <mergeCell ref="E676:G676"/>
    <mergeCell ref="E678:G678"/>
    <mergeCell ref="E679:G679"/>
    <mergeCell ref="E681:G681"/>
    <mergeCell ref="E682:G682"/>
    <mergeCell ref="E684:G684"/>
    <mergeCell ref="E685:G685"/>
    <mergeCell ref="E686:G686"/>
    <mergeCell ref="E687:G687"/>
    <mergeCell ref="E688:G688"/>
    <mergeCell ref="E689:G689"/>
    <mergeCell ref="E690:G690"/>
    <mergeCell ref="E691:G691"/>
    <mergeCell ref="E692:G692"/>
    <mergeCell ref="E693:G693"/>
    <mergeCell ref="E696:G696"/>
    <mergeCell ref="E698:G698"/>
    <mergeCell ref="E701:G701"/>
    <mergeCell ref="E702:G702"/>
    <mergeCell ref="E704:G704"/>
    <mergeCell ref="E705:G705"/>
    <mergeCell ref="D709:H709"/>
    <mergeCell ref="I709:N709"/>
    <mergeCell ref="E725:G725"/>
    <mergeCell ref="E727:G727"/>
    <mergeCell ref="E728:G728"/>
    <mergeCell ref="E730:G730"/>
    <mergeCell ref="E731:G731"/>
    <mergeCell ref="E732:G732"/>
    <mergeCell ref="E733:G733"/>
    <mergeCell ref="E735:G735"/>
    <mergeCell ref="E736:G736"/>
    <mergeCell ref="E738:G738"/>
    <mergeCell ref="E739:G739"/>
    <mergeCell ref="E741:G741"/>
    <mergeCell ref="E742:G742"/>
    <mergeCell ref="E744:G744"/>
    <mergeCell ref="E745:G745"/>
    <mergeCell ref="E746:G746"/>
    <mergeCell ref="E747:G747"/>
    <mergeCell ref="E748:G748"/>
    <mergeCell ref="E749:G749"/>
    <mergeCell ref="E750:G750"/>
    <mergeCell ref="E751:G751"/>
    <mergeCell ref="E752:G752"/>
    <mergeCell ref="E753:G753"/>
    <mergeCell ref="E756:G756"/>
    <mergeCell ref="E758:G758"/>
    <mergeCell ref="E761:G761"/>
    <mergeCell ref="E762:G762"/>
    <mergeCell ref="E764:G764"/>
    <mergeCell ref="E765:G765"/>
    <mergeCell ref="D769:H769"/>
    <mergeCell ref="I769:N769"/>
    <mergeCell ref="E785:G785"/>
    <mergeCell ref="E787:G787"/>
    <mergeCell ref="E788:G788"/>
    <mergeCell ref="E790:G790"/>
    <mergeCell ref="E791:G791"/>
    <mergeCell ref="E792:G792"/>
    <mergeCell ref="E793:G793"/>
    <mergeCell ref="E795:G795"/>
    <mergeCell ref="E796:G796"/>
    <mergeCell ref="E798:G798"/>
    <mergeCell ref="E799:G799"/>
    <mergeCell ref="E801:G801"/>
    <mergeCell ref="E802:G802"/>
    <mergeCell ref="E804:G804"/>
    <mergeCell ref="E805:G805"/>
    <mergeCell ref="E806:G806"/>
    <mergeCell ref="E807:G807"/>
    <mergeCell ref="E808:G808"/>
    <mergeCell ref="E809:G809"/>
    <mergeCell ref="E810:G810"/>
    <mergeCell ref="E811:G811"/>
    <mergeCell ref="E812:G812"/>
    <mergeCell ref="E813:G813"/>
    <mergeCell ref="E816:G816"/>
    <mergeCell ref="E818:G818"/>
    <mergeCell ref="E821:G821"/>
    <mergeCell ref="E822:G822"/>
    <mergeCell ref="E815:G815"/>
    <mergeCell ref="E824:G824"/>
    <mergeCell ref="E825:G825"/>
    <mergeCell ref="D829:H829"/>
    <mergeCell ref="I829:N829"/>
    <mergeCell ref="E845:G845"/>
    <mergeCell ref="E847:G847"/>
    <mergeCell ref="E848:G848"/>
    <mergeCell ref="E850:G850"/>
    <mergeCell ref="E851:G851"/>
    <mergeCell ref="E852:G852"/>
    <mergeCell ref="E853:G853"/>
    <mergeCell ref="E855:G855"/>
    <mergeCell ref="E856:G856"/>
    <mergeCell ref="E858:G858"/>
    <mergeCell ref="E859:G859"/>
    <mergeCell ref="E861:G861"/>
    <mergeCell ref="E862:G862"/>
    <mergeCell ref="E864:G864"/>
    <mergeCell ref="E865:G865"/>
    <mergeCell ref="E866:G866"/>
    <mergeCell ref="E867:G867"/>
    <mergeCell ref="E868:G868"/>
    <mergeCell ref="E869:G869"/>
    <mergeCell ref="E870:G870"/>
    <mergeCell ref="E871:G871"/>
    <mergeCell ref="E872:G872"/>
    <mergeCell ref="E873:G873"/>
    <mergeCell ref="E876:G876"/>
    <mergeCell ref="E878:G878"/>
    <mergeCell ref="E881:G881"/>
    <mergeCell ref="E882:G882"/>
    <mergeCell ref="E884:G884"/>
    <mergeCell ref="E875:G875"/>
    <mergeCell ref="E885:G885"/>
    <mergeCell ref="D889:H889"/>
    <mergeCell ref="I889:N889"/>
    <mergeCell ref="E905:G905"/>
    <mergeCell ref="E907:G907"/>
    <mergeCell ref="E908:G908"/>
    <mergeCell ref="E910:G910"/>
    <mergeCell ref="E911:G911"/>
    <mergeCell ref="E912:G912"/>
    <mergeCell ref="E913:G913"/>
    <mergeCell ref="E915:G915"/>
    <mergeCell ref="E916:G916"/>
    <mergeCell ref="E918:G918"/>
    <mergeCell ref="E919:G919"/>
    <mergeCell ref="E921:G921"/>
    <mergeCell ref="E922:G922"/>
    <mergeCell ref="E924:G924"/>
    <mergeCell ref="E925:G925"/>
    <mergeCell ref="E926:G926"/>
    <mergeCell ref="E927:G927"/>
    <mergeCell ref="E928:G928"/>
    <mergeCell ref="E929:G929"/>
    <mergeCell ref="E930:G930"/>
    <mergeCell ref="E931:G931"/>
    <mergeCell ref="E932:G932"/>
    <mergeCell ref="E933:G933"/>
    <mergeCell ref="E936:G936"/>
    <mergeCell ref="E938:G938"/>
    <mergeCell ref="E941:G941"/>
    <mergeCell ref="E942:G942"/>
    <mergeCell ref="E935:G935"/>
    <mergeCell ref="E944:G944"/>
    <mergeCell ref="E945:G945"/>
    <mergeCell ref="D949:H949"/>
    <mergeCell ref="I949:N949"/>
    <mergeCell ref="E965:G965"/>
    <mergeCell ref="E967:G967"/>
    <mergeCell ref="E968:G968"/>
    <mergeCell ref="E970:G970"/>
    <mergeCell ref="E971:G971"/>
    <mergeCell ref="E972:G972"/>
    <mergeCell ref="E973:G973"/>
    <mergeCell ref="E975:G975"/>
    <mergeCell ref="E976:G976"/>
    <mergeCell ref="E978:G978"/>
    <mergeCell ref="E979:G979"/>
    <mergeCell ref="E981:G981"/>
    <mergeCell ref="E982:G982"/>
    <mergeCell ref="E984:G984"/>
    <mergeCell ref="E985:G985"/>
    <mergeCell ref="E986:G986"/>
    <mergeCell ref="E987:G987"/>
    <mergeCell ref="E988:G988"/>
    <mergeCell ref="E989:G989"/>
    <mergeCell ref="E990:G990"/>
    <mergeCell ref="E991:G991"/>
    <mergeCell ref="E992:G992"/>
    <mergeCell ref="E993:G993"/>
    <mergeCell ref="E996:G996"/>
    <mergeCell ref="E998:G998"/>
    <mergeCell ref="E1001:G1001"/>
    <mergeCell ref="E995:G995"/>
    <mergeCell ref="E1002:G1002"/>
    <mergeCell ref="E1004:G1004"/>
    <mergeCell ref="E1005:G1005"/>
    <mergeCell ref="D1009:H1009"/>
    <mergeCell ref="I1009:N1009"/>
    <mergeCell ref="E1025:G1025"/>
    <mergeCell ref="E1044:G1044"/>
    <mergeCell ref="E1039:G1039"/>
    <mergeCell ref="E1041:G1041"/>
    <mergeCell ref="E1042:G1042"/>
    <mergeCell ref="E1045:G1045"/>
    <mergeCell ref="E1027:G1027"/>
    <mergeCell ref="E1028:G1028"/>
    <mergeCell ref="E1030:G1030"/>
    <mergeCell ref="E1031:G1031"/>
    <mergeCell ref="E1032:G1032"/>
    <mergeCell ref="E1033:G1033"/>
    <mergeCell ref="E1035:G1035"/>
    <mergeCell ref="E1036:G1036"/>
    <mergeCell ref="E1038:G1038"/>
    <mergeCell ref="E1046:G1046"/>
    <mergeCell ref="E1047:G1047"/>
    <mergeCell ref="E1048:G1048"/>
    <mergeCell ref="E1049:G1049"/>
    <mergeCell ref="E1050:G1050"/>
    <mergeCell ref="E1051:G1051"/>
    <mergeCell ref="E1064:G1064"/>
    <mergeCell ref="E1065:G1065"/>
    <mergeCell ref="E1052:G1052"/>
    <mergeCell ref="E1053:G1053"/>
    <mergeCell ref="E1056:G1056"/>
    <mergeCell ref="E1058:G1058"/>
    <mergeCell ref="E1061:G1061"/>
    <mergeCell ref="E1062:G1062"/>
    <mergeCell ref="E1055:G1055"/>
  </mergeCells>
  <phoneticPr fontId="31" type="noConversion"/>
  <conditionalFormatting sqref="E51">
    <cfRule type="cellIs" dxfId="51" priority="195" stopIfTrue="1" operator="equal">
      <formula>EUconst_ERR_Mandatory_ef</formula>
    </cfRule>
  </conditionalFormatting>
  <conditionalFormatting sqref="E52">
    <cfRule type="cellIs" dxfId="50" priority="196" stopIfTrue="1" operator="equal">
      <formula>EUconst_ERR_Mandatory_g</formula>
    </cfRule>
  </conditionalFormatting>
  <conditionalFormatting sqref="I93:M110 I113:M130">
    <cfRule type="expression" dxfId="49" priority="186" stopIfTrue="1">
      <formula>I93=EUconst_NA</formula>
    </cfRule>
  </conditionalFormatting>
  <conditionalFormatting sqref="I221:M235">
    <cfRule type="expression" dxfId="48" priority="113" stopIfTrue="1">
      <formula>I221=0</formula>
    </cfRule>
  </conditionalFormatting>
  <conditionalFormatting sqref="I485:M485">
    <cfRule type="expression" dxfId="47" priority="163" stopIfTrue="1">
      <formula>I485=EUconst_NA</formula>
    </cfRule>
  </conditionalFormatting>
  <conditionalFormatting sqref="I485:M525">
    <cfRule type="expression" dxfId="46" priority="55" stopIfTrue="1">
      <formula>I485=0</formula>
    </cfRule>
  </conditionalFormatting>
  <conditionalFormatting sqref="I545:M545">
    <cfRule type="expression" dxfId="45" priority="51" stopIfTrue="1">
      <formula>I545=EUconst_NA</formula>
    </cfRule>
  </conditionalFormatting>
  <conditionalFormatting sqref="I545:M585">
    <cfRule type="expression" dxfId="44" priority="49" stopIfTrue="1">
      <formula>I545=0</formula>
    </cfRule>
  </conditionalFormatting>
  <conditionalFormatting sqref="I605:M605">
    <cfRule type="expression" dxfId="43" priority="45" stopIfTrue="1">
      <formula>I605=EUconst_NA</formula>
    </cfRule>
  </conditionalFormatting>
  <conditionalFormatting sqref="I605:M645">
    <cfRule type="expression" dxfId="42" priority="43" stopIfTrue="1">
      <formula>I605=0</formula>
    </cfRule>
  </conditionalFormatting>
  <conditionalFormatting sqref="I665:M665">
    <cfRule type="expression" dxfId="41" priority="39" stopIfTrue="1">
      <formula>I665=EUconst_NA</formula>
    </cfRule>
  </conditionalFormatting>
  <conditionalFormatting sqref="I665:M705">
    <cfRule type="expression" dxfId="40" priority="37" stopIfTrue="1">
      <formula>I665=0</formula>
    </cfRule>
  </conditionalFormatting>
  <conditionalFormatting sqref="I725:M725">
    <cfRule type="expression" dxfId="39" priority="33" stopIfTrue="1">
      <formula>I725=EUconst_NA</formula>
    </cfRule>
  </conditionalFormatting>
  <conditionalFormatting sqref="I725:M765">
    <cfRule type="expression" dxfId="38" priority="31" stopIfTrue="1">
      <formula>I725=0</formula>
    </cfRule>
  </conditionalFormatting>
  <conditionalFormatting sqref="I785:M785">
    <cfRule type="expression" dxfId="37" priority="27" stopIfTrue="1">
      <formula>I785=EUconst_NA</formula>
    </cfRule>
  </conditionalFormatting>
  <conditionalFormatting sqref="I785:M825">
    <cfRule type="expression" dxfId="36" priority="25" stopIfTrue="1">
      <formula>I785=0</formula>
    </cfRule>
  </conditionalFormatting>
  <conditionalFormatting sqref="I845:M845">
    <cfRule type="expression" dxfId="35" priority="21" stopIfTrue="1">
      <formula>I845=EUconst_NA</formula>
    </cfRule>
  </conditionalFormatting>
  <conditionalFormatting sqref="I845:M885">
    <cfRule type="expression" dxfId="34" priority="19" stopIfTrue="1">
      <formula>I845=0</formula>
    </cfRule>
  </conditionalFormatting>
  <conditionalFormatting sqref="I905:M905">
    <cfRule type="expression" dxfId="33" priority="15" stopIfTrue="1">
      <formula>I905=EUconst_NA</formula>
    </cfRule>
  </conditionalFormatting>
  <conditionalFormatting sqref="I905:M945">
    <cfRule type="expression" dxfId="32" priority="13" stopIfTrue="1">
      <formula>I905=0</formula>
    </cfRule>
  </conditionalFormatting>
  <conditionalFormatting sqref="I965:M965">
    <cfRule type="expression" dxfId="31" priority="9" stopIfTrue="1">
      <formula>I965=EUconst_NA</formula>
    </cfRule>
  </conditionalFormatting>
  <conditionalFormatting sqref="I965:M1005">
    <cfRule type="expression" dxfId="30" priority="7" stopIfTrue="1">
      <formula>I965=0</formula>
    </cfRule>
  </conditionalFormatting>
  <conditionalFormatting sqref="I1025:M1025">
    <cfRule type="expression" dxfId="29" priority="3" stopIfTrue="1">
      <formula>I1025=EUconst_NA</formula>
    </cfRule>
  </conditionalFormatting>
  <conditionalFormatting sqref="I1025:M1065">
    <cfRule type="expression" dxfId="28" priority="1" stopIfTrue="1">
      <formula>I1025=0</formula>
    </cfRule>
  </conditionalFormatting>
  <conditionalFormatting sqref="I1087:M1088">
    <cfRule type="expression" dxfId="27" priority="118" stopIfTrue="1">
      <formula>I1087=0</formula>
    </cfRule>
  </conditionalFormatting>
  <conditionalFormatting sqref="I1089:M1089">
    <cfRule type="expression" dxfId="26" priority="155" stopIfTrue="1">
      <formula>I1089=EUconst_NA</formula>
    </cfRule>
    <cfRule type="expression" dxfId="25" priority="156" stopIfTrue="1">
      <formula>I1089=0</formula>
    </cfRule>
  </conditionalFormatting>
  <conditionalFormatting sqref="I1091:M1107">
    <cfRule type="expression" dxfId="24" priority="153" stopIfTrue="1">
      <formula>I1091=0</formula>
    </cfRule>
  </conditionalFormatting>
  <conditionalFormatting sqref="I1127:M1128">
    <cfRule type="expression" dxfId="23" priority="116" stopIfTrue="1">
      <formula>I1127=0</formula>
    </cfRule>
  </conditionalFormatting>
  <conditionalFormatting sqref="I1129:M1129">
    <cfRule type="expression" dxfId="22" priority="149" stopIfTrue="1">
      <formula>I1129=EUconst_NA</formula>
    </cfRule>
    <cfRule type="expression" dxfId="21" priority="150" stopIfTrue="1">
      <formula>I1129=0</formula>
    </cfRule>
  </conditionalFormatting>
  <conditionalFormatting sqref="I1131:M1147">
    <cfRule type="expression" dxfId="20" priority="147" stopIfTrue="1">
      <formula>I1131=0</formula>
    </cfRule>
  </conditionalFormatting>
  <conditionalFormatting sqref="I1167:M1168">
    <cfRule type="expression" dxfId="19" priority="114" stopIfTrue="1">
      <formula>I1167=0</formula>
    </cfRule>
  </conditionalFormatting>
  <conditionalFormatting sqref="I1169:M1169">
    <cfRule type="expression" dxfId="18" priority="143" stopIfTrue="1">
      <formula>I1169=EUconst_NA</formula>
    </cfRule>
    <cfRule type="expression" dxfId="17" priority="144" stopIfTrue="1">
      <formula>I1169=0</formula>
    </cfRule>
  </conditionalFormatting>
  <conditionalFormatting sqref="I1171:M1187">
    <cfRule type="expression" dxfId="16" priority="141" stopIfTrue="1">
      <formula>I1171=0</formula>
    </cfRule>
  </conditionalFormatting>
  <conditionalFormatting sqref="I1207:M1207">
    <cfRule type="expression" dxfId="15" priority="137" stopIfTrue="1">
      <formula>I1207=EUconst_NA</formula>
    </cfRule>
    <cfRule type="expression" dxfId="14" priority="138" stopIfTrue="1">
      <formula>I1207=0</formula>
    </cfRule>
  </conditionalFormatting>
  <conditionalFormatting sqref="I1209:M1217">
    <cfRule type="expression" dxfId="13" priority="57" stopIfTrue="1">
      <formula>I1209=0</formula>
    </cfRule>
  </conditionalFormatting>
  <conditionalFormatting sqref="I1237:M1237">
    <cfRule type="expression" dxfId="12" priority="130" stopIfTrue="1">
      <formula>I1237=EUconst_NA</formula>
    </cfRule>
    <cfRule type="expression" dxfId="11" priority="131" stopIfTrue="1">
      <formula>I1237=0</formula>
    </cfRule>
  </conditionalFormatting>
  <conditionalFormatting sqref="I1239:M1247">
    <cfRule type="expression" dxfId="10" priority="56" stopIfTrue="1">
      <formula>I1239=0</formula>
    </cfRule>
  </conditionalFormatting>
  <conditionalFormatting sqref="I1267:M1267">
    <cfRule type="expression" dxfId="9" priority="124" stopIfTrue="1">
      <formula>I1267=EUconst_NA</formula>
    </cfRule>
    <cfRule type="expression" dxfId="8" priority="125" stopIfTrue="1">
      <formula>I1267=0</formula>
    </cfRule>
  </conditionalFormatting>
  <conditionalFormatting sqref="I1287:M1287">
    <cfRule type="expression" dxfId="7" priority="122" stopIfTrue="1">
      <formula>I1287=0</formula>
    </cfRule>
    <cfRule type="expression" dxfId="6" priority="121" stopIfTrue="1">
      <formula>I1287=EUconst_NA</formula>
    </cfRule>
  </conditionalFormatting>
  <conditionalFormatting sqref="I1355:M1355">
    <cfRule type="expression" dxfId="5" priority="120" stopIfTrue="1">
      <formula>NOT(ISBLANK(I1355))</formula>
    </cfRule>
  </conditionalFormatting>
  <dataValidations count="2">
    <dataValidation type="decimal" allowBlank="1" showInputMessage="1" showErrorMessage="1" errorTitle="Incorrect Value" error="0 &lt; CCF &lt; 1_x000a_The value of the cross-sectoral correction factor must be between 0 and 100%." sqref="I1355:M1355" xr:uid="{BA2047A9-B9EE-4747-96D2-20880A769541}">
      <formula1>0</formula1>
      <formula2>1</formula2>
    </dataValidation>
    <dataValidation type="list" allowBlank="1" showInputMessage="1" showErrorMessage="1" sqref="L1311" xr:uid="{369DE80F-FA18-4366-BFA7-63420B100540}">
      <formula1>EUconst_MinOrMaxOrActual</formula1>
    </dataValidation>
  </dataValidations>
  <hyperlinks>
    <hyperlink ref="G2:H2" location="JUMP_TOC_Home" display="Table of contents" xr:uid="{E9CEC629-40D5-499A-86E3-A172ED97C9D4}"/>
    <hyperlink ref="I2:J2" location="JUMP_J_Top" display="Previous sheet" xr:uid="{EEBB1D85-77EB-4098-8948-FE6C088319E8}"/>
    <hyperlink ref="E4:F4" location="JUMP_K_Bottom" display="End of sheet" xr:uid="{C3B30E21-B3A5-460F-B340-BD0CC3ECBAE2}"/>
    <hyperlink ref="E3:F3" location="JUMP_K_Top" display="Top of sheet" xr:uid="{8B232506-B85F-442A-A126-72E79874DD98}"/>
    <hyperlink ref="E1387:N1387" location="JUMP_K_V_Disclaimer" display="The results displayed here are by no means legally binding. Please see disclaimer in the introduction of this section." xr:uid="{8BFC27E6-1C85-4EEC-B062-6CB389916A54}"/>
    <hyperlink ref="G3:H3" location="JUMP_K_I" display="Installation data" xr:uid="{64F4B893-5133-454B-9CD7-FF4B69B922FA}"/>
    <hyperlink ref="I3:J3" location="JUMP_K_II" display="Baseline Period &amp; Eligibility" xr:uid="{79592C83-9133-4DBF-B415-7913D0576B89}"/>
    <hyperlink ref="K3:L3" location="JUMP_K_III" display="Emissions &amp; Energy Flows" xr:uid="{C0CF8580-1F35-4D76-9378-475E5C476F9C}"/>
    <hyperlink ref="M3:N3" location="JUMP_K_IV" display="Sub-installation Data" xr:uid="{B9295B2F-655A-492F-852E-820554312B57}"/>
    <hyperlink ref="G4:H4" location="JUMP_K_V" display="Preliminary allocation" xr:uid="{3964E7B5-1A82-404C-B341-CEB0FCAB3A79}"/>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39B07-FB59-44F0-ADFA-79DCAF82A28C}">
  <sheetPr codeName="Tabelle13">
    <tabColor indexed="12"/>
    <pageSetUpPr fitToPage="1"/>
  </sheetPr>
  <dimension ref="A1:AF266"/>
  <sheetViews>
    <sheetView topLeftCell="A61" zoomScaleNormal="100" workbookViewId="0">
      <selection activeCell="B70" sqref="B70"/>
    </sheetView>
  </sheetViews>
  <sheetFormatPr defaultColWidth="11.44140625" defaultRowHeight="13.2" x14ac:dyDescent="0.25"/>
  <cols>
    <col min="1" max="1" width="34.44140625" customWidth="1"/>
  </cols>
  <sheetData>
    <row r="1" spans="1:18" x14ac:dyDescent="0.25">
      <c r="A1" s="85" t="str">
        <f>Translations!$B$340</f>
        <v>Name</v>
      </c>
      <c r="B1" s="85" t="str">
        <f>Translations!$B$1287</f>
        <v>Constant</v>
      </c>
      <c r="C1" s="85" t="str">
        <f>Translations!$B$1288</f>
        <v>Further constants</v>
      </c>
      <c r="D1" s="86"/>
      <c r="E1" s="86"/>
      <c r="F1" s="86"/>
      <c r="G1" s="86"/>
      <c r="H1" s="86"/>
    </row>
    <row r="2" spans="1:18" x14ac:dyDescent="0.25">
      <c r="A2" s="146" t="s">
        <v>668</v>
      </c>
      <c r="B2" s="476" t="b">
        <v>1</v>
      </c>
    </row>
    <row r="3" spans="1:18" x14ac:dyDescent="0.25">
      <c r="A3" t="s">
        <v>669</v>
      </c>
      <c r="B3" s="87">
        <v>2014</v>
      </c>
      <c r="C3" s="87">
        <v>2015</v>
      </c>
      <c r="D3" s="87">
        <v>2016</v>
      </c>
      <c r="E3" s="87">
        <v>2017</v>
      </c>
      <c r="F3" s="87">
        <v>2018</v>
      </c>
    </row>
    <row r="4" spans="1:18" x14ac:dyDescent="0.25">
      <c r="A4" s="45" t="s">
        <v>670</v>
      </c>
      <c r="B4" s="87">
        <v>2014</v>
      </c>
      <c r="C4" s="87">
        <v>2015</v>
      </c>
      <c r="D4" s="87">
        <v>2016</v>
      </c>
      <c r="E4" s="87">
        <v>2017</v>
      </c>
      <c r="F4" s="87">
        <v>2018</v>
      </c>
      <c r="G4" s="87">
        <v>2019</v>
      </c>
      <c r="H4" s="87">
        <v>2020</v>
      </c>
      <c r="I4" s="87">
        <v>2021</v>
      </c>
      <c r="J4" s="87">
        <v>2022</v>
      </c>
      <c r="K4" s="87">
        <v>2023</v>
      </c>
      <c r="L4" s="87">
        <v>2024</v>
      </c>
      <c r="M4" s="87">
        <v>2025</v>
      </c>
      <c r="N4" s="87">
        <v>2026</v>
      </c>
      <c r="O4" s="87">
        <v>2027</v>
      </c>
      <c r="P4" s="87">
        <v>2028</v>
      </c>
      <c r="Q4" s="87">
        <v>2029</v>
      </c>
      <c r="R4" s="87">
        <v>2030</v>
      </c>
    </row>
    <row r="5" spans="1:18" x14ac:dyDescent="0.25">
      <c r="A5" t="s">
        <v>671</v>
      </c>
      <c r="B5" s="87" t="s">
        <v>672</v>
      </c>
      <c r="C5" s="87" t="s">
        <v>261</v>
      </c>
      <c r="D5" s="5"/>
      <c r="E5" s="5"/>
      <c r="F5" s="5"/>
      <c r="G5" s="5"/>
    </row>
    <row r="6" spans="1:18" x14ac:dyDescent="0.25">
      <c r="A6" t="s">
        <v>673</v>
      </c>
      <c r="B6" s="87" t="b">
        <v>1</v>
      </c>
      <c r="C6" s="87" t="b">
        <v>0</v>
      </c>
    </row>
    <row r="7" spans="1:18" x14ac:dyDescent="0.25">
      <c r="A7" t="s">
        <v>674</v>
      </c>
      <c r="B7" s="87" t="b">
        <v>1</v>
      </c>
      <c r="C7" s="87" t="b">
        <v>0</v>
      </c>
      <c r="D7" s="88" t="str">
        <f>EUconst_NA</f>
        <v>N.A.</v>
      </c>
    </row>
    <row r="8" spans="1:18" x14ac:dyDescent="0.25">
      <c r="A8" t="s">
        <v>675</v>
      </c>
      <c r="B8" s="87" t="str">
        <f>Translations!$B$1289</f>
        <v>Absolute values</v>
      </c>
      <c r="C8" s="87" t="str">
        <f>Translations!$B$1290</f>
        <v>Percentages</v>
      </c>
    </row>
    <row r="9" spans="1:18" x14ac:dyDescent="0.25">
      <c r="A9" t="s">
        <v>676</v>
      </c>
      <c r="B9" s="87" t="str">
        <f>Translations!$B$1291</f>
        <v>N.A.</v>
      </c>
    </row>
    <row r="10" spans="1:18" x14ac:dyDescent="0.25">
      <c r="A10" t="s">
        <v>677</v>
      </c>
      <c r="B10" s="9" t="s">
        <v>678</v>
      </c>
    </row>
    <row r="11" spans="1:18" x14ac:dyDescent="0.25">
      <c r="A11" t="s">
        <v>679</v>
      </c>
      <c r="B11" s="87" t="str">
        <f>Translations!$B$1196</f>
        <v>Unit</v>
      </c>
    </row>
    <row r="12" spans="1:18" x14ac:dyDescent="0.25">
      <c r="A12" t="s">
        <v>680</v>
      </c>
      <c r="B12" s="87" t="str">
        <f>Translations!$B$1293</f>
        <v>Month</v>
      </c>
    </row>
    <row r="13" spans="1:18" x14ac:dyDescent="0.25">
      <c r="A13" t="s">
        <v>681</v>
      </c>
      <c r="B13" s="87" t="str">
        <f>Translations!$B$1294</f>
        <v>Fuel</v>
      </c>
    </row>
    <row r="14" spans="1:18" x14ac:dyDescent="0.25">
      <c r="A14" t="s">
        <v>682</v>
      </c>
      <c r="B14" s="87" t="str">
        <f>Translations!$B$1295</f>
        <v>Benchmark</v>
      </c>
    </row>
    <row r="15" spans="1:18" x14ac:dyDescent="0.25">
      <c r="A15" t="s">
        <v>683</v>
      </c>
      <c r="B15" s="87" t="str">
        <f>Translations!$B$1296</f>
        <v>Sub-installation with product benchmark</v>
      </c>
    </row>
    <row r="16" spans="1:18" x14ac:dyDescent="0.25">
      <c r="A16" t="s">
        <v>684</v>
      </c>
      <c r="B16" s="87" t="str">
        <f>Translations!$B$1297</f>
        <v>Fall-Back sub-installation</v>
      </c>
    </row>
    <row r="17" spans="1:2" x14ac:dyDescent="0.25">
      <c r="A17" t="s">
        <v>685</v>
      </c>
      <c r="B17" s="87" t="str">
        <f>Translations!$B$1298</f>
        <v>year</v>
      </c>
    </row>
    <row r="18" spans="1:2" x14ac:dyDescent="0.25">
      <c r="A18" t="s">
        <v>686</v>
      </c>
      <c r="B18" s="87" t="str">
        <f>Translations!$B$1299</f>
        <v>tonnes</v>
      </c>
    </row>
    <row r="19" spans="1:2" x14ac:dyDescent="0.25">
      <c r="A19" t="s">
        <v>687</v>
      </c>
      <c r="B19" s="87" t="s">
        <v>688</v>
      </c>
    </row>
    <row r="20" spans="1:2" x14ac:dyDescent="0.25">
      <c r="A20" t="s">
        <v>689</v>
      </c>
      <c r="B20" s="87" t="s">
        <v>690</v>
      </c>
    </row>
    <row r="21" spans="1:2" x14ac:dyDescent="0.25">
      <c r="A21" t="s">
        <v>691</v>
      </c>
      <c r="B21" s="87" t="s">
        <v>692</v>
      </c>
    </row>
    <row r="22" spans="1:2" x14ac:dyDescent="0.25">
      <c r="A22" t="s">
        <v>693</v>
      </c>
      <c r="B22" s="87" t="s">
        <v>694</v>
      </c>
    </row>
    <row r="23" spans="1:2" x14ac:dyDescent="0.25">
      <c r="A23" t="s">
        <v>695</v>
      </c>
      <c r="B23" s="87" t="s">
        <v>696</v>
      </c>
    </row>
    <row r="24" spans="1:2" x14ac:dyDescent="0.25">
      <c r="A24" t="s">
        <v>697</v>
      </c>
      <c r="B24" s="87" t="str">
        <f>EUconst_TJ&amp;" / "&amp;EUconst_Year</f>
        <v>TJ / year</v>
      </c>
    </row>
    <row r="25" spans="1:2" x14ac:dyDescent="0.25">
      <c r="A25" t="s">
        <v>698</v>
      </c>
      <c r="B25" s="87" t="s">
        <v>699</v>
      </c>
    </row>
    <row r="26" spans="1:2" x14ac:dyDescent="0.25">
      <c r="A26" t="s">
        <v>700</v>
      </c>
      <c r="B26" s="87" t="str">
        <f>EUconst_MWh&amp;" / "&amp;EUconst_Year</f>
        <v>MWh / year</v>
      </c>
    </row>
    <row r="27" spans="1:2" x14ac:dyDescent="0.25">
      <c r="A27" t="s">
        <v>701</v>
      </c>
      <c r="B27" s="87" t="s">
        <v>702</v>
      </c>
    </row>
    <row r="28" spans="1:2" x14ac:dyDescent="0.25">
      <c r="A28" t="s">
        <v>703</v>
      </c>
      <c r="B28" s="87" t="str">
        <f>EUconst_t&amp;" / "&amp;EUconst_Year</f>
        <v>t / year</v>
      </c>
    </row>
    <row r="29" spans="1:2" x14ac:dyDescent="0.25">
      <c r="A29" t="s">
        <v>704</v>
      </c>
      <c r="B29" s="87" t="str">
        <f>EUconst_EUA&amp;" / "&amp;EUconst_Year</f>
        <v>UKA / year</v>
      </c>
    </row>
    <row r="30" spans="1:2" x14ac:dyDescent="0.25">
      <c r="A30" t="s">
        <v>705</v>
      </c>
      <c r="B30" s="87" t="str">
        <f>EUconst_EUA&amp;" / "&amp;EUconst_t</f>
        <v>UKA / t</v>
      </c>
    </row>
    <row r="31" spans="1:2" x14ac:dyDescent="0.25">
      <c r="A31" t="s">
        <v>706</v>
      </c>
      <c r="B31" s="87" t="str">
        <f>EUconst_GJ&amp;" / "&amp;EUconst_t</f>
        <v>GJ / t</v>
      </c>
    </row>
    <row r="32" spans="1:2" x14ac:dyDescent="0.25">
      <c r="A32" t="s">
        <v>707</v>
      </c>
      <c r="B32" s="87" t="str">
        <f>EUconst_GJ&amp;" / "&amp;EUconst_Year</f>
        <v>GJ / year</v>
      </c>
    </row>
    <row r="33" spans="1:5" x14ac:dyDescent="0.25">
      <c r="A33" t="s">
        <v>708</v>
      </c>
      <c r="B33" s="87" t="str">
        <f>EUconst_tCO2&amp;" / "&amp;EUconst_TJ</f>
        <v>t CO2 / TJ</v>
      </c>
    </row>
    <row r="34" spans="1:5" x14ac:dyDescent="0.25">
      <c r="A34" t="s">
        <v>709</v>
      </c>
      <c r="B34" s="87" t="str">
        <f>EUconst_tCO2&amp;" / "&amp;EUconst_Year</f>
        <v>t CO2 / year</v>
      </c>
    </row>
    <row r="35" spans="1:5" x14ac:dyDescent="0.25">
      <c r="A35" t="s">
        <v>710</v>
      </c>
      <c r="B35" s="87" t="str">
        <f>EUconst_tCO2&amp;" / "&amp;EUconst_t</f>
        <v>t CO2 / t</v>
      </c>
    </row>
    <row r="36" spans="1:5" x14ac:dyDescent="0.25">
      <c r="A36" t="s">
        <v>711</v>
      </c>
      <c r="B36" s="87" t="str">
        <f>EUconst_tN2O&amp;" / "&amp;EUconst_Year</f>
        <v>t N2O / year</v>
      </c>
    </row>
    <row r="37" spans="1:5" x14ac:dyDescent="0.25">
      <c r="A37" t="s">
        <v>712</v>
      </c>
      <c r="B37" s="87" t="s">
        <v>713</v>
      </c>
    </row>
    <row r="38" spans="1:5" x14ac:dyDescent="0.25">
      <c r="A38" t="s">
        <v>714</v>
      </c>
      <c r="B38" s="87" t="str">
        <f>EUconst_tCO2e&amp;"/"&amp;EUconst_Year</f>
        <v>t CO2e/year</v>
      </c>
    </row>
    <row r="39" spans="1:5" x14ac:dyDescent="0.25">
      <c r="A39" t="s">
        <v>715</v>
      </c>
      <c r="B39" s="87" t="str">
        <f>EUconst_tCO2e&amp;"/"&amp;EUconst_t</f>
        <v>t CO2e/t</v>
      </c>
    </row>
    <row r="40" spans="1:5" x14ac:dyDescent="0.25">
      <c r="A40" t="s">
        <v>716</v>
      </c>
      <c r="B40" s="87" t="str">
        <f>Translations!$B$1300</f>
        <v>or</v>
      </c>
    </row>
    <row r="41" spans="1:5" x14ac:dyDescent="0.25">
      <c r="A41" t="s">
        <v>717</v>
      </c>
      <c r="B41" s="87" t="str">
        <f>"% "&amp;EUconst_Or&amp;" "&amp;EUconst_TJpa</f>
        <v>% or TJ / year</v>
      </c>
    </row>
    <row r="42" spans="1:5" x14ac:dyDescent="0.25">
      <c r="A42" t="s">
        <v>718</v>
      </c>
      <c r="B42" s="87" t="str">
        <f>"% "&amp;EUconst_Or&amp;" "&amp;EUconst_MWhpa</f>
        <v>% or MWh / year</v>
      </c>
    </row>
    <row r="43" spans="1:5" x14ac:dyDescent="0.25">
      <c r="A43" t="s">
        <v>719</v>
      </c>
      <c r="B43" s="87" t="str">
        <f>"% "&amp;EUconst_Or&amp;" "&amp;EUconst_tCO2pa</f>
        <v>% or t CO2 / year</v>
      </c>
    </row>
    <row r="44" spans="1:5" x14ac:dyDescent="0.25">
      <c r="A44" t="s">
        <v>720</v>
      </c>
      <c r="B44" s="87" t="str">
        <f>Translations!$B$240</f>
        <v>Installation covered by ETS</v>
      </c>
      <c r="C44" s="87" t="str">
        <f>Translations!$B$241</f>
        <v>Installation outside ETS</v>
      </c>
      <c r="D44" s="87" t="str">
        <f>Translations!$B$242</f>
        <v>Installation producing Nitric Acid</v>
      </c>
      <c r="E44" s="87" t="str">
        <f>Translations!$B$243</f>
        <v>Heat distribution network</v>
      </c>
    </row>
    <row r="45" spans="1:5" x14ac:dyDescent="0.25">
      <c r="A45" t="s">
        <v>721</v>
      </c>
      <c r="B45" s="87" t="str">
        <f>Translations!$B$249</f>
        <v>Measurable heat</v>
      </c>
      <c r="C45" s="87" t="str">
        <f>Translations!$B$250</f>
        <v>Waste gas</v>
      </c>
      <c r="D45" s="9" t="str">
        <f>Translations!$B$1301</f>
        <v>transferred CO2</v>
      </c>
      <c r="E45" s="9" t="str">
        <f>Translations!$B$1302</f>
        <v>Intermediate products</v>
      </c>
    </row>
    <row r="46" spans="1:5" x14ac:dyDescent="0.25">
      <c r="A46" t="s">
        <v>722</v>
      </c>
      <c r="B46" s="87" t="str">
        <f>Translations!$B$1303</f>
        <v>Heat</v>
      </c>
      <c r="C46" s="87" t="str">
        <f>Translations!$B$250</f>
        <v>Waste gas</v>
      </c>
      <c r="D46" s="87" t="s">
        <v>723</v>
      </c>
    </row>
    <row r="47" spans="1:5" x14ac:dyDescent="0.25">
      <c r="A47" t="s">
        <v>724</v>
      </c>
      <c r="B47" s="145" t="str">
        <f>Translations!$B$1304</f>
        <v>Import</v>
      </c>
      <c r="C47" s="145" t="str">
        <f>Translations!$B$1305</f>
        <v>Export</v>
      </c>
    </row>
    <row r="48" spans="1:5" x14ac:dyDescent="0.25">
      <c r="A48" t="s">
        <v>725</v>
      </c>
      <c r="B48" s="87" t="str">
        <f>Translations!$B$1306</f>
        <v>Within installation</v>
      </c>
    </row>
    <row r="49" spans="1:10" x14ac:dyDescent="0.25">
      <c r="A49" t="s">
        <v>726</v>
      </c>
      <c r="B49" s="87" t="str">
        <f>Translations!$B$1307</f>
        <v>Production of goods</v>
      </c>
      <c r="C49" s="87" t="str">
        <f>Translations!$B$1308</f>
        <v>mechanical energy</v>
      </c>
      <c r="D49" s="87" t="str">
        <f>Translations!$B$1309</f>
        <v>heating</v>
      </c>
      <c r="E49" s="87" t="str">
        <f>Translations!$B$1310</f>
        <v>cooling</v>
      </c>
      <c r="F49" s="87" t="str">
        <f>Translations!$B$1311</f>
        <v>unknown</v>
      </c>
    </row>
    <row r="50" spans="1:10" x14ac:dyDescent="0.25">
      <c r="A50" t="s">
        <v>727</v>
      </c>
      <c r="B50" s="87" t="str">
        <f>Translations!$B$1307</f>
        <v>Production of goods</v>
      </c>
      <c r="C50" s="87" t="str">
        <f>Translations!$B$1308</f>
        <v>mechanical energy</v>
      </c>
      <c r="D50" s="87" t="str">
        <f>Translations!$B$1309</f>
        <v>heating</v>
      </c>
      <c r="E50" s="87" t="str">
        <f>Translations!$B$1310</f>
        <v>cooling</v>
      </c>
    </row>
    <row r="51" spans="1:10" x14ac:dyDescent="0.25">
      <c r="A51" t="s">
        <v>728</v>
      </c>
      <c r="B51" s="145" t="s">
        <v>729</v>
      </c>
      <c r="C51" s="145" t="str">
        <f>Translations!$B$1312</f>
        <v>PFCs</v>
      </c>
      <c r="D51" s="9" t="str">
        <f>Translations!$B$1313</f>
        <v>CO2 (waste gas corrected)</v>
      </c>
      <c r="E51" s="87" t="str">
        <f>Translations!$B$1314</f>
        <v>reduction of metals compounds</v>
      </c>
      <c r="F51" s="87" t="str">
        <f>Translations!$B$1315</f>
        <v>removal of impurities</v>
      </c>
      <c r="G51" s="87" t="str">
        <f>Translations!$B$1316</f>
        <v>decomposition of carbonates</v>
      </c>
      <c r="H51" s="87" t="str">
        <f>Translations!$B$1317</f>
        <v>chemical synthesis</v>
      </c>
      <c r="I51" s="87" t="str">
        <f>Translations!$B$1318</f>
        <v>carbon containing materials</v>
      </c>
      <c r="J51" s="87" t="str">
        <f>Translations!$B$1319</f>
        <v>reduction of metalloid oxides and non-metal oxides</v>
      </c>
    </row>
    <row r="52" spans="1:10" x14ac:dyDescent="0.25">
      <c r="A52" t="s">
        <v>730</v>
      </c>
      <c r="B52" s="1113">
        <f>S259</f>
        <v>47.3</v>
      </c>
      <c r="C52" s="220"/>
    </row>
    <row r="53" spans="1:10" x14ac:dyDescent="0.25">
      <c r="A53" t="s">
        <v>731</v>
      </c>
      <c r="B53" s="145">
        <v>0.376</v>
      </c>
      <c r="C53" s="220"/>
    </row>
    <row r="54" spans="1:10" x14ac:dyDescent="0.25">
      <c r="A54" t="s">
        <v>732</v>
      </c>
      <c r="B54" s="1113">
        <f>S262</f>
        <v>42.6</v>
      </c>
      <c r="C54" s="220"/>
    </row>
    <row r="55" spans="1:10" x14ac:dyDescent="0.25">
      <c r="A55" t="s">
        <v>733</v>
      </c>
      <c r="B55" s="1114">
        <v>2E-3</v>
      </c>
      <c r="C55" s="1114">
        <v>1.6E-2</v>
      </c>
    </row>
    <row r="56" spans="1:10" x14ac:dyDescent="0.25">
      <c r="A56" t="s">
        <v>734</v>
      </c>
      <c r="B56" s="145" t="str">
        <f>Translations!$B$1320</f>
        <v>relevant</v>
      </c>
      <c r="C56" s="220"/>
    </row>
    <row r="57" spans="1:10" x14ac:dyDescent="0.25">
      <c r="A57" t="s">
        <v>735</v>
      </c>
      <c r="B57" s="145" t="str">
        <f>Translations!$B$1321</f>
        <v>not relevant</v>
      </c>
      <c r="C57" s="220"/>
    </row>
    <row r="58" spans="1:10" x14ac:dyDescent="0.25">
      <c r="A58" t="s">
        <v>736</v>
      </c>
      <c r="B58" s="145" t="str">
        <f>EUconst_Relevant</f>
        <v>relevant</v>
      </c>
      <c r="C58" s="145" t="str">
        <f>EUconst_NotRelevant</f>
        <v>not relevant</v>
      </c>
    </row>
    <row r="59" spans="1:10" x14ac:dyDescent="0.25">
      <c r="A59" t="s">
        <v>737</v>
      </c>
      <c r="B59" s="145" t="str">
        <f>Translations!$B$1322</f>
        <v>Carbon leakage</v>
      </c>
      <c r="C59" s="145" t="str">
        <f>Translations!$B$1323</f>
        <v>not exposed to carbon leakage</v>
      </c>
    </row>
    <row r="60" spans="1:10" x14ac:dyDescent="0.25">
      <c r="A60" t="s">
        <v>738</v>
      </c>
      <c r="B60" s="145" t="str">
        <f>"1000Nm3/"&amp;EUconst_Year</f>
        <v>1000Nm3/year</v>
      </c>
      <c r="C60" s="220"/>
    </row>
    <row r="61" spans="1:10" x14ac:dyDescent="0.25">
      <c r="A61" t="s">
        <v>739</v>
      </c>
      <c r="B61" s="145" t="str">
        <f>EUconst_tpa</f>
        <v>t / year</v>
      </c>
      <c r="C61" s="145" t="str">
        <f>B60</f>
        <v>1000Nm3/year</v>
      </c>
    </row>
    <row r="62" spans="1:10" x14ac:dyDescent="0.25">
      <c r="A62" t="s">
        <v>740</v>
      </c>
      <c r="B62" s="145" t="str">
        <f>EUconst_GJpt</f>
        <v>GJ / t</v>
      </c>
      <c r="C62" s="145" t="str">
        <f>Translations!$B$1324</f>
        <v>GJ/1000Nm3</v>
      </c>
    </row>
    <row r="63" spans="1:10" x14ac:dyDescent="0.25">
      <c r="A63" t="s">
        <v>741</v>
      </c>
      <c r="B63" s="145" t="str">
        <f>EUconst_tCO2pTJ</f>
        <v>t CO2 / TJ</v>
      </c>
      <c r="C63" s="145" t="str">
        <f>B64</f>
        <v>t CO2/1000Nm3</v>
      </c>
      <c r="D63" s="87" t="str">
        <f>EUconst_tCO2pt</f>
        <v>t CO2 / t</v>
      </c>
    </row>
    <row r="64" spans="1:10" x14ac:dyDescent="0.25">
      <c r="A64" t="s">
        <v>742</v>
      </c>
      <c r="B64" s="145" t="str">
        <f>EUconst_tCO2 &amp; "/1000Nm3"</f>
        <v>t CO2/1000Nm3</v>
      </c>
      <c r="C64" s="145"/>
      <c r="D64" s="87"/>
    </row>
    <row r="65" spans="1:3" x14ac:dyDescent="0.25">
      <c r="A65" t="s">
        <v>743</v>
      </c>
      <c r="B65" s="145" t="str">
        <f>EUconst_GJ&amp;" / "&amp;EUconst_Unit</f>
        <v>GJ / Unit</v>
      </c>
      <c r="C65" s="220"/>
    </row>
    <row r="66" spans="1:3" x14ac:dyDescent="0.25">
      <c r="A66" t="s">
        <v>744</v>
      </c>
      <c r="B66" s="145" t="str">
        <f>"MNm3/"&amp;EUconst_Year</f>
        <v>MNm3/year</v>
      </c>
      <c r="C66" s="220"/>
    </row>
    <row r="67" spans="1:3" x14ac:dyDescent="0.25">
      <c r="A67" t="s">
        <v>745</v>
      </c>
      <c r="B67" s="145" t="str">
        <f>"CWT / "&amp;EUconst_Year</f>
        <v>CWT / year</v>
      </c>
      <c r="C67" s="220"/>
    </row>
    <row r="68" spans="1:3" x14ac:dyDescent="0.25">
      <c r="A68" t="s">
        <v>746</v>
      </c>
      <c r="B68" s="145" t="str">
        <f>Translations!$B$1325</f>
        <v>allowances</v>
      </c>
      <c r="C68" s="220"/>
    </row>
    <row r="69" spans="1:3" x14ac:dyDescent="0.25">
      <c r="A69" t="s">
        <v>747</v>
      </c>
      <c r="B69" s="145" t="s">
        <v>2574</v>
      </c>
    </row>
    <row r="70" spans="1:3" x14ac:dyDescent="0.25">
      <c r="A70" t="s">
        <v>748</v>
      </c>
      <c r="B70" s="145" t="s">
        <v>2555</v>
      </c>
    </row>
    <row r="71" spans="1:3" x14ac:dyDescent="0.25">
      <c r="A71" t="s">
        <v>749</v>
      </c>
      <c r="B71" s="145" t="str">
        <f>Translations!$B$1328</f>
        <v>The operator confirms that this report may be used by the regulator and the UK ETS Authority</v>
      </c>
    </row>
    <row r="72" spans="1:3" x14ac:dyDescent="0.25">
      <c r="A72" t="s">
        <v>750</v>
      </c>
      <c r="B72" s="145" t="s">
        <v>751</v>
      </c>
      <c r="C72" s="220"/>
    </row>
    <row r="73" spans="1:3" x14ac:dyDescent="0.25">
      <c r="A73" s="45" t="s">
        <v>752</v>
      </c>
      <c r="B73" s="145" t="s">
        <v>753</v>
      </c>
      <c r="C73" s="220"/>
    </row>
    <row r="74" spans="1:3" x14ac:dyDescent="0.25">
      <c r="A74" t="s">
        <v>754</v>
      </c>
      <c r="B74" s="145" t="s">
        <v>755</v>
      </c>
      <c r="C74" s="220"/>
    </row>
    <row r="75" spans="1:3" x14ac:dyDescent="0.25">
      <c r="A75" t="s">
        <v>756</v>
      </c>
      <c r="B75" s="145" t="s">
        <v>757</v>
      </c>
      <c r="C75" s="220"/>
    </row>
    <row r="76" spans="1:3" x14ac:dyDescent="0.25">
      <c r="A76" t="s">
        <v>758</v>
      </c>
      <c r="B76" s="145" t="s">
        <v>759</v>
      </c>
      <c r="C76" s="220"/>
    </row>
    <row r="77" spans="1:3" x14ac:dyDescent="0.25">
      <c r="A77" t="s">
        <v>760</v>
      </c>
      <c r="B77" s="145" t="s">
        <v>761</v>
      </c>
      <c r="C77" s="220"/>
    </row>
    <row r="78" spans="1:3" x14ac:dyDescent="0.25">
      <c r="A78" t="s">
        <v>762</v>
      </c>
      <c r="B78" s="145" t="s">
        <v>763</v>
      </c>
      <c r="C78" s="220"/>
    </row>
    <row r="79" spans="1:3" x14ac:dyDescent="0.25">
      <c r="A79" t="s">
        <v>764</v>
      </c>
      <c r="B79" s="145" t="s">
        <v>765</v>
      </c>
      <c r="C79" s="220"/>
    </row>
    <row r="80" spans="1:3" x14ac:dyDescent="0.25">
      <c r="A80" t="s">
        <v>766</v>
      </c>
      <c r="B80" s="145" t="s">
        <v>767</v>
      </c>
      <c r="C80" s="220"/>
    </row>
    <row r="81" spans="1:32" x14ac:dyDescent="0.25">
      <c r="A81" s="45" t="s">
        <v>768</v>
      </c>
      <c r="B81" s="145" t="s">
        <v>769</v>
      </c>
      <c r="C81" s="220"/>
    </row>
    <row r="82" spans="1:32" x14ac:dyDescent="0.25">
      <c r="A82" s="45" t="s">
        <v>770</v>
      </c>
      <c r="B82" s="145" t="s">
        <v>771</v>
      </c>
      <c r="C82" s="220"/>
    </row>
    <row r="83" spans="1:32" x14ac:dyDescent="0.25">
      <c r="A83" t="s">
        <v>772</v>
      </c>
      <c r="B83" s="145" t="s">
        <v>773</v>
      </c>
      <c r="C83" s="220"/>
    </row>
    <row r="84" spans="1:32" x14ac:dyDescent="0.25">
      <c r="A84" t="s">
        <v>774</v>
      </c>
      <c r="B84" s="145" t="s">
        <v>775</v>
      </c>
      <c r="C84" s="220"/>
    </row>
    <row r="85" spans="1:32" x14ac:dyDescent="0.25">
      <c r="A85" t="s">
        <v>776</v>
      </c>
      <c r="B85" s="145" t="s">
        <v>777</v>
      </c>
      <c r="C85" s="220"/>
    </row>
    <row r="86" spans="1:32" x14ac:dyDescent="0.25">
      <c r="A86" t="s">
        <v>778</v>
      </c>
      <c r="B86" s="145" t="s">
        <v>779</v>
      </c>
      <c r="C86" s="220"/>
    </row>
    <row r="87" spans="1:32" x14ac:dyDescent="0.25">
      <c r="A87" t="s">
        <v>780</v>
      </c>
      <c r="B87" s="145" t="s">
        <v>781</v>
      </c>
      <c r="C87" s="220"/>
    </row>
    <row r="88" spans="1:32" x14ac:dyDescent="0.25">
      <c r="A88" t="s">
        <v>782</v>
      </c>
      <c r="B88" s="145" t="s">
        <v>783</v>
      </c>
      <c r="C88" s="220"/>
    </row>
    <row r="89" spans="1:32" x14ac:dyDescent="0.25">
      <c r="A89" t="s">
        <v>784</v>
      </c>
      <c r="B89" s="145" t="str">
        <f>Translations!$B$1329</f>
        <v>incomplete!</v>
      </c>
      <c r="C89" s="220"/>
    </row>
    <row r="90" spans="1:32" x14ac:dyDescent="0.25">
      <c r="A90" t="s">
        <v>785</v>
      </c>
      <c r="B90" s="145" t="str">
        <f>Translations!$B$1330</f>
        <v>negative!</v>
      </c>
      <c r="C90" s="220"/>
    </row>
    <row r="91" spans="1:32" x14ac:dyDescent="0.25">
      <c r="A91" t="s">
        <v>786</v>
      </c>
      <c r="B91" s="145" t="str">
        <f>Translations!$B$1331</f>
        <v>inconsistent!</v>
      </c>
      <c r="C91" s="220"/>
    </row>
    <row r="92" spans="1:32" x14ac:dyDescent="0.25">
      <c r="A92" t="s">
        <v>787</v>
      </c>
      <c r="B92" s="87" t="str">
        <f>Translations!$B$1332</f>
        <v>O.K.</v>
      </c>
    </row>
    <row r="93" spans="1:32" x14ac:dyDescent="0.25">
      <c r="A93" t="s">
        <v>788</v>
      </c>
      <c r="B93" s="87" t="str">
        <f>Translations!$B$1333</f>
        <v>Date is missing!</v>
      </c>
    </row>
    <row r="94" spans="1:32" x14ac:dyDescent="0.25">
      <c r="A94" t="s">
        <v>789</v>
      </c>
      <c r="B94" s="9" t="s">
        <v>160</v>
      </c>
    </row>
    <row r="95" spans="1:32" x14ac:dyDescent="0.25">
      <c r="A95" t="s">
        <v>790</v>
      </c>
      <c r="B95" s="145" t="str">
        <f>Translations!$B$1334</f>
        <v>non-ETS measurable heat</v>
      </c>
      <c r="C95" s="220"/>
    </row>
    <row r="96" spans="1:32" x14ac:dyDescent="0.25">
      <c r="A96" t="s">
        <v>791</v>
      </c>
      <c r="B96" s="145" t="str">
        <f>Translations!$B$1335</f>
        <v>Austria</v>
      </c>
      <c r="C96" s="145" t="str">
        <f>Translations!$B$1336</f>
        <v>Belgium</v>
      </c>
      <c r="D96" s="87" t="str">
        <f>Translations!$B$1337</f>
        <v>Bulgaria</v>
      </c>
      <c r="E96" s="87" t="str">
        <f>Translations!$B$1338</f>
        <v>Cyprus</v>
      </c>
      <c r="F96" s="190" t="str">
        <f>Translations!$B$1339</f>
        <v>Croatia</v>
      </c>
      <c r="G96" s="87" t="str">
        <f>Translations!$B$1340</f>
        <v>Czech Republic</v>
      </c>
      <c r="H96" s="87" t="str">
        <f>Translations!$B$1341</f>
        <v>Denmark</v>
      </c>
      <c r="I96" s="87" t="str">
        <f>Translations!$B$1342</f>
        <v>Estonia</v>
      </c>
      <c r="J96" s="87" t="str">
        <f>Translations!$B$1343</f>
        <v>Finland</v>
      </c>
      <c r="K96" s="87" t="str">
        <f>Translations!$B$1344</f>
        <v>France</v>
      </c>
      <c r="L96" s="87" t="str">
        <f>Translations!$B$1345</f>
        <v>Germany</v>
      </c>
      <c r="M96" s="87" t="str">
        <f>Translations!$B$1346</f>
        <v>Greece</v>
      </c>
      <c r="N96" s="87" t="str">
        <f>Translations!$B$1347</f>
        <v>Hungary</v>
      </c>
      <c r="O96" s="87" t="str">
        <f>Translations!$B$1348</f>
        <v>Iceland</v>
      </c>
      <c r="P96" s="87" t="str">
        <f>Translations!$B$1349</f>
        <v>Ireland</v>
      </c>
      <c r="Q96" s="87" t="str">
        <f>Translations!$B$1350</f>
        <v>Italy</v>
      </c>
      <c r="R96" s="87" t="str">
        <f>Translations!$B$1351</f>
        <v>Latvia</v>
      </c>
      <c r="S96" s="87" t="str">
        <f>Translations!$B$1352</f>
        <v>Liechtenstein</v>
      </c>
      <c r="T96" s="87" t="str">
        <f>Translations!$B$1353</f>
        <v>Lithuania</v>
      </c>
      <c r="U96" s="87" t="str">
        <f>Translations!$B$1354</f>
        <v>Luxembourg</v>
      </c>
      <c r="V96" s="87" t="str">
        <f>Translations!$B$1355</f>
        <v>Malta</v>
      </c>
      <c r="W96" s="87" t="str">
        <f>Translations!$B$1356</f>
        <v>Netherlands</v>
      </c>
      <c r="X96" s="87" t="str">
        <f>Translations!$B$1357</f>
        <v>Norway</v>
      </c>
      <c r="Y96" s="87" t="str">
        <f>Translations!$B$1358</f>
        <v>Poland</v>
      </c>
      <c r="Z96" s="87" t="str">
        <f>Translations!$B$1359</f>
        <v>Portugal</v>
      </c>
      <c r="AA96" s="87" t="str">
        <f>Translations!$B$1360</f>
        <v>Romania</v>
      </c>
      <c r="AB96" s="87" t="str">
        <f>Translations!$B$1361</f>
        <v>Slovakia</v>
      </c>
      <c r="AC96" s="87" t="str">
        <f>Translations!$B$1362</f>
        <v>Slovenia</v>
      </c>
      <c r="AD96" s="87" t="str">
        <f>Translations!$B$1363</f>
        <v>Spain</v>
      </c>
      <c r="AE96" s="87" t="str">
        <f>Translations!$B$1364</f>
        <v>Sweden</v>
      </c>
      <c r="AF96" s="87" t="str">
        <f>Translations!$B$1365</f>
        <v>United Kingdom</v>
      </c>
    </row>
    <row r="97" spans="1:32" x14ac:dyDescent="0.25">
      <c r="A97" t="s">
        <v>792</v>
      </c>
      <c r="B97" s="145" t="str">
        <f>Translations!$B$1366</f>
        <v>AT</v>
      </c>
      <c r="C97" s="145" t="str">
        <f>Translations!$B$1367</f>
        <v>BE</v>
      </c>
      <c r="D97" s="87" t="str">
        <f>Translations!$B$1368</f>
        <v>BG</v>
      </c>
      <c r="E97" s="87" t="str">
        <f>Translations!$B$1369</f>
        <v>CY</v>
      </c>
      <c r="F97" s="190" t="str">
        <f>Translations!$B$1370</f>
        <v>HR</v>
      </c>
      <c r="G97" s="87" t="str">
        <f>Translations!$B$1371</f>
        <v>CZ</v>
      </c>
      <c r="H97" s="87" t="str">
        <f>Translations!$B$1372</f>
        <v>DK</v>
      </c>
      <c r="I97" s="87" t="str">
        <f>Translations!$B$1373</f>
        <v>EE</v>
      </c>
      <c r="J97" s="87" t="str">
        <f>Translations!$B$1374</f>
        <v>FI</v>
      </c>
      <c r="K97" s="87" t="str">
        <f>Translations!$B$1375</f>
        <v>FR</v>
      </c>
      <c r="L97" s="87" t="str">
        <f>Translations!$B$1376</f>
        <v>DE</v>
      </c>
      <c r="M97" s="87" t="str">
        <f>Translations!$B$1377</f>
        <v>EL</v>
      </c>
      <c r="N97" s="87" t="str">
        <f>Translations!$B$1378</f>
        <v>HU</v>
      </c>
      <c r="O97" s="87" t="str">
        <f>Translations!$B$1379</f>
        <v>IS</v>
      </c>
      <c r="P97" s="87" t="str">
        <f>Translations!$B$1380</f>
        <v>IE</v>
      </c>
      <c r="Q97" s="87" t="str">
        <f>Translations!$B$1381</f>
        <v>IT</v>
      </c>
      <c r="R97" s="87" t="str">
        <f>Translations!$B$1382</f>
        <v>LV</v>
      </c>
      <c r="S97" s="87" t="str">
        <f>Translations!$B$1383</f>
        <v>LI</v>
      </c>
      <c r="T97" s="87" t="str">
        <f>Translations!$B$1384</f>
        <v>LT</v>
      </c>
      <c r="U97" s="87" t="str">
        <f>Translations!$B$1385</f>
        <v>LU</v>
      </c>
      <c r="V97" s="87" t="str">
        <f>Translations!$B$1386</f>
        <v>MT</v>
      </c>
      <c r="W97" s="87" t="str">
        <f>Translations!$B$1387</f>
        <v>NL</v>
      </c>
      <c r="X97" s="87" t="str">
        <f>Translations!$B$1388</f>
        <v>NO</v>
      </c>
      <c r="Y97" s="87" t="str">
        <f>Translations!$B$1389</f>
        <v>PL</v>
      </c>
      <c r="Z97" s="87" t="str">
        <f>Translations!$B$1390</f>
        <v>PT</v>
      </c>
      <c r="AA97" s="87" t="str">
        <f>Translations!$B$1391</f>
        <v>RO</v>
      </c>
      <c r="AB97" s="87" t="str">
        <f>Translations!$B$1392</f>
        <v>SK</v>
      </c>
      <c r="AC97" s="87" t="str">
        <f>Translations!$B$1393</f>
        <v>SI</v>
      </c>
      <c r="AD97" s="87" t="str">
        <f>Translations!$B$1394</f>
        <v>ES</v>
      </c>
      <c r="AE97" s="87" t="str">
        <f>Translations!$B$1395</f>
        <v>SE</v>
      </c>
      <c r="AF97" s="87" t="str">
        <f>Translations!$B$1396</f>
        <v>UK</v>
      </c>
    </row>
    <row r="98" spans="1:32" x14ac:dyDescent="0.25">
      <c r="A98" s="221" t="s">
        <v>793</v>
      </c>
      <c r="B98" s="145" t="str">
        <f>Translations!$B$1366</f>
        <v>AT</v>
      </c>
      <c r="C98" s="145" t="str">
        <f>Translations!$B$1367</f>
        <v>BE</v>
      </c>
      <c r="D98" s="145" t="str">
        <f>Translations!$B$1368</f>
        <v>BG</v>
      </c>
      <c r="E98" s="145" t="str">
        <f>Translations!$B$1369</f>
        <v>CY</v>
      </c>
      <c r="F98" s="145" t="str">
        <f>Translations!$B$1370</f>
        <v>HR</v>
      </c>
      <c r="G98" s="145" t="str">
        <f>Translations!$B$1371</f>
        <v>CZ</v>
      </c>
      <c r="H98" s="145" t="str">
        <f>Translations!$B$1372</f>
        <v>DK</v>
      </c>
      <c r="I98" s="145" t="str">
        <f>Translations!$B$1373</f>
        <v>EE</v>
      </c>
      <c r="J98" s="145" t="str">
        <f>Translations!$B$1374</f>
        <v>FI</v>
      </c>
      <c r="K98" s="145" t="str">
        <f>Translations!$B$1375</f>
        <v>FR</v>
      </c>
      <c r="L98" s="145" t="str">
        <f>Translations!$B$1376</f>
        <v>DE</v>
      </c>
      <c r="M98" s="145" t="str">
        <f>Translations!$B$1397</f>
        <v>GR</v>
      </c>
      <c r="N98" s="145" t="str">
        <f>Translations!$B$1378</f>
        <v>HU</v>
      </c>
      <c r="O98" s="145" t="str">
        <f>Translations!$B$1379</f>
        <v>IS</v>
      </c>
      <c r="P98" s="145" t="str">
        <f>Translations!$B$1380</f>
        <v>IE</v>
      </c>
      <c r="Q98" s="145" t="str">
        <f>Translations!$B$1381</f>
        <v>IT</v>
      </c>
      <c r="R98" s="145" t="str">
        <f>Translations!$B$1382</f>
        <v>LV</v>
      </c>
      <c r="S98" s="145" t="str">
        <f>Translations!$B$1383</f>
        <v>LI</v>
      </c>
      <c r="T98" s="145" t="str">
        <f>Translations!$B$1384</f>
        <v>LT</v>
      </c>
      <c r="U98" s="145" t="str">
        <f>Translations!$B$1385</f>
        <v>LU</v>
      </c>
      <c r="V98" s="145" t="str">
        <f>Translations!$B$1386</f>
        <v>MT</v>
      </c>
      <c r="W98" s="145" t="str">
        <f>Translations!$B$1387</f>
        <v>NL</v>
      </c>
      <c r="X98" s="145" t="str">
        <f>Translations!$B$1388</f>
        <v>NO</v>
      </c>
      <c r="Y98" s="145" t="str">
        <f>Translations!$B$1389</f>
        <v>PL</v>
      </c>
      <c r="Z98" s="145" t="str">
        <f>Translations!$B$1390</f>
        <v>PT</v>
      </c>
      <c r="AA98" s="145" t="str">
        <f>Translations!$B$1391</f>
        <v>RO</v>
      </c>
      <c r="AB98" s="145" t="str">
        <f>Translations!$B$1392</f>
        <v>SK</v>
      </c>
      <c r="AC98" s="145" t="str">
        <f>Translations!$B$1393</f>
        <v>SI</v>
      </c>
      <c r="AD98" s="145" t="str">
        <f>Translations!$B$1394</f>
        <v>ES</v>
      </c>
      <c r="AE98" s="145" t="str">
        <f>Translations!$B$1395</f>
        <v>SE</v>
      </c>
      <c r="AF98" s="145" t="str">
        <f>Translations!$B$1398</f>
        <v>GB</v>
      </c>
    </row>
    <row r="99" spans="1:32" x14ac:dyDescent="0.25">
      <c r="A99" t="s">
        <v>794</v>
      </c>
      <c r="B99" s="145" t="str">
        <f>Translations!$B$1399</f>
        <v>It is mandatory to answer questions (a), (b) and (d)!</v>
      </c>
      <c r="C99" s="220"/>
    </row>
    <row r="100" spans="1:32" x14ac:dyDescent="0.25">
      <c r="A100" t="s">
        <v>795</v>
      </c>
      <c r="B100" s="145" t="str">
        <f>Translations!$B$1400</f>
        <v>It is mandatory that under A.II.1 one of the questions (e) or (f) is answered!</v>
      </c>
      <c r="C100" s="220"/>
    </row>
    <row r="101" spans="1:32" x14ac:dyDescent="0.25">
      <c r="A101" t="s">
        <v>796</v>
      </c>
      <c r="B101" s="145" t="str">
        <f>Translations!$B$1401</f>
        <v>It is mandatory that question A.II.1.g is answered!</v>
      </c>
      <c r="C101" s="220"/>
    </row>
    <row r="102" spans="1:32" x14ac:dyDescent="0.25">
      <c r="A102" t="s">
        <v>797</v>
      </c>
      <c r="B102" s="145" t="str">
        <f>Translations!$B$1402</f>
        <v>At least one sub-installation name has been entered more than once. Please correct!</v>
      </c>
      <c r="C102" s="220"/>
    </row>
    <row r="103" spans="1:32" x14ac:dyDescent="0.25">
      <c r="A103" t="s">
        <v>798</v>
      </c>
      <c r="B103" s="145" t="str">
        <f>Translations!$B$1403</f>
        <v>You must select at least one sub-installation in sections III.1 or III.2!</v>
      </c>
      <c r="C103" s="220"/>
    </row>
    <row r="104" spans="1:32" x14ac:dyDescent="0.25">
      <c r="A104" t="s">
        <v>799</v>
      </c>
      <c r="B104" s="145" t="str">
        <f>Translations!$B$1404</f>
        <v>Please enter for each sub-installation if it is relevant or not!</v>
      </c>
      <c r="C104" s="220"/>
    </row>
    <row r="105" spans="1:32" x14ac:dyDescent="0.25">
      <c r="A105" t="s">
        <v>800</v>
      </c>
      <c r="B105" s="145" t="str">
        <f>Translations!$B$1405</f>
        <v>Please enter information under points (b) and (c) above!</v>
      </c>
      <c r="C105" s="220"/>
    </row>
    <row r="106" spans="1:32" x14ac:dyDescent="0.25">
      <c r="A106" t="s">
        <v>801</v>
      </c>
      <c r="B106" s="145" t="str">
        <f>Translations!$B$1406</f>
        <v>Please enter detailed source stream data starting with section II below!</v>
      </c>
      <c r="C106" s="220"/>
    </row>
    <row r="107" spans="1:32" x14ac:dyDescent="0.25">
      <c r="A107" s="45" t="s">
        <v>802</v>
      </c>
      <c r="B107" s="145" t="str">
        <f>Translations!$B$1407</f>
        <v>Please go on with entering emission totals in section D.I.2 in sheet 'D_Emissions'!</v>
      </c>
      <c r="C107" s="220"/>
    </row>
    <row r="108" spans="1:32" x14ac:dyDescent="0.25">
      <c r="A108" t="s">
        <v>803</v>
      </c>
      <c r="B108" s="145" t="str">
        <f>Translations!$B$1408</f>
        <v>Please enter also data in section E.II.4!</v>
      </c>
      <c r="C108" s="220"/>
    </row>
    <row r="109" spans="1:32" x14ac:dyDescent="0.25">
      <c r="A109" t="s">
        <v>804</v>
      </c>
      <c r="B109" s="145" t="str">
        <f>Translations!$B$1409</f>
        <v>Please enter also data in section D.II.3.a.!</v>
      </c>
      <c r="C109" s="220"/>
    </row>
    <row r="110" spans="1:32" x14ac:dyDescent="0.25">
      <c r="A110" s="146" t="s">
        <v>805</v>
      </c>
      <c r="B110" s="145" t="str">
        <f>Translations!$B$1410</f>
        <v>ERR_AttrEmBM_</v>
      </c>
      <c r="C110" s="220"/>
    </row>
    <row r="111" spans="1:32" x14ac:dyDescent="0.25">
      <c r="A111" t="s">
        <v>806</v>
      </c>
      <c r="B111" s="145" t="str">
        <f>Translations!$B$1411</f>
        <v xml:space="preserve">Detailed instructions for data entries in this tool can be found at the first copy of this tool. </v>
      </c>
      <c r="C111" s="220"/>
    </row>
    <row r="112" spans="1:32" x14ac:dyDescent="0.25">
      <c r="A112" s="146" t="s">
        <v>807</v>
      </c>
      <c r="B112" s="145" t="str">
        <f>Translations!$B$1412</f>
        <v>The attribution of emissions to sub-installations can be found in the summary sheet.</v>
      </c>
      <c r="C112" s="220"/>
    </row>
    <row r="113" spans="1:16" x14ac:dyDescent="0.25">
      <c r="A113" t="s">
        <v>808</v>
      </c>
      <c r="B113" s="145" t="str">
        <f>Translations!$B$1413</f>
        <v>Please proceed to sheet 'F_ProductBM'!</v>
      </c>
      <c r="C113" s="220"/>
    </row>
    <row r="114" spans="1:16" x14ac:dyDescent="0.25">
      <c r="A114" t="s">
        <v>809</v>
      </c>
      <c r="B114" s="145" t="str">
        <f>Translations!$B$1414</f>
        <v>Please proceed to section E.II.2</v>
      </c>
      <c r="C114" s="220"/>
    </row>
    <row r="115" spans="1:16" x14ac:dyDescent="0.25">
      <c r="A115" t="s">
        <v>810</v>
      </c>
      <c r="B115" s="145" t="str">
        <f>Translations!$B$1415</f>
        <v>Please continue with the next points below</v>
      </c>
      <c r="C115" s="220"/>
    </row>
    <row r="116" spans="1:16" x14ac:dyDescent="0.25">
      <c r="A116" t="s">
        <v>811</v>
      </c>
      <c r="B116" s="145" t="str">
        <f>Translations!$B$1416</f>
        <v>Please use electricity exchangeability tool below.</v>
      </c>
      <c r="C116" s="220"/>
    </row>
    <row r="117" spans="1:16" x14ac:dyDescent="0.25">
      <c r="A117" t="s">
        <v>812</v>
      </c>
      <c r="B117" s="145" t="str">
        <f>Translations!$B$1417</f>
        <v>Please continue with point (d) below.</v>
      </c>
      <c r="C117" s="220"/>
    </row>
    <row r="118" spans="1:16" x14ac:dyDescent="0.25">
      <c r="A118" t="s">
        <v>813</v>
      </c>
      <c r="B118" s="145" t="str">
        <f>Translations!$B$1418</f>
        <v>If not relevant at your installation, continue with the next points.</v>
      </c>
      <c r="C118" s="220"/>
    </row>
    <row r="119" spans="1:16" x14ac:dyDescent="0.25">
      <c r="A119" t="s">
        <v>814</v>
      </c>
      <c r="B119" s="145" t="str">
        <f>Translations!$B$1419</f>
        <v>Dates must be sorted ascending!</v>
      </c>
      <c r="C119" s="220"/>
    </row>
    <row r="120" spans="1:16" x14ac:dyDescent="0.25">
      <c r="A120" t="s">
        <v>815</v>
      </c>
      <c r="B120" s="145" t="str">
        <f>Translations!$B$1420</f>
        <v>Activity missing (A.I.4.a)!</v>
      </c>
      <c r="C120" s="220"/>
    </row>
    <row r="121" spans="1:16" x14ac:dyDescent="0.25">
      <c r="A121" s="45" t="s">
        <v>816</v>
      </c>
      <c r="B121" s="145" t="str">
        <f>Translations!$B$1421</f>
        <v>Please enter data in this section!</v>
      </c>
      <c r="C121" s="220"/>
    </row>
    <row r="122" spans="1:16" x14ac:dyDescent="0.25">
      <c r="A122" t="s">
        <v>817</v>
      </c>
      <c r="B122" s="145" t="str">
        <f>Translations!$B$1422</f>
        <v>Please proceed to the next sub-installation!</v>
      </c>
      <c r="C122" s="220"/>
    </row>
    <row r="123" spans="1:16" x14ac:dyDescent="0.25">
      <c r="A123" t="s">
        <v>818</v>
      </c>
      <c r="B123" s="145" t="str">
        <f>Translations!$B$1423</f>
        <v>Click here to return to sheet F_ProductBM</v>
      </c>
      <c r="C123" s="220"/>
    </row>
    <row r="124" spans="1:16" x14ac:dyDescent="0.25">
      <c r="A124" t="s">
        <v>819</v>
      </c>
      <c r="B124" s="145" t="str">
        <f>Translations!$B$1424</f>
        <v>Please continue with data entry under points (c) and (d)!</v>
      </c>
      <c r="C124" s="220"/>
    </row>
    <row r="125" spans="1:16" x14ac:dyDescent="0.25">
      <c r="A125" t="s">
        <v>820</v>
      </c>
      <c r="B125" s="145" t="str">
        <f>Translations!$B$1425</f>
        <v>Please continue with point (e)!</v>
      </c>
      <c r="C125" s="220"/>
    </row>
    <row r="126" spans="1:16" x14ac:dyDescent="0.25">
      <c r="A126" s="146" t="s">
        <v>821</v>
      </c>
      <c r="B126" s="145" t="s">
        <v>822</v>
      </c>
      <c r="C126" s="145"/>
      <c r="D126" s="145"/>
      <c r="E126" s="145"/>
      <c r="F126" s="145"/>
      <c r="G126" s="145"/>
      <c r="H126" s="145"/>
      <c r="I126" s="145"/>
      <c r="J126" s="145"/>
      <c r="K126" s="145"/>
      <c r="L126" s="145"/>
      <c r="M126" s="145"/>
      <c r="N126" s="145"/>
      <c r="O126" s="145"/>
      <c r="P126" s="145"/>
    </row>
    <row r="127" spans="1:16" x14ac:dyDescent="0.25">
      <c r="A127" s="146" t="s">
        <v>823</v>
      </c>
      <c r="B127" s="145" t="s">
        <v>824</v>
      </c>
      <c r="C127" s="145"/>
      <c r="D127" s="145"/>
      <c r="E127" s="145"/>
      <c r="F127" s="145"/>
      <c r="G127" s="145"/>
      <c r="H127" s="145"/>
      <c r="I127" s="145"/>
      <c r="J127" s="145"/>
      <c r="K127" s="145"/>
      <c r="L127" s="145"/>
      <c r="M127" s="145"/>
      <c r="N127" s="145"/>
      <c r="O127" s="145"/>
      <c r="P127" s="145"/>
    </row>
    <row r="128" spans="1:16" x14ac:dyDescent="0.25">
      <c r="A128" s="146" t="s">
        <v>825</v>
      </c>
      <c r="B128" s="145" t="s">
        <v>826</v>
      </c>
      <c r="C128" s="220"/>
    </row>
    <row r="129" spans="1:3" x14ac:dyDescent="0.25">
      <c r="A129" s="146" t="s">
        <v>827</v>
      </c>
      <c r="B129" s="145" t="s">
        <v>828</v>
      </c>
      <c r="C129" s="220"/>
    </row>
    <row r="130" spans="1:3" x14ac:dyDescent="0.25">
      <c r="A130" s="146" t="s">
        <v>829</v>
      </c>
      <c r="B130" s="145" t="s">
        <v>830</v>
      </c>
      <c r="C130" s="220"/>
    </row>
    <row r="131" spans="1:3" x14ac:dyDescent="0.25">
      <c r="A131" s="146" t="s">
        <v>831</v>
      </c>
      <c r="B131" s="145" t="s">
        <v>832</v>
      </c>
      <c r="C131" s="220"/>
    </row>
    <row r="132" spans="1:3" x14ac:dyDescent="0.25">
      <c r="A132" s="146" t="s">
        <v>833</v>
      </c>
      <c r="B132" s="145" t="s">
        <v>834</v>
      </c>
      <c r="C132" s="220"/>
    </row>
    <row r="133" spans="1:3" x14ac:dyDescent="0.25">
      <c r="A133" s="146" t="s">
        <v>835</v>
      </c>
      <c r="B133" s="145" t="s">
        <v>836</v>
      </c>
      <c r="C133" s="220"/>
    </row>
    <row r="134" spans="1:3" x14ac:dyDescent="0.25">
      <c r="A134" s="146" t="s">
        <v>837</v>
      </c>
      <c r="B134" s="145" t="s">
        <v>838</v>
      </c>
      <c r="C134" s="220"/>
    </row>
    <row r="135" spans="1:3" x14ac:dyDescent="0.25">
      <c r="A135" s="146" t="s">
        <v>839</v>
      </c>
      <c r="B135" s="145" t="s">
        <v>840</v>
      </c>
      <c r="C135" s="220"/>
    </row>
    <row r="136" spans="1:3" x14ac:dyDescent="0.25">
      <c r="A136" s="146" t="s">
        <v>841</v>
      </c>
      <c r="B136" s="145" t="s">
        <v>842</v>
      </c>
      <c r="C136" s="220"/>
    </row>
    <row r="137" spans="1:3" x14ac:dyDescent="0.25">
      <c r="A137" s="146" t="s">
        <v>843</v>
      </c>
      <c r="B137" s="145" t="s">
        <v>844</v>
      </c>
      <c r="C137" s="220"/>
    </row>
    <row r="138" spans="1:3" x14ac:dyDescent="0.25">
      <c r="A138" s="146" t="s">
        <v>845</v>
      </c>
      <c r="B138" s="145" t="s">
        <v>846</v>
      </c>
      <c r="C138" s="220"/>
    </row>
    <row r="139" spans="1:3" x14ac:dyDescent="0.25">
      <c r="A139" s="146" t="s">
        <v>847</v>
      </c>
      <c r="B139" s="145" t="s">
        <v>848</v>
      </c>
      <c r="C139" s="220"/>
    </row>
    <row r="140" spans="1:3" x14ac:dyDescent="0.25">
      <c r="A140" s="146" t="s">
        <v>849</v>
      </c>
      <c r="B140" s="145" t="s">
        <v>850</v>
      </c>
      <c r="C140" s="220"/>
    </row>
    <row r="141" spans="1:3" x14ac:dyDescent="0.25">
      <c r="A141" s="146" t="s">
        <v>851</v>
      </c>
      <c r="B141" s="145" t="s">
        <v>852</v>
      </c>
      <c r="C141" s="220"/>
    </row>
    <row r="142" spans="1:3" x14ac:dyDescent="0.25">
      <c r="A142" s="146" t="s">
        <v>853</v>
      </c>
      <c r="B142" s="145" t="s">
        <v>854</v>
      </c>
      <c r="C142" s="220"/>
    </row>
    <row r="143" spans="1:3" x14ac:dyDescent="0.25">
      <c r="A143" s="146" t="s">
        <v>855</v>
      </c>
      <c r="B143" s="145" t="s">
        <v>856</v>
      </c>
      <c r="C143" s="220"/>
    </row>
    <row r="144" spans="1:3" x14ac:dyDescent="0.25">
      <c r="A144" s="146" t="s">
        <v>857</v>
      </c>
      <c r="B144" s="145" t="s">
        <v>858</v>
      </c>
      <c r="C144" s="220"/>
    </row>
    <row r="145" spans="1:3" x14ac:dyDescent="0.25">
      <c r="A145" s="146" t="s">
        <v>859</v>
      </c>
      <c r="B145" s="145" t="s">
        <v>860</v>
      </c>
      <c r="C145" s="220"/>
    </row>
    <row r="146" spans="1:3" x14ac:dyDescent="0.25">
      <c r="A146" s="146" t="s">
        <v>861</v>
      </c>
      <c r="B146" s="145" t="s">
        <v>862</v>
      </c>
      <c r="C146" s="220"/>
    </row>
    <row r="147" spans="1:3" x14ac:dyDescent="0.25">
      <c r="A147" s="146" t="s">
        <v>863</v>
      </c>
      <c r="B147" s="145" t="s">
        <v>864</v>
      </c>
      <c r="C147" s="220"/>
    </row>
    <row r="148" spans="1:3" x14ac:dyDescent="0.25">
      <c r="A148" s="146" t="s">
        <v>865</v>
      </c>
      <c r="B148" s="145" t="s">
        <v>866</v>
      </c>
      <c r="C148" s="220"/>
    </row>
    <row r="149" spans="1:3" x14ac:dyDescent="0.25">
      <c r="A149" s="146" t="s">
        <v>867</v>
      </c>
      <c r="B149" s="145" t="s">
        <v>868</v>
      </c>
      <c r="C149" s="220"/>
    </row>
    <row r="150" spans="1:3" x14ac:dyDescent="0.25">
      <c r="A150" s="146" t="s">
        <v>869</v>
      </c>
      <c r="B150" s="145" t="s">
        <v>870</v>
      </c>
      <c r="C150" s="220"/>
    </row>
    <row r="151" spans="1:3" x14ac:dyDescent="0.25">
      <c r="A151" s="146" t="s">
        <v>871</v>
      </c>
      <c r="B151" s="145" t="s">
        <v>872</v>
      </c>
      <c r="C151" s="220"/>
    </row>
    <row r="152" spans="1:3" x14ac:dyDescent="0.25">
      <c r="A152" s="146" t="s">
        <v>873</v>
      </c>
      <c r="B152" s="145" t="s">
        <v>874</v>
      </c>
      <c r="C152" s="220"/>
    </row>
    <row r="153" spans="1:3" x14ac:dyDescent="0.25">
      <c r="A153" s="146" t="s">
        <v>875</v>
      </c>
      <c r="B153" s="145" t="s">
        <v>876</v>
      </c>
      <c r="C153" s="220"/>
    </row>
    <row r="154" spans="1:3" x14ac:dyDescent="0.25">
      <c r="A154" s="146" t="s">
        <v>877</v>
      </c>
      <c r="B154" s="145" t="s">
        <v>878</v>
      </c>
      <c r="C154" s="220"/>
    </row>
    <row r="155" spans="1:3" x14ac:dyDescent="0.25">
      <c r="A155" s="146" t="s">
        <v>879</v>
      </c>
      <c r="B155" s="145" t="s">
        <v>880</v>
      </c>
      <c r="C155" s="220"/>
    </row>
    <row r="156" spans="1:3" x14ac:dyDescent="0.25">
      <c r="A156" s="146" t="s">
        <v>881</v>
      </c>
      <c r="B156" s="145" t="s">
        <v>882</v>
      </c>
      <c r="C156" s="220"/>
    </row>
    <row r="157" spans="1:3" x14ac:dyDescent="0.25">
      <c r="A157" s="146" t="s">
        <v>883</v>
      </c>
      <c r="B157" s="145" t="s">
        <v>884</v>
      </c>
      <c r="C157" s="220"/>
    </row>
    <row r="158" spans="1:3" x14ac:dyDescent="0.25">
      <c r="A158" s="146" t="s">
        <v>885</v>
      </c>
      <c r="B158" s="145" t="s">
        <v>886</v>
      </c>
      <c r="C158" s="220"/>
    </row>
    <row r="159" spans="1:3" x14ac:dyDescent="0.25">
      <c r="A159" s="146" t="s">
        <v>887</v>
      </c>
      <c r="B159" s="87" t="str">
        <f>EUconst_tCO2&amp;" / "&amp;EUconst_MWh</f>
        <v>t CO2 / MWh</v>
      </c>
      <c r="C159" s="220"/>
    </row>
    <row r="160" spans="1:3" x14ac:dyDescent="0.25">
      <c r="A160" s="146" t="s">
        <v>888</v>
      </c>
      <c r="B160" s="145">
        <v>56.1</v>
      </c>
      <c r="C160" s="220"/>
    </row>
    <row r="161" spans="1:13" x14ac:dyDescent="0.25">
      <c r="A161" s="146" t="s">
        <v>889</v>
      </c>
      <c r="B161" s="145">
        <v>0.66700000000000004</v>
      </c>
      <c r="C161" s="220"/>
    </row>
    <row r="162" spans="1:13" x14ac:dyDescent="0.25">
      <c r="A162" s="146" t="s">
        <v>890</v>
      </c>
      <c r="B162" s="1115">
        <v>0.3</v>
      </c>
      <c r="C162" s="1115">
        <v>0.3</v>
      </c>
      <c r="D162" s="1115">
        <v>0.3</v>
      </c>
      <c r="E162" s="1115">
        <v>0.3</v>
      </c>
      <c r="F162" s="1115">
        <v>0.3</v>
      </c>
      <c r="G162" s="1115">
        <v>0.3</v>
      </c>
      <c r="H162" s="1115">
        <f>G162-25%*$G$163</f>
        <v>0.22499999999999998</v>
      </c>
      <c r="I162" s="1115">
        <f>H162-25%*$G$163</f>
        <v>0.14999999999999997</v>
      </c>
      <c r="J162" s="1115">
        <f>I162-25%*$G$163</f>
        <v>7.4999999999999969E-2</v>
      </c>
      <c r="K162" s="1115">
        <f>J162-25%*$G$163</f>
        <v>0</v>
      </c>
    </row>
    <row r="163" spans="1:13" x14ac:dyDescent="0.25">
      <c r="A163" s="146" t="s">
        <v>891</v>
      </c>
      <c r="B163" s="1115">
        <v>0.3</v>
      </c>
      <c r="C163" s="1115">
        <v>0.3</v>
      </c>
      <c r="D163" s="1115">
        <v>0.3</v>
      </c>
      <c r="E163" s="1115">
        <v>0.3</v>
      </c>
      <c r="F163" s="1115">
        <v>0.3</v>
      </c>
      <c r="G163" s="1115">
        <v>0.3</v>
      </c>
      <c r="H163" s="1115">
        <v>0.3</v>
      </c>
      <c r="I163" s="1115">
        <v>0.3</v>
      </c>
      <c r="J163" s="1115">
        <v>0.3</v>
      </c>
      <c r="K163" s="1115">
        <v>0.3</v>
      </c>
    </row>
    <row r="164" spans="1:13" x14ac:dyDescent="0.25">
      <c r="A164" s="146" t="s">
        <v>892</v>
      </c>
      <c r="B164" s="9" t="str">
        <f>Translations!$B$1426</f>
        <v>Minimum</v>
      </c>
      <c r="C164" s="9" t="str">
        <f>Translations!$B$178</f>
        <v>Maximum</v>
      </c>
      <c r="D164" s="9" t="str">
        <f>Translations!$B$1427</f>
        <v>Actual</v>
      </c>
      <c r="E164" s="1115"/>
      <c r="F164" s="1115"/>
      <c r="G164" s="1115"/>
      <c r="H164" s="1115"/>
      <c r="I164" s="1115"/>
      <c r="J164" s="1115"/>
      <c r="K164" s="1115"/>
    </row>
    <row r="165" spans="1:13" x14ac:dyDescent="0.25">
      <c r="A165" s="146" t="s">
        <v>893</v>
      </c>
      <c r="B165" s="1116">
        <v>53.328799999999994</v>
      </c>
    </row>
    <row r="166" spans="1:13" ht="13.8" thickBot="1" x14ac:dyDescent="0.3">
      <c r="A166" s="146" t="s">
        <v>894</v>
      </c>
      <c r="B166" s="1116">
        <v>48.021599999999999</v>
      </c>
    </row>
    <row r="167" spans="1:13" ht="13.2" customHeight="1" x14ac:dyDescent="0.25">
      <c r="A167" s="146" t="s">
        <v>895</v>
      </c>
      <c r="B167" s="1116">
        <f>0.7462</f>
        <v>0.74619999999999997</v>
      </c>
      <c r="C167" s="1090">
        <f>0.7242</f>
        <v>0.72419999999999995</v>
      </c>
      <c r="D167" s="1090">
        <f>0.7022</f>
        <v>0.70220000000000005</v>
      </c>
      <c r="E167" s="1090">
        <f>0.6802</f>
        <v>0.68020000000000003</v>
      </c>
      <c r="F167" s="1090">
        <f>0.6582</f>
        <v>0.65820000000000001</v>
      </c>
      <c r="H167" s="1767" t="s">
        <v>896</v>
      </c>
      <c r="I167" s="1768"/>
      <c r="J167" s="1768"/>
      <c r="K167" s="1769"/>
    </row>
    <row r="168" spans="1:13" x14ac:dyDescent="0.25">
      <c r="A168" s="146" t="s">
        <v>897</v>
      </c>
      <c r="B168" s="1116">
        <f>0.3</f>
        <v>0.3</v>
      </c>
      <c r="C168" s="1090">
        <f>0.225</f>
        <v>0.22500000000000001</v>
      </c>
      <c r="D168" s="1090">
        <f>0.15</f>
        <v>0.15</v>
      </c>
      <c r="E168" s="1090">
        <f>0.075</f>
        <v>7.4999999999999997E-2</v>
      </c>
      <c r="F168" s="1090">
        <f>0</f>
        <v>0</v>
      </c>
      <c r="H168" s="1770"/>
      <c r="I168" s="1771"/>
      <c r="J168" s="1771"/>
      <c r="K168" s="1772"/>
    </row>
    <row r="169" spans="1:13" ht="13.8" thickBot="1" x14ac:dyDescent="0.3">
      <c r="A169" s="146" t="s">
        <v>898</v>
      </c>
      <c r="B169" s="1116">
        <f>0.3</f>
        <v>0.3</v>
      </c>
      <c r="C169" s="1090">
        <f>0.3</f>
        <v>0.3</v>
      </c>
      <c r="D169" s="1090">
        <f>0.3</f>
        <v>0.3</v>
      </c>
      <c r="E169" s="1090">
        <f>0.3</f>
        <v>0.3</v>
      </c>
      <c r="F169" s="1090">
        <f>0.3</f>
        <v>0.3</v>
      </c>
      <c r="H169" s="1773"/>
      <c r="I169" s="1774"/>
      <c r="J169" s="1774"/>
      <c r="K169" s="1775"/>
    </row>
    <row r="171" spans="1:13" s="89" customFormat="1" x14ac:dyDescent="0.25">
      <c r="A171" s="89" t="str">
        <f>Translations!$B$1428</f>
        <v>Activity list</v>
      </c>
      <c r="B171" s="487" t="s">
        <v>899</v>
      </c>
      <c r="C171" s="487"/>
      <c r="D171" s="487"/>
      <c r="E171" s="487"/>
      <c r="F171" s="487"/>
      <c r="G171" s="487"/>
      <c r="H171" s="487" t="s">
        <v>900</v>
      </c>
    </row>
    <row r="172" spans="1:13" x14ac:dyDescent="0.25">
      <c r="A172" s="87" t="str">
        <f>Translations!$B$1429</f>
        <v>No. of Activity</v>
      </c>
      <c r="B172" s="87" t="str">
        <f>Translations!$B$1430</f>
        <v>Activity (Annex I ETS Directive)</v>
      </c>
      <c r="C172" s="87"/>
      <c r="D172" s="87"/>
      <c r="E172" s="87"/>
      <c r="F172" s="87"/>
      <c r="G172" s="87"/>
      <c r="H172" s="87"/>
      <c r="I172" s="87"/>
      <c r="J172" s="87"/>
      <c r="K172" s="87"/>
      <c r="L172" s="87"/>
      <c r="M172" s="87"/>
    </row>
    <row r="173" spans="1:13" x14ac:dyDescent="0.25">
      <c r="A173">
        <v>1</v>
      </c>
      <c r="B173" s="87" t="str">
        <f>IF(LEN(H173)&gt;250,LEFT(H173,250),H173)</f>
        <v>Combustion of fuels in installations with a total rated thermal input exceeding 20 MW (except in installations for the incineration of hazardous or municipal waste)</v>
      </c>
      <c r="H173" s="87" t="str">
        <f>Translations!$B$1431</f>
        <v>Combustion of fuels in installations with a total rated thermal input exceeding 20 MW (except in installations for the incineration of hazardous or municipal waste)</v>
      </c>
    </row>
    <row r="174" spans="1:13" x14ac:dyDescent="0.25">
      <c r="A174">
        <v>2</v>
      </c>
      <c r="B174" s="87" t="str">
        <f t="shared" ref="B174:B200" si="0">IF(LEN(H174)&gt;250,LEFT(H174,250),H174)</f>
        <v xml:space="preserve">Refining of mineral oil </v>
      </c>
      <c r="H174" s="90" t="str">
        <f>Translations!$B$1432</f>
        <v xml:space="preserve">Refining of mineral oil </v>
      </c>
    </row>
    <row r="175" spans="1:13" x14ac:dyDescent="0.25">
      <c r="A175">
        <v>3</v>
      </c>
      <c r="B175" s="87" t="str">
        <f t="shared" si="0"/>
        <v xml:space="preserve">Production of coke </v>
      </c>
      <c r="H175" s="90" t="str">
        <f>Translations!$B$1433</f>
        <v xml:space="preserve">Production of coke </v>
      </c>
    </row>
    <row r="176" spans="1:13" x14ac:dyDescent="0.25">
      <c r="A176">
        <v>4</v>
      </c>
      <c r="B176" s="87" t="str">
        <f t="shared" si="0"/>
        <v xml:space="preserve">Metal ore (including sulphide ore) roasting or sintering, including pelletisation </v>
      </c>
      <c r="H176" s="90" t="str">
        <f>Translations!$B$1434</f>
        <v xml:space="preserve">Metal ore (including sulphide ore) roasting or sintering, including pelletisation </v>
      </c>
    </row>
    <row r="177" spans="1:8" x14ac:dyDescent="0.25">
      <c r="A177">
        <v>5</v>
      </c>
      <c r="B177" s="87" t="str">
        <f t="shared" si="0"/>
        <v xml:space="preserve">Production of pig iron or steel (primary or secondary fusion) including continuous casting, with a capacity exceeding 2,5 tonnes per hour </v>
      </c>
      <c r="H177" s="90" t="str">
        <f>Translations!$B$1435</f>
        <v xml:space="preserve">Production of pig iron or steel (primary or secondary fusion) including continuous casting, with a capacity exceeding 2,5 tonnes per hour </v>
      </c>
    </row>
    <row r="178" spans="1:8" x14ac:dyDescent="0.25">
      <c r="A178">
        <v>6</v>
      </c>
      <c r="B178" s="87" t="str">
        <f t="shared" si="0"/>
        <v>Production or processing of ferrous metals (including ferro-alloys) where combustion units with a total rated thermal input exceeding 20 MW are operated. Processing includes, inter alia, rolling mills, re-heaters, annealing furnaces, smitheries, foun</v>
      </c>
      <c r="H178" s="90" t="str">
        <f>Translations!$B$1436</f>
        <v>Production or processing of ferrous metals (including ferro-alloys) where combustion units with a total rated thermal input exceeding 20 MW are operated. Processing includes, inter alia, rolling mills, re-heaters, annealing furnaces, smitheries, foundries, coating and pickling</v>
      </c>
    </row>
    <row r="179" spans="1:8" x14ac:dyDescent="0.25">
      <c r="A179">
        <v>7</v>
      </c>
      <c r="B179" s="87" t="str">
        <f t="shared" si="0"/>
        <v xml:space="preserve">Production of primary aluminium </v>
      </c>
      <c r="H179" s="90" t="str">
        <f>Translations!$B$1437</f>
        <v xml:space="preserve">Production of primary aluminium </v>
      </c>
    </row>
    <row r="180" spans="1:8" x14ac:dyDescent="0.25">
      <c r="A180">
        <v>8</v>
      </c>
      <c r="B180" s="87" t="str">
        <f t="shared" si="0"/>
        <v>Production of secondary aluminium where combustion units with a total rated thermal input exceeding 20 MW are operated</v>
      </c>
      <c r="H180" s="90" t="str">
        <f>Translations!$B$1438</f>
        <v>Production of secondary aluminium where combustion units with a total rated thermal input exceeding 20 MW are operated</v>
      </c>
    </row>
    <row r="181" spans="1:8" x14ac:dyDescent="0.25">
      <c r="A181">
        <v>9</v>
      </c>
      <c r="B181" s="87" t="str">
        <f t="shared" si="0"/>
        <v>Production or processing of non-ferrous metals, including production of alloys, refining, foundry casting, etc., where combustion units with a total rated thermal input (including fuels used as reducing agents) exceeding 20 MW are operated</v>
      </c>
      <c r="H181" s="90" t="str">
        <f>Translations!$B$1439</f>
        <v>Production or processing of non-ferrous metals, including production of alloys, refining, foundry casting, etc., where combustion units with a total rated thermal input (including fuels used as reducing agents) exceeding 20 MW are operated</v>
      </c>
    </row>
    <row r="182" spans="1:8" x14ac:dyDescent="0.25">
      <c r="A182">
        <v>10</v>
      </c>
      <c r="B182" s="87" t="str">
        <f t="shared" si="0"/>
        <v xml:space="preserve">Production of cement clinker in rotary kilns with a production capacity exceeding 500 tonnes per day or in other furnaces with a production capacity exceeding 50 tonnes per day </v>
      </c>
      <c r="H182" s="90" t="str">
        <f>Translations!$B$1440</f>
        <v xml:space="preserve">Production of cement clinker in rotary kilns with a production capacity exceeding 500 tonnes per day or in other furnaces with a production capacity exceeding 50 tonnes per day </v>
      </c>
    </row>
    <row r="183" spans="1:8" x14ac:dyDescent="0.25">
      <c r="A183">
        <v>11</v>
      </c>
      <c r="B183" s="87" t="str">
        <f t="shared" si="0"/>
        <v xml:space="preserve">Production of lime or calcination of dolomite or magnesite in rotary kilns or in other furnaces with a production capacity exceeding 50 tonnes per day </v>
      </c>
      <c r="H183" s="90" t="str">
        <f>Translations!$B$1441</f>
        <v xml:space="preserve">Production of lime or calcination of dolomite or magnesite in rotary kilns or in other furnaces with a production capacity exceeding 50 tonnes per day </v>
      </c>
    </row>
    <row r="184" spans="1:8" x14ac:dyDescent="0.25">
      <c r="A184">
        <v>12</v>
      </c>
      <c r="B184" s="87" t="str">
        <f t="shared" si="0"/>
        <v xml:space="preserve">Manufacture of glass including glass fibre with a melting capacity exceeding 20 tonnes per day </v>
      </c>
      <c r="H184" s="90" t="str">
        <f>Translations!$B$1442</f>
        <v xml:space="preserve">Manufacture of glass including glass fibre with a melting capacity exceeding 20 tonnes per day </v>
      </c>
    </row>
    <row r="185" spans="1:8" x14ac:dyDescent="0.25">
      <c r="A185">
        <v>13</v>
      </c>
      <c r="B185" s="87" t="str">
        <f t="shared" si="0"/>
        <v xml:space="preserve">Manufacture of ceramic products by firing, in particular roofing tiles, bricks, refractory bricks, tiles, stoneware or porcelain, with a production capacity exceeding 75 tonnes per day </v>
      </c>
      <c r="H185" s="90" t="str">
        <f>Translations!$B$1443</f>
        <v xml:space="preserve">Manufacture of ceramic products by firing, in particular roofing tiles, bricks, refractory bricks, tiles, stoneware or porcelain, with a production capacity exceeding 75 tonnes per day </v>
      </c>
    </row>
    <row r="186" spans="1:8" x14ac:dyDescent="0.25">
      <c r="A186">
        <v>14</v>
      </c>
      <c r="B186" s="87" t="str">
        <f t="shared" si="0"/>
        <v xml:space="preserve">Manufacture of mineral wool insulation material using glass, rock or slag with a melting capacity exceeding 20 tonnes per day </v>
      </c>
      <c r="H186" s="90" t="str">
        <f>Translations!$B$1444</f>
        <v xml:space="preserve">Manufacture of mineral wool insulation material using glass, rock or slag with a melting capacity exceeding 20 tonnes per day </v>
      </c>
    </row>
    <row r="187" spans="1:8" x14ac:dyDescent="0.25">
      <c r="A187">
        <v>15</v>
      </c>
      <c r="B187" s="87" t="str">
        <f t="shared" si="0"/>
        <v xml:space="preserve">Drying or calcination of gypsum or production of plaster boards and other gypsum products, where combustion units with a total rated thermal input exceeding 20 MW are operated </v>
      </c>
      <c r="H187" s="90" t="str">
        <f>Translations!$B$1445</f>
        <v xml:space="preserve">Drying or calcination of gypsum or production of plaster boards and other gypsum products, where combustion units with a total rated thermal input exceeding 20 MW are operated </v>
      </c>
    </row>
    <row r="188" spans="1:8" x14ac:dyDescent="0.25">
      <c r="A188">
        <v>16</v>
      </c>
      <c r="B188" s="87" t="str">
        <f t="shared" si="0"/>
        <v xml:space="preserve">Production of pulp from timber or other fibrous materials </v>
      </c>
      <c r="H188" s="90" t="str">
        <f>Translations!$B$1446</f>
        <v xml:space="preserve">Production of pulp from timber or other fibrous materials </v>
      </c>
    </row>
    <row r="189" spans="1:8" x14ac:dyDescent="0.25">
      <c r="A189">
        <v>17</v>
      </c>
      <c r="B189" s="87" t="str">
        <f t="shared" si="0"/>
        <v xml:space="preserve">Production of paper or cardboard with a production capacity exceeding 20 tonnes per day </v>
      </c>
      <c r="H189" s="90" t="str">
        <f>Translations!$B$1447</f>
        <v xml:space="preserve">Production of paper or cardboard with a production capacity exceeding 20 tonnes per day </v>
      </c>
    </row>
    <row r="190" spans="1:8" x14ac:dyDescent="0.25">
      <c r="A190">
        <v>18</v>
      </c>
      <c r="B190" s="87" t="str">
        <f t="shared" si="0"/>
        <v xml:space="preserve">Production of carbon black involving the carbonisation of organic substances such as oils, tars, cracker and distillation residues, where combustion units with a total rated thermal input exceeding 20 MW are operated </v>
      </c>
      <c r="H190" s="90" t="str">
        <f>Translations!$B$1448</f>
        <v xml:space="preserve">Production of carbon black involving the carbonisation of organic substances such as oils, tars, cracker and distillation residues, where combustion units with a total rated thermal input exceeding 20 MW are operated </v>
      </c>
    </row>
    <row r="191" spans="1:8" x14ac:dyDescent="0.25">
      <c r="A191">
        <v>19</v>
      </c>
      <c r="B191" s="87" t="str">
        <f t="shared" si="0"/>
        <v xml:space="preserve">Production of nitric acid </v>
      </c>
      <c r="H191" s="90" t="str">
        <f>Translations!$B$1449</f>
        <v xml:space="preserve">Production of nitric acid </v>
      </c>
    </row>
    <row r="192" spans="1:8" x14ac:dyDescent="0.25">
      <c r="A192">
        <v>20</v>
      </c>
      <c r="B192" s="87" t="str">
        <f t="shared" si="0"/>
        <v xml:space="preserve">Production of adipic acid </v>
      </c>
      <c r="H192" s="90" t="str">
        <f>Translations!$B$1450</f>
        <v xml:space="preserve">Production of adipic acid </v>
      </c>
    </row>
    <row r="193" spans="1:19" x14ac:dyDescent="0.25">
      <c r="A193">
        <v>21</v>
      </c>
      <c r="B193" s="87" t="str">
        <f t="shared" si="0"/>
        <v>Production of glyoxal and glyoxylic acid</v>
      </c>
      <c r="H193" s="90" t="str">
        <f>Translations!$B$1451</f>
        <v>Production of glyoxal and glyoxylic acid</v>
      </c>
    </row>
    <row r="194" spans="1:19" x14ac:dyDescent="0.25">
      <c r="A194">
        <v>22</v>
      </c>
      <c r="B194" s="87" t="str">
        <f t="shared" si="0"/>
        <v xml:space="preserve">Production of ammonia </v>
      </c>
      <c r="H194" s="90" t="str">
        <f>Translations!$B$1452</f>
        <v xml:space="preserve">Production of ammonia </v>
      </c>
    </row>
    <row r="195" spans="1:19" x14ac:dyDescent="0.25">
      <c r="A195">
        <v>23</v>
      </c>
      <c r="B195" s="87" t="str">
        <f t="shared" si="0"/>
        <v xml:space="preserve">Production of bulk organic chemicals by cracking, reforming, partial or full oxidation or by similar processes, with a production capacity exceeding 100 tonnes per day </v>
      </c>
      <c r="H195" s="90" t="str">
        <f>Translations!$B$1453</f>
        <v xml:space="preserve">Production of bulk organic chemicals by cracking, reforming, partial or full oxidation or by similar processes, with a production capacity exceeding 100 tonnes per day </v>
      </c>
    </row>
    <row r="196" spans="1:19" x14ac:dyDescent="0.25">
      <c r="A196">
        <v>24</v>
      </c>
      <c r="B196" s="87" t="str">
        <f t="shared" si="0"/>
        <v xml:space="preserve">Production of hydrogen (H2) and synthesis gas by reforming or partial oxidation with a production capacity exceeding 25 tonnes per day </v>
      </c>
      <c r="H196" s="90" t="str">
        <f>Translations!$B$1454</f>
        <v xml:space="preserve">Production of hydrogen (H2) and synthesis gas by reforming or partial oxidation with a production capacity exceeding 25 tonnes per day </v>
      </c>
    </row>
    <row r="197" spans="1:19" x14ac:dyDescent="0.25">
      <c r="A197">
        <v>25</v>
      </c>
      <c r="B197" s="87" t="str">
        <f t="shared" si="0"/>
        <v xml:space="preserve">Production of soda ash (Na2CO3) and sodium bicarbonate (NaHCO3) </v>
      </c>
      <c r="H197" s="90" t="str">
        <f>Translations!$B$1455</f>
        <v xml:space="preserve">Production of soda ash (Na2CO3) and sodium bicarbonate (NaHCO3) </v>
      </c>
    </row>
    <row r="198" spans="1:19" x14ac:dyDescent="0.25">
      <c r="A198">
        <v>26</v>
      </c>
      <c r="B198" s="87" t="str">
        <f t="shared" si="0"/>
        <v>Capture of greenhouse gases from installations covered by this Directive for the purpose of transport and geological storage in a storage site permitted under Directive 2009/31/EC</v>
      </c>
      <c r="H198" s="90" t="str">
        <f>Translations!$B$1456</f>
        <v>Capture of greenhouse gases from installations covered by this Directive for the purpose of transport and geological storage in a storage site permitted under Directive 2009/31/EC</v>
      </c>
    </row>
    <row r="199" spans="1:19" x14ac:dyDescent="0.25">
      <c r="A199">
        <v>27</v>
      </c>
      <c r="B199" s="87" t="str">
        <f t="shared" si="0"/>
        <v>Transport of greenhouse gases by pipelines for geological storage in a storage site permitted under Directive 2009/31/EC</v>
      </c>
      <c r="H199" s="90" t="str">
        <f>Translations!$B$1457</f>
        <v>Transport of greenhouse gases by pipelines for geological storage in a storage site permitted under Directive 2009/31/EC</v>
      </c>
    </row>
    <row r="200" spans="1:19" x14ac:dyDescent="0.25">
      <c r="A200">
        <v>28</v>
      </c>
      <c r="B200" s="87" t="str">
        <f t="shared" si="0"/>
        <v>Geological storage of greenhouse gases in a storage site permitted under Directive 2009/31/EC</v>
      </c>
      <c r="H200" s="90" t="str">
        <f>Translations!$B$1458</f>
        <v>Geological storage of greenhouse gases in a storage site permitted under Directive 2009/31/EC</v>
      </c>
    </row>
    <row r="202" spans="1:19" s="89" customFormat="1" x14ac:dyDescent="0.25">
      <c r="A202" s="89" t="str">
        <f>Translations!$B$1459</f>
        <v>Benchmark List</v>
      </c>
    </row>
    <row r="203" spans="1:19" s="75" customFormat="1" ht="53.4" thickBot="1" x14ac:dyDescent="0.3">
      <c r="A203" s="165" t="str">
        <f>Translations!$B$1430</f>
        <v>Activity (Annex I ETS Directive)</v>
      </c>
      <c r="B203" s="165" t="str">
        <f>Translations!$B$1429</f>
        <v>No. of Activity</v>
      </c>
      <c r="C203" s="165" t="str">
        <f>Translations!$B$1206</f>
        <v>No. of BM</v>
      </c>
      <c r="D203" s="165" t="str">
        <f>Translations!$B$1460</f>
        <v>alternative BM No.</v>
      </c>
      <c r="E203" s="165" t="str">
        <f>Translations!$B$1461</f>
        <v>Product benchmark</v>
      </c>
      <c r="F203" s="165" t="str">
        <f>Translations!$B$1196</f>
        <v>Unit</v>
      </c>
      <c r="G203" s="165" t="str">
        <f>Translations!$B$1462</f>
        <v>Carbon leakage?</v>
      </c>
      <c r="H203" s="165" t="str">
        <f>Translations!$B$1463</f>
        <v>Exchangeability electricity</v>
      </c>
      <c r="I203" s="165" t="str">
        <f>Translations!$B$1464</f>
        <v>Message regarding special reporting</v>
      </c>
      <c r="J203" s="1117" t="str">
        <f>Translations!$B$1465</f>
        <v>Jump indicator</v>
      </c>
      <c r="K203" s="164" t="str">
        <f>Translations!$B$1466</f>
        <v>Other than CWT?</v>
      </c>
      <c r="L203" s="164" t="str">
        <f>Translations!$B$1467</f>
        <v>Pulp</v>
      </c>
      <c r="M203" s="164" t="str">
        <f>Translations!$B$1468</f>
        <v>BM value (2013-2020)</v>
      </c>
      <c r="N203" s="164" t="s">
        <v>901</v>
      </c>
      <c r="O203" s="164" t="s">
        <v>902</v>
      </c>
      <c r="P203" s="481" t="s">
        <v>903</v>
      </c>
      <c r="Q203" s="330" t="str">
        <f>Translations!$B$1469</f>
        <v>Benchmark value (EUA/t, max)</v>
      </c>
      <c r="R203" s="330" t="str">
        <f>Translations!$B$1470</f>
        <v>Benchmark value (EUA/t, min)</v>
      </c>
      <c r="S203" s="330" t="str">
        <f>Translations!$B$1471</f>
        <v>Benchmark value (EUA/t, actual)</v>
      </c>
    </row>
    <row r="204" spans="1:19" x14ac:dyDescent="0.25">
      <c r="A204" s="166" t="str">
        <f t="shared" ref="A204:A235" si="1">VLOOKUP(B204,$A$173:$B$200,2,0)</f>
        <v xml:space="preserve">Refining of mineral oil </v>
      </c>
      <c r="B204" s="167">
        <v>2</v>
      </c>
      <c r="C204" s="167">
        <v>1</v>
      </c>
      <c r="D204" s="168" t="str">
        <f t="shared" ref="D204:D235" si="2">CONCATENATE(TEXT(B204,"00"),".",TEXT(C204,"00"))</f>
        <v>02.01</v>
      </c>
      <c r="E204" s="167" t="str">
        <f>Translations!$B$1472</f>
        <v>Refinery products</v>
      </c>
      <c r="F204" s="167" t="str">
        <f>Translations!$B$1473</f>
        <v>CWT</v>
      </c>
      <c r="G204" s="167" t="b">
        <v>1</v>
      </c>
      <c r="H204" s="167" t="b">
        <v>1</v>
      </c>
      <c r="I204" s="167" t="str">
        <f>Translations!$B$1474</f>
        <v>Please use CWT tool in sheet "SpecialBM" for calculating historical activity levels.</v>
      </c>
      <c r="J204" s="1118" t="str">
        <f>"#JUMP_H_I"</f>
        <v>#JUMP_H_I</v>
      </c>
      <c r="K204" s="167" t="b">
        <v>0</v>
      </c>
      <c r="L204" s="167" t="b">
        <v>0</v>
      </c>
      <c r="M204" s="170">
        <v>2.9499999999999998E-2</v>
      </c>
      <c r="N204" s="1119">
        <f t="shared" ref="N204:N235" si="3">INDEX(EUconst_BM_ARR_Range,1)</f>
        <v>2E-3</v>
      </c>
      <c r="O204" s="1120">
        <f t="shared" ref="O204:O235" si="4">IF(AND(C204=4,CNTR_BaselinePeriod=1),INDEX(EUconst_BM_ARR_Range,1),INDEX(EUconst_BM_ARR_Range,2))</f>
        <v>1.6E-2</v>
      </c>
      <c r="P204" s="594">
        <v>1.511693494765688E-2</v>
      </c>
      <c r="Q204" s="480">
        <f t="shared" ref="Q204:Q235" si="5">$M204*(1-N204*(15+(IF(CNTR_BaselinePeriod=EUconst_NA,1,CNTR_BaselinePeriod)-1)*5))</f>
        <v>2.8319999999999998E-2</v>
      </c>
      <c r="R204" s="191">
        <f t="shared" ref="R204:R235" si="6">$M204*(1-O204*(15+(IF(CNTR_BaselinePeriod=EUconst_NA,1,CNTR_BaselinePeriod)-1)*5))</f>
        <v>2.0059999999999998E-2</v>
      </c>
      <c r="S204" s="595">
        <f>0.0228</f>
        <v>2.2800000000000001E-2</v>
      </c>
    </row>
    <row r="205" spans="1:19" x14ac:dyDescent="0.25">
      <c r="A205" s="166" t="str">
        <f t="shared" si="1"/>
        <v xml:space="preserve">Production of coke </v>
      </c>
      <c r="B205" s="167">
        <v>3</v>
      </c>
      <c r="C205" s="167">
        <f>C204+1</f>
        <v>2</v>
      </c>
      <c r="D205" s="168" t="str">
        <f t="shared" si="2"/>
        <v>03.02</v>
      </c>
      <c r="E205" s="167" t="str">
        <f>Translations!$B$1475</f>
        <v>Coke</v>
      </c>
      <c r="F205" s="167" t="str">
        <f t="shared" ref="F205:F229" si="7">EUconst_Tons</f>
        <v>tonnes</v>
      </c>
      <c r="G205" s="167" t="b">
        <v>1</v>
      </c>
      <c r="H205" s="167" t="b">
        <v>0</v>
      </c>
      <c r="I205" s="167" t="str">
        <f>""</f>
        <v/>
      </c>
      <c r="J205" s="1118" t="str">
        <f>""</f>
        <v/>
      </c>
      <c r="K205" s="167" t="b">
        <v>1</v>
      </c>
      <c r="L205" s="167" t="b">
        <v>0</v>
      </c>
      <c r="M205" s="170">
        <v>0.28599999999999998</v>
      </c>
      <c r="N205" s="1119">
        <f t="shared" si="3"/>
        <v>2E-3</v>
      </c>
      <c r="O205" s="1120">
        <f t="shared" si="4"/>
        <v>1.6E-2</v>
      </c>
      <c r="P205" s="596">
        <v>1.6E-2</v>
      </c>
      <c r="Q205" s="480">
        <f t="shared" si="5"/>
        <v>0.27455999999999997</v>
      </c>
      <c r="R205" s="191">
        <f t="shared" si="6"/>
        <v>0.19447999999999996</v>
      </c>
      <c r="S205" s="595">
        <f>0.217</f>
        <v>0.217</v>
      </c>
    </row>
    <row r="206" spans="1:19" x14ac:dyDescent="0.25">
      <c r="A206" s="166" t="str">
        <f t="shared" si="1"/>
        <v xml:space="preserve">Metal ore (including sulphide ore) roasting or sintering, including pelletisation </v>
      </c>
      <c r="B206" s="167">
        <v>4</v>
      </c>
      <c r="C206" s="167">
        <f t="shared" ref="C206:C255" si="8">C205+1</f>
        <v>3</v>
      </c>
      <c r="D206" s="168" t="str">
        <f t="shared" si="2"/>
        <v>04.03</v>
      </c>
      <c r="E206" s="167" t="str">
        <f>Translations!$B$1476</f>
        <v>Sintered ore</v>
      </c>
      <c r="F206" s="167" t="str">
        <f t="shared" si="7"/>
        <v>tonnes</v>
      </c>
      <c r="G206" s="167" t="b">
        <v>1</v>
      </c>
      <c r="H206" s="167" t="b">
        <v>0</v>
      </c>
      <c r="I206" s="167" t="str">
        <f>""</f>
        <v/>
      </c>
      <c r="J206" s="1118" t="str">
        <f>""</f>
        <v/>
      </c>
      <c r="K206" s="167" t="b">
        <v>1</v>
      </c>
      <c r="L206" s="167" t="b">
        <v>0</v>
      </c>
      <c r="M206" s="170">
        <v>0.17100000000000001</v>
      </c>
      <c r="N206" s="1119">
        <f t="shared" si="3"/>
        <v>2E-3</v>
      </c>
      <c r="O206" s="1120">
        <f t="shared" si="4"/>
        <v>1.6E-2</v>
      </c>
      <c r="P206" s="596">
        <v>5.2786614463260868E-3</v>
      </c>
      <c r="Q206" s="480">
        <f t="shared" si="5"/>
        <v>0.16416</v>
      </c>
      <c r="R206" s="191">
        <f t="shared" si="6"/>
        <v>0.11627999999999999</v>
      </c>
      <c r="S206" s="595">
        <f>0.157</f>
        <v>0.157</v>
      </c>
    </row>
    <row r="207" spans="1:19" x14ac:dyDescent="0.25">
      <c r="A207" s="166" t="str">
        <f t="shared" si="1"/>
        <v xml:space="preserve">Production of pig iron or steel (primary or secondary fusion) including continuous casting, with a capacity exceeding 2,5 tonnes per hour </v>
      </c>
      <c r="B207" s="167">
        <v>5</v>
      </c>
      <c r="C207" s="167">
        <f t="shared" si="8"/>
        <v>4</v>
      </c>
      <c r="D207" s="168" t="str">
        <f t="shared" si="2"/>
        <v>05.04</v>
      </c>
      <c r="E207" s="167" t="str">
        <f>Translations!$B$1477</f>
        <v>Hot metal</v>
      </c>
      <c r="F207" s="167" t="str">
        <f t="shared" si="7"/>
        <v>tonnes</v>
      </c>
      <c r="G207" s="167" t="b">
        <v>1</v>
      </c>
      <c r="H207" s="167" t="b">
        <v>0</v>
      </c>
      <c r="I207" s="167" t="str">
        <f>""</f>
        <v/>
      </c>
      <c r="J207" s="1118" t="str">
        <f>""</f>
        <v/>
      </c>
      <c r="K207" s="167" t="b">
        <v>1</v>
      </c>
      <c r="L207" s="167" t="b">
        <v>0</v>
      </c>
      <c r="M207" s="170">
        <v>1.3280000000000001</v>
      </c>
      <c r="N207" s="1119">
        <f t="shared" si="3"/>
        <v>2E-3</v>
      </c>
      <c r="O207" s="1120">
        <f t="shared" si="4"/>
        <v>1.6E-2</v>
      </c>
      <c r="P207" s="596">
        <v>2E-3</v>
      </c>
      <c r="Q207" s="480">
        <f t="shared" si="5"/>
        <v>1.27488</v>
      </c>
      <c r="R207" s="191">
        <f t="shared" si="6"/>
        <v>0.90303999999999995</v>
      </c>
      <c r="S207" s="595">
        <f>1.288</f>
        <v>1.288</v>
      </c>
    </row>
    <row r="208" spans="1:19" x14ac:dyDescent="0.25">
      <c r="A208" s="166" t="str">
        <f t="shared" si="1"/>
        <v xml:space="preserve">Production of pig iron or steel (primary or secondary fusion) including continuous casting, with a capacity exceeding 2,5 tonnes per hour </v>
      </c>
      <c r="B208" s="167">
        <v>5</v>
      </c>
      <c r="C208" s="167">
        <f t="shared" si="8"/>
        <v>5</v>
      </c>
      <c r="D208" s="168" t="str">
        <f t="shared" si="2"/>
        <v>05.05</v>
      </c>
      <c r="E208" s="167" t="str">
        <f>Translations!$B$1478</f>
        <v>EAF carbon steel</v>
      </c>
      <c r="F208" s="167" t="str">
        <f t="shared" si="7"/>
        <v>tonnes</v>
      </c>
      <c r="G208" s="167" t="b">
        <v>1</v>
      </c>
      <c r="H208" s="167" t="b">
        <v>1</v>
      </c>
      <c r="I208" s="167" t="str">
        <f>""</f>
        <v/>
      </c>
      <c r="J208" s="1118" t="str">
        <f>""</f>
        <v/>
      </c>
      <c r="K208" s="167" t="b">
        <v>1</v>
      </c>
      <c r="L208" s="167" t="b">
        <v>0</v>
      </c>
      <c r="M208" s="170">
        <v>0.28299999999999997</v>
      </c>
      <c r="N208" s="1119">
        <f t="shared" si="3"/>
        <v>2E-3</v>
      </c>
      <c r="O208" s="1120">
        <f t="shared" si="4"/>
        <v>1.6E-2</v>
      </c>
      <c r="P208" s="596">
        <v>1.6E-2</v>
      </c>
      <c r="Q208" s="480">
        <f t="shared" si="5"/>
        <v>0.27167999999999998</v>
      </c>
      <c r="R208" s="191">
        <f t="shared" si="6"/>
        <v>0.19243999999999997</v>
      </c>
      <c r="S208" s="595">
        <f>0.215</f>
        <v>0.215</v>
      </c>
    </row>
    <row r="209" spans="1:19" x14ac:dyDescent="0.25">
      <c r="A209" s="166" t="str">
        <f t="shared" si="1"/>
        <v xml:space="preserve">Production of pig iron or steel (primary or secondary fusion) including continuous casting, with a capacity exceeding 2,5 tonnes per hour </v>
      </c>
      <c r="B209" s="167">
        <v>5</v>
      </c>
      <c r="C209" s="167">
        <f t="shared" si="8"/>
        <v>6</v>
      </c>
      <c r="D209" s="168" t="str">
        <f t="shared" si="2"/>
        <v>05.06</v>
      </c>
      <c r="E209" s="167" t="str">
        <f>Translations!$B$1479</f>
        <v>EAF high alloy steel</v>
      </c>
      <c r="F209" s="167" t="str">
        <f t="shared" si="7"/>
        <v>tonnes</v>
      </c>
      <c r="G209" s="167" t="b">
        <v>1</v>
      </c>
      <c r="H209" s="167" t="b">
        <v>1</v>
      </c>
      <c r="I209" s="167" t="str">
        <f>""</f>
        <v/>
      </c>
      <c r="J209" s="1118" t="str">
        <f>""</f>
        <v/>
      </c>
      <c r="K209" s="167" t="b">
        <v>1</v>
      </c>
      <c r="L209" s="167" t="b">
        <v>0</v>
      </c>
      <c r="M209" s="170">
        <v>0.35199999999999998</v>
      </c>
      <c r="N209" s="1119">
        <f t="shared" si="3"/>
        <v>2E-3</v>
      </c>
      <c r="O209" s="1120">
        <f t="shared" si="4"/>
        <v>1.6E-2</v>
      </c>
      <c r="P209" s="596">
        <v>1.6E-2</v>
      </c>
      <c r="Q209" s="480">
        <f t="shared" si="5"/>
        <v>0.33791999999999994</v>
      </c>
      <c r="R209" s="191">
        <f t="shared" si="6"/>
        <v>0.23935999999999996</v>
      </c>
      <c r="S209" s="595">
        <f>0.268</f>
        <v>0.26800000000000002</v>
      </c>
    </row>
    <row r="210" spans="1:19" x14ac:dyDescent="0.25">
      <c r="A210" s="166" t="str">
        <f t="shared" si="1"/>
        <v>Production or processing of ferrous metals (including ferro-alloys) where combustion units with a total rated thermal input exceeding 20 MW are operated. Processing includes, inter alia, rolling mills, re-heaters, annealing furnaces, smitheries, foun</v>
      </c>
      <c r="B210" s="167">
        <v>6</v>
      </c>
      <c r="C210" s="167">
        <f t="shared" si="8"/>
        <v>7</v>
      </c>
      <c r="D210" s="168" t="str">
        <f t="shared" si="2"/>
        <v>06.07</v>
      </c>
      <c r="E210" s="167" t="str">
        <f>Translations!$B$1480</f>
        <v>Iron casting</v>
      </c>
      <c r="F210" s="167" t="str">
        <f t="shared" si="7"/>
        <v>tonnes</v>
      </c>
      <c r="G210" s="167" t="b">
        <v>1</v>
      </c>
      <c r="H210" s="167" t="b">
        <v>1</v>
      </c>
      <c r="I210" s="167" t="str">
        <f>""</f>
        <v/>
      </c>
      <c r="J210" s="1118" t="str">
        <f>""</f>
        <v/>
      </c>
      <c r="K210" s="167" t="b">
        <v>1</v>
      </c>
      <c r="L210" s="167" t="b">
        <v>0</v>
      </c>
      <c r="M210" s="170">
        <v>0.32500000000000001</v>
      </c>
      <c r="N210" s="1119">
        <f t="shared" si="3"/>
        <v>2E-3</v>
      </c>
      <c r="O210" s="1120">
        <f t="shared" si="4"/>
        <v>1.6E-2</v>
      </c>
      <c r="P210" s="596">
        <v>8.903797357729195E-3</v>
      </c>
      <c r="Q210" s="480">
        <f t="shared" si="5"/>
        <v>0.312</v>
      </c>
      <c r="R210" s="191">
        <f t="shared" si="6"/>
        <v>0.22099999999999997</v>
      </c>
      <c r="S210" s="595">
        <f>0.282</f>
        <v>0.28199999999999997</v>
      </c>
    </row>
    <row r="211" spans="1:19" x14ac:dyDescent="0.25">
      <c r="A211" s="166" t="str">
        <f t="shared" si="1"/>
        <v xml:space="preserve">Production of primary aluminium </v>
      </c>
      <c r="B211" s="167">
        <v>7</v>
      </c>
      <c r="C211" s="167">
        <f t="shared" si="8"/>
        <v>8</v>
      </c>
      <c r="D211" s="168" t="str">
        <f t="shared" si="2"/>
        <v>07.08</v>
      </c>
      <c r="E211" s="167" t="str">
        <f>Translations!$B$1481</f>
        <v>Pre-bake anode</v>
      </c>
      <c r="F211" s="167" t="str">
        <f t="shared" si="7"/>
        <v>tonnes</v>
      </c>
      <c r="G211" s="167" t="b">
        <v>1</v>
      </c>
      <c r="H211" s="167" t="b">
        <v>0</v>
      </c>
      <c r="I211" s="167" t="str">
        <f>""</f>
        <v/>
      </c>
      <c r="J211" s="1118" t="str">
        <f>""</f>
        <v/>
      </c>
      <c r="K211" s="167" t="b">
        <v>1</v>
      </c>
      <c r="L211" s="167" t="b">
        <v>0</v>
      </c>
      <c r="M211" s="170">
        <v>0.32400000000000001</v>
      </c>
      <c r="N211" s="1119">
        <f t="shared" si="3"/>
        <v>2E-3</v>
      </c>
      <c r="O211" s="1120">
        <f t="shared" si="4"/>
        <v>1.6E-2</v>
      </c>
      <c r="P211" s="596">
        <v>2.5579440618460994E-3</v>
      </c>
      <c r="Q211" s="480">
        <f t="shared" si="5"/>
        <v>0.31103999999999998</v>
      </c>
      <c r="R211" s="191">
        <f t="shared" si="6"/>
        <v>0.22031999999999999</v>
      </c>
      <c r="S211" s="595">
        <f>0.312</f>
        <v>0.312</v>
      </c>
    </row>
    <row r="212" spans="1:19" x14ac:dyDescent="0.25">
      <c r="A212" s="166" t="str">
        <f t="shared" si="1"/>
        <v xml:space="preserve">Production of primary aluminium </v>
      </c>
      <c r="B212" s="167">
        <v>7</v>
      </c>
      <c r="C212" s="167">
        <f t="shared" si="8"/>
        <v>9</v>
      </c>
      <c r="D212" s="168" t="str">
        <f t="shared" si="2"/>
        <v>07.09</v>
      </c>
      <c r="E212" s="167" t="str">
        <f>Translations!$B$1482</f>
        <v>[Primary] Aluminium</v>
      </c>
      <c r="F212" s="167" t="str">
        <f t="shared" si="7"/>
        <v>tonnes</v>
      </c>
      <c r="G212" s="167" t="b">
        <v>1</v>
      </c>
      <c r="H212" s="167" t="b">
        <v>0</v>
      </c>
      <c r="I212" s="167" t="str">
        <f>""</f>
        <v/>
      </c>
      <c r="J212" s="1118" t="str">
        <f>""</f>
        <v/>
      </c>
      <c r="K212" s="167" t="b">
        <v>1</v>
      </c>
      <c r="L212" s="167" t="b">
        <v>0</v>
      </c>
      <c r="M212" s="170">
        <v>1.514</v>
      </c>
      <c r="N212" s="1119">
        <f t="shared" si="3"/>
        <v>2E-3</v>
      </c>
      <c r="O212" s="1120">
        <f t="shared" si="4"/>
        <v>1.6E-2</v>
      </c>
      <c r="P212" s="596">
        <v>2.1897986454517187E-3</v>
      </c>
      <c r="Q212" s="480">
        <f t="shared" si="5"/>
        <v>1.4534400000000001</v>
      </c>
      <c r="R212" s="191">
        <f t="shared" si="6"/>
        <v>1.02952</v>
      </c>
      <c r="S212" s="595">
        <f>1.464</f>
        <v>1.464</v>
      </c>
    </row>
    <row r="213" spans="1:19" x14ac:dyDescent="0.25">
      <c r="A213" s="166" t="str">
        <f t="shared" si="1"/>
        <v xml:space="preserve">Production of cement clinker in rotary kilns with a production capacity exceeding 500 tonnes per day or in other furnaces with a production capacity exceeding 50 tonnes per day </v>
      </c>
      <c r="B213" s="167">
        <v>10</v>
      </c>
      <c r="C213" s="167">
        <f t="shared" si="8"/>
        <v>10</v>
      </c>
      <c r="D213" s="168" t="str">
        <f t="shared" si="2"/>
        <v>10.10</v>
      </c>
      <c r="E213" s="167" t="str">
        <f>Translations!$B$1483</f>
        <v>Grey cement clinker</v>
      </c>
      <c r="F213" s="167" t="str">
        <f t="shared" si="7"/>
        <v>tonnes</v>
      </c>
      <c r="G213" s="167" t="b">
        <v>1</v>
      </c>
      <c r="H213" s="167" t="b">
        <v>0</v>
      </c>
      <c r="I213" s="167" t="str">
        <f>""</f>
        <v/>
      </c>
      <c r="J213" s="1118" t="str">
        <f>""</f>
        <v/>
      </c>
      <c r="K213" s="167" t="b">
        <v>1</v>
      </c>
      <c r="L213" s="167" t="b">
        <v>0</v>
      </c>
      <c r="M213" s="170">
        <v>0.76600000000000001</v>
      </c>
      <c r="N213" s="1119">
        <f t="shared" si="3"/>
        <v>2E-3</v>
      </c>
      <c r="O213" s="1120">
        <f t="shared" si="4"/>
        <v>1.6E-2</v>
      </c>
      <c r="P213" s="596">
        <v>6.3297698343118452E-3</v>
      </c>
      <c r="Q213" s="480">
        <f t="shared" si="5"/>
        <v>0.73536000000000001</v>
      </c>
      <c r="R213" s="191">
        <f t="shared" si="6"/>
        <v>0.52088000000000001</v>
      </c>
      <c r="S213" s="595">
        <f>0.693</f>
        <v>0.69299999999999995</v>
      </c>
    </row>
    <row r="214" spans="1:19" x14ac:dyDescent="0.25">
      <c r="A214" s="166" t="str">
        <f t="shared" si="1"/>
        <v xml:space="preserve">Production of cement clinker in rotary kilns with a production capacity exceeding 500 tonnes per day or in other furnaces with a production capacity exceeding 50 tonnes per day </v>
      </c>
      <c r="B214" s="167">
        <v>10</v>
      </c>
      <c r="C214" s="167">
        <f t="shared" si="8"/>
        <v>11</v>
      </c>
      <c r="D214" s="168" t="str">
        <f t="shared" si="2"/>
        <v>10.11</v>
      </c>
      <c r="E214" s="167" t="str">
        <f>Translations!$B$1484</f>
        <v>White cement clinker</v>
      </c>
      <c r="F214" s="167" t="str">
        <f t="shared" si="7"/>
        <v>tonnes</v>
      </c>
      <c r="G214" s="167" t="b">
        <v>1</v>
      </c>
      <c r="H214" s="167" t="b">
        <v>0</v>
      </c>
      <c r="I214" s="167" t="str">
        <f>""</f>
        <v/>
      </c>
      <c r="J214" s="1118" t="str">
        <f>""</f>
        <v/>
      </c>
      <c r="K214" s="167" t="b">
        <v>1</v>
      </c>
      <c r="L214" s="167" t="b">
        <v>0</v>
      </c>
      <c r="M214" s="170">
        <v>0.98699999999999999</v>
      </c>
      <c r="N214" s="1119">
        <f t="shared" si="3"/>
        <v>2E-3</v>
      </c>
      <c r="O214" s="1120">
        <f t="shared" si="4"/>
        <v>1.6E-2</v>
      </c>
      <c r="P214" s="596">
        <v>2E-3</v>
      </c>
      <c r="Q214" s="480">
        <f t="shared" si="5"/>
        <v>0.94751999999999992</v>
      </c>
      <c r="R214" s="191">
        <f t="shared" si="6"/>
        <v>0.67115999999999998</v>
      </c>
      <c r="S214" s="595">
        <f>0.957</f>
        <v>0.95699999999999996</v>
      </c>
    </row>
    <row r="215" spans="1:19" x14ac:dyDescent="0.25">
      <c r="A215" s="166" t="str">
        <f t="shared" si="1"/>
        <v xml:space="preserve">Production of lime or calcination of dolomite or magnesite in rotary kilns or in other furnaces with a production capacity exceeding 50 tonnes per day </v>
      </c>
      <c r="B215" s="167">
        <v>11</v>
      </c>
      <c r="C215" s="167">
        <f t="shared" si="8"/>
        <v>12</v>
      </c>
      <c r="D215" s="168" t="str">
        <f t="shared" si="2"/>
        <v>11.12</v>
      </c>
      <c r="E215" s="167" t="str">
        <f>Translations!$B$984</f>
        <v>Lime</v>
      </c>
      <c r="F215" s="167" t="str">
        <f t="shared" si="7"/>
        <v>tonnes</v>
      </c>
      <c r="G215" s="167" t="b">
        <v>1</v>
      </c>
      <c r="H215" s="167" t="b">
        <v>0</v>
      </c>
      <c r="I215" s="167" t="str">
        <f>Translations!$B$1485</f>
        <v>Please use lime tool in sheet "SpecialBM" for calculating historical activity levels.</v>
      </c>
      <c r="J215" s="1118" t="str">
        <f>"#JUMP_H_II"</f>
        <v>#JUMP_H_II</v>
      </c>
      <c r="K215" s="167" t="b">
        <v>1</v>
      </c>
      <c r="L215" s="167" t="b">
        <v>0</v>
      </c>
      <c r="M215" s="170">
        <v>0.95399999999999996</v>
      </c>
      <c r="N215" s="1119">
        <f t="shared" si="3"/>
        <v>2E-3</v>
      </c>
      <c r="O215" s="1120">
        <f t="shared" si="4"/>
        <v>1.6E-2</v>
      </c>
      <c r="P215" s="596">
        <v>1.6E-2</v>
      </c>
      <c r="Q215" s="480">
        <f t="shared" si="5"/>
        <v>0.91583999999999988</v>
      </c>
      <c r="R215" s="191">
        <f t="shared" si="6"/>
        <v>0.64871999999999996</v>
      </c>
      <c r="S215" s="595">
        <f>0.725</f>
        <v>0.72499999999999998</v>
      </c>
    </row>
    <row r="216" spans="1:19" x14ac:dyDescent="0.25">
      <c r="A216" s="166" t="str">
        <f t="shared" si="1"/>
        <v xml:space="preserve">Production of lime or calcination of dolomite or magnesite in rotary kilns or in other furnaces with a production capacity exceeding 50 tonnes per day </v>
      </c>
      <c r="B216" s="167">
        <v>11</v>
      </c>
      <c r="C216" s="167">
        <f t="shared" si="8"/>
        <v>13</v>
      </c>
      <c r="D216" s="168" t="str">
        <f t="shared" si="2"/>
        <v>11.13</v>
      </c>
      <c r="E216" s="167" t="str">
        <f>Translations!$B$1001</f>
        <v>Dolime</v>
      </c>
      <c r="F216" s="167" t="str">
        <f t="shared" si="7"/>
        <v>tonnes</v>
      </c>
      <c r="G216" s="167" t="b">
        <v>1</v>
      </c>
      <c r="H216" s="167" t="b">
        <v>0</v>
      </c>
      <c r="I216" s="167" t="str">
        <f>Translations!$B$1486</f>
        <v>Please use dolime tool in sheet "SpecialBM" for calculating historical activity levels.</v>
      </c>
      <c r="J216" s="1118" t="str">
        <f>"#JUMP_H_III"</f>
        <v>#JUMP_H_III</v>
      </c>
      <c r="K216" s="167" t="b">
        <v>1</v>
      </c>
      <c r="L216" s="167" t="b">
        <v>0</v>
      </c>
      <c r="M216" s="170">
        <v>1.0720000000000001</v>
      </c>
      <c r="N216" s="1119">
        <f t="shared" si="3"/>
        <v>2E-3</v>
      </c>
      <c r="O216" s="1120">
        <f t="shared" si="4"/>
        <v>1.6E-2</v>
      </c>
      <c r="P216" s="596">
        <v>1.6E-2</v>
      </c>
      <c r="Q216" s="480">
        <f t="shared" si="5"/>
        <v>1.02912</v>
      </c>
      <c r="R216" s="191">
        <f t="shared" si="6"/>
        <v>0.72895999999999994</v>
      </c>
      <c r="S216" s="595">
        <f>0.815</f>
        <v>0.81499999999999995</v>
      </c>
    </row>
    <row r="217" spans="1:19" x14ac:dyDescent="0.25">
      <c r="A217" s="166" t="str">
        <f t="shared" si="1"/>
        <v xml:space="preserve">Production of lime or calcination of dolomite or magnesite in rotary kilns or in other furnaces with a production capacity exceeding 50 tonnes per day </v>
      </c>
      <c r="B217" s="167">
        <v>11</v>
      </c>
      <c r="C217" s="167">
        <f t="shared" si="8"/>
        <v>14</v>
      </c>
      <c r="D217" s="168" t="str">
        <f t="shared" si="2"/>
        <v>11.14</v>
      </c>
      <c r="E217" s="167" t="str">
        <f>Translations!$B$1487</f>
        <v>Sintered dolime</v>
      </c>
      <c r="F217" s="167" t="str">
        <f t="shared" si="7"/>
        <v>tonnes</v>
      </c>
      <c r="G217" s="167" t="b">
        <v>1</v>
      </c>
      <c r="H217" s="167" t="b">
        <v>0</v>
      </c>
      <c r="I217" s="167" t="str">
        <f>""</f>
        <v/>
      </c>
      <c r="J217" s="1118" t="str">
        <f>""</f>
        <v/>
      </c>
      <c r="K217" s="167" t="b">
        <v>1</v>
      </c>
      <c r="L217" s="167" t="b">
        <v>0</v>
      </c>
      <c r="M217" s="170">
        <v>1.4490000000000001</v>
      </c>
      <c r="N217" s="1119">
        <f t="shared" si="3"/>
        <v>2E-3</v>
      </c>
      <c r="O217" s="1120">
        <f t="shared" si="4"/>
        <v>1.6E-2</v>
      </c>
      <c r="P217" s="596">
        <v>2E-3</v>
      </c>
      <c r="Q217" s="480">
        <f t="shared" si="5"/>
        <v>1.3910400000000001</v>
      </c>
      <c r="R217" s="191">
        <f t="shared" si="6"/>
        <v>0.98531999999999997</v>
      </c>
      <c r="S217" s="595">
        <f>1.406</f>
        <v>1.4059999999999999</v>
      </c>
    </row>
    <row r="218" spans="1:19" x14ac:dyDescent="0.25">
      <c r="A218" s="166" t="str">
        <f t="shared" si="1"/>
        <v xml:space="preserve">Manufacture of glass including glass fibre with a melting capacity exceeding 20 tonnes per day </v>
      </c>
      <c r="B218" s="167">
        <v>12</v>
      </c>
      <c r="C218" s="167">
        <f t="shared" si="8"/>
        <v>15</v>
      </c>
      <c r="D218" s="168" t="str">
        <f t="shared" si="2"/>
        <v>12.15</v>
      </c>
      <c r="E218" s="167" t="str">
        <f>Translations!$B$1488</f>
        <v>Float glass</v>
      </c>
      <c r="F218" s="167" t="str">
        <f t="shared" si="7"/>
        <v>tonnes</v>
      </c>
      <c r="G218" s="167" t="b">
        <v>1</v>
      </c>
      <c r="H218" s="167" t="b">
        <v>0</v>
      </c>
      <c r="I218" s="167" t="str">
        <f>""</f>
        <v/>
      </c>
      <c r="J218" s="1118" t="str">
        <f>""</f>
        <v/>
      </c>
      <c r="K218" s="167" t="b">
        <v>1</v>
      </c>
      <c r="L218" s="167" t="b">
        <v>0</v>
      </c>
      <c r="M218" s="170">
        <v>0.45300000000000001</v>
      </c>
      <c r="N218" s="1119">
        <f t="shared" si="3"/>
        <v>2E-3</v>
      </c>
      <c r="O218" s="1120">
        <f t="shared" si="4"/>
        <v>1.6E-2</v>
      </c>
      <c r="P218" s="596">
        <v>7.957760694729742E-3</v>
      </c>
      <c r="Q218" s="480">
        <f t="shared" si="5"/>
        <v>0.43487999999999999</v>
      </c>
      <c r="R218" s="191">
        <f t="shared" si="6"/>
        <v>0.30803999999999998</v>
      </c>
      <c r="S218" s="595">
        <f>0.399</f>
        <v>0.39900000000000002</v>
      </c>
    </row>
    <row r="219" spans="1:19" x14ac:dyDescent="0.25">
      <c r="A219" s="166" t="str">
        <f t="shared" si="1"/>
        <v xml:space="preserve">Manufacture of glass including glass fibre with a melting capacity exceeding 20 tonnes per day </v>
      </c>
      <c r="B219" s="167">
        <v>12</v>
      </c>
      <c r="C219" s="167">
        <f t="shared" si="8"/>
        <v>16</v>
      </c>
      <c r="D219" s="168" t="str">
        <f t="shared" si="2"/>
        <v>12.16</v>
      </c>
      <c r="E219" s="167" t="str">
        <f>Translations!$B$1489</f>
        <v>Bottles and jars of colourless glass</v>
      </c>
      <c r="F219" s="167" t="str">
        <f t="shared" si="7"/>
        <v>tonnes</v>
      </c>
      <c r="G219" s="167" t="b">
        <v>1</v>
      </c>
      <c r="H219" s="167" t="b">
        <v>0</v>
      </c>
      <c r="I219" s="167" t="str">
        <f>""</f>
        <v/>
      </c>
      <c r="J219" s="1118" t="str">
        <f>""</f>
        <v/>
      </c>
      <c r="K219" s="167" t="b">
        <v>1</v>
      </c>
      <c r="L219" s="167" t="b">
        <v>0</v>
      </c>
      <c r="M219" s="170">
        <v>0.38200000000000001</v>
      </c>
      <c r="N219" s="1119">
        <f t="shared" si="3"/>
        <v>2E-3</v>
      </c>
      <c r="O219" s="1120">
        <f t="shared" si="4"/>
        <v>1.6E-2</v>
      </c>
      <c r="P219" s="596">
        <v>1.6E-2</v>
      </c>
      <c r="Q219" s="480">
        <f t="shared" si="5"/>
        <v>0.36671999999999999</v>
      </c>
      <c r="R219" s="191">
        <f t="shared" si="6"/>
        <v>0.25975999999999999</v>
      </c>
      <c r="S219" s="595">
        <f>0.29</f>
        <v>0.28999999999999998</v>
      </c>
    </row>
    <row r="220" spans="1:19" x14ac:dyDescent="0.25">
      <c r="A220" s="166" t="str">
        <f t="shared" si="1"/>
        <v xml:space="preserve">Manufacture of glass including glass fibre with a melting capacity exceeding 20 tonnes per day </v>
      </c>
      <c r="B220" s="167">
        <v>12</v>
      </c>
      <c r="C220" s="167">
        <f t="shared" si="8"/>
        <v>17</v>
      </c>
      <c r="D220" s="168" t="str">
        <f t="shared" si="2"/>
        <v>12.17</v>
      </c>
      <c r="E220" s="167" t="str">
        <f>Translations!$B$1490</f>
        <v>Bottles and jars of coloured glass</v>
      </c>
      <c r="F220" s="167" t="str">
        <f t="shared" si="7"/>
        <v>tonnes</v>
      </c>
      <c r="G220" s="167" t="b">
        <v>1</v>
      </c>
      <c r="H220" s="167" t="b">
        <v>0</v>
      </c>
      <c r="I220" s="167" t="str">
        <f>""</f>
        <v/>
      </c>
      <c r="J220" s="1118" t="str">
        <f>""</f>
        <v/>
      </c>
      <c r="K220" s="167" t="b">
        <v>1</v>
      </c>
      <c r="L220" s="167" t="b">
        <v>0</v>
      </c>
      <c r="M220" s="170">
        <v>0.30599999999999999</v>
      </c>
      <c r="N220" s="1119">
        <f t="shared" si="3"/>
        <v>2E-3</v>
      </c>
      <c r="O220" s="1120">
        <f t="shared" si="4"/>
        <v>1.6E-2</v>
      </c>
      <c r="P220" s="596">
        <v>1.4967985131793069E-2</v>
      </c>
      <c r="Q220" s="480">
        <f t="shared" si="5"/>
        <v>0.29375999999999997</v>
      </c>
      <c r="R220" s="191">
        <f t="shared" si="6"/>
        <v>0.20807999999999999</v>
      </c>
      <c r="S220" s="595">
        <f>0.237</f>
        <v>0.23699999999999999</v>
      </c>
    </row>
    <row r="221" spans="1:19" x14ac:dyDescent="0.25">
      <c r="A221" s="166" t="str">
        <f t="shared" si="1"/>
        <v xml:space="preserve">Manufacture of glass including glass fibre with a melting capacity exceeding 20 tonnes per day </v>
      </c>
      <c r="B221" s="167">
        <v>12</v>
      </c>
      <c r="C221" s="167">
        <f t="shared" si="8"/>
        <v>18</v>
      </c>
      <c r="D221" s="168" t="str">
        <f t="shared" si="2"/>
        <v>12.18</v>
      </c>
      <c r="E221" s="167" t="str">
        <f>Translations!$B$1491</f>
        <v>Continuous filament glass fibre products</v>
      </c>
      <c r="F221" s="167" t="str">
        <f t="shared" si="7"/>
        <v>tonnes</v>
      </c>
      <c r="G221" s="167" t="b">
        <v>1</v>
      </c>
      <c r="H221" s="167" t="b">
        <v>0</v>
      </c>
      <c r="I221" s="167" t="str">
        <f>""</f>
        <v/>
      </c>
      <c r="J221" s="1118" t="str">
        <f>""</f>
        <v/>
      </c>
      <c r="K221" s="167" t="b">
        <v>1</v>
      </c>
      <c r="L221" s="167" t="b">
        <v>0</v>
      </c>
      <c r="M221" s="170">
        <v>0.40600000000000003</v>
      </c>
      <c r="N221" s="1119">
        <f t="shared" si="3"/>
        <v>2E-3</v>
      </c>
      <c r="O221" s="1120">
        <f t="shared" si="4"/>
        <v>1.6E-2</v>
      </c>
      <c r="P221" s="596">
        <v>1.6E-2</v>
      </c>
      <c r="Q221" s="480">
        <f t="shared" si="5"/>
        <v>0.38976</v>
      </c>
      <c r="R221" s="191">
        <f t="shared" si="6"/>
        <v>0.27607999999999999</v>
      </c>
      <c r="S221" s="595">
        <f>0.309</f>
        <v>0.309</v>
      </c>
    </row>
    <row r="222" spans="1:19" x14ac:dyDescent="0.25">
      <c r="A222" s="166" t="str">
        <f t="shared" si="1"/>
        <v xml:space="preserve">Manufacture of ceramic products by firing, in particular roofing tiles, bricks, refractory bricks, tiles, stoneware or porcelain, with a production capacity exceeding 75 tonnes per day </v>
      </c>
      <c r="B222" s="167">
        <v>13</v>
      </c>
      <c r="C222" s="167">
        <f t="shared" si="8"/>
        <v>19</v>
      </c>
      <c r="D222" s="168" t="str">
        <f t="shared" si="2"/>
        <v>13.19</v>
      </c>
      <c r="E222" s="167" t="str">
        <f>Translations!$B$1492</f>
        <v>Facing bricks</v>
      </c>
      <c r="F222" s="167" t="str">
        <f t="shared" si="7"/>
        <v>tonnes</v>
      </c>
      <c r="G222" s="167" t="b">
        <v>1</v>
      </c>
      <c r="H222" s="167" t="b">
        <v>0</v>
      </c>
      <c r="I222" s="167" t="str">
        <f>""</f>
        <v/>
      </c>
      <c r="J222" s="1118" t="str">
        <f>""</f>
        <v/>
      </c>
      <c r="K222" s="167" t="b">
        <v>1</v>
      </c>
      <c r="L222" s="167" t="b">
        <v>0</v>
      </c>
      <c r="M222" s="170">
        <v>0.13900000000000001</v>
      </c>
      <c r="N222" s="1119">
        <f t="shared" si="3"/>
        <v>2E-3</v>
      </c>
      <c r="O222" s="1120">
        <f t="shared" si="4"/>
        <v>1.6E-2</v>
      </c>
      <c r="P222" s="596">
        <v>1.6E-2</v>
      </c>
      <c r="Q222" s="480">
        <f t="shared" si="5"/>
        <v>0.13344</v>
      </c>
      <c r="R222" s="191">
        <f t="shared" si="6"/>
        <v>9.4519999999999993E-2</v>
      </c>
      <c r="S222" s="595">
        <f>0.106</f>
        <v>0.106</v>
      </c>
    </row>
    <row r="223" spans="1:19" x14ac:dyDescent="0.25">
      <c r="A223" s="166" t="str">
        <f t="shared" si="1"/>
        <v xml:space="preserve">Manufacture of ceramic products by firing, in particular roofing tiles, bricks, refractory bricks, tiles, stoneware or porcelain, with a production capacity exceeding 75 tonnes per day </v>
      </c>
      <c r="B223" s="167">
        <v>13</v>
      </c>
      <c r="C223" s="167">
        <f t="shared" si="8"/>
        <v>20</v>
      </c>
      <c r="D223" s="168" t="str">
        <f t="shared" si="2"/>
        <v>13.20</v>
      </c>
      <c r="E223" s="167" t="str">
        <f>Translations!$B$1493</f>
        <v>Pavers</v>
      </c>
      <c r="F223" s="167" t="str">
        <f t="shared" si="7"/>
        <v>tonnes</v>
      </c>
      <c r="G223" s="167" t="b">
        <v>1</v>
      </c>
      <c r="H223" s="167" t="b">
        <v>0</v>
      </c>
      <c r="I223" s="167" t="str">
        <f>""</f>
        <v/>
      </c>
      <c r="J223" s="1118" t="str">
        <f>""</f>
        <v/>
      </c>
      <c r="K223" s="167" t="b">
        <v>1</v>
      </c>
      <c r="L223" s="167" t="b">
        <v>0</v>
      </c>
      <c r="M223" s="170">
        <v>0.192</v>
      </c>
      <c r="N223" s="1119">
        <f t="shared" si="3"/>
        <v>2E-3</v>
      </c>
      <c r="O223" s="1120">
        <f t="shared" si="4"/>
        <v>1.6E-2</v>
      </c>
      <c r="P223" s="596">
        <v>1.6E-2</v>
      </c>
      <c r="Q223" s="480">
        <f t="shared" si="5"/>
        <v>0.18431999999999998</v>
      </c>
      <c r="R223" s="191">
        <f t="shared" si="6"/>
        <v>0.13055999999999998</v>
      </c>
      <c r="S223" s="595">
        <f>0.146</f>
        <v>0.14599999999999999</v>
      </c>
    </row>
    <row r="224" spans="1:19" x14ac:dyDescent="0.25">
      <c r="A224" s="166" t="str">
        <f t="shared" si="1"/>
        <v xml:space="preserve">Manufacture of ceramic products by firing, in particular roofing tiles, bricks, refractory bricks, tiles, stoneware or porcelain, with a production capacity exceeding 75 tonnes per day </v>
      </c>
      <c r="B224" s="167">
        <v>13</v>
      </c>
      <c r="C224" s="167">
        <f t="shared" si="8"/>
        <v>21</v>
      </c>
      <c r="D224" s="168" t="str">
        <f t="shared" si="2"/>
        <v>13.21</v>
      </c>
      <c r="E224" s="167" t="str">
        <f>Translations!$B$1494</f>
        <v>Roof tiles</v>
      </c>
      <c r="F224" s="167" t="str">
        <f t="shared" si="7"/>
        <v>tonnes</v>
      </c>
      <c r="G224" s="167" t="b">
        <v>1</v>
      </c>
      <c r="H224" s="167" t="b">
        <v>0</v>
      </c>
      <c r="I224" s="167" t="str">
        <f>""</f>
        <v/>
      </c>
      <c r="J224" s="1118" t="str">
        <f>""</f>
        <v/>
      </c>
      <c r="K224" s="167" t="b">
        <v>1</v>
      </c>
      <c r="L224" s="167" t="b">
        <v>0</v>
      </c>
      <c r="M224" s="170">
        <v>0.14399999999999999</v>
      </c>
      <c r="N224" s="1119">
        <f t="shared" si="3"/>
        <v>2E-3</v>
      </c>
      <c r="O224" s="1120">
        <f t="shared" si="4"/>
        <v>1.6E-2</v>
      </c>
      <c r="P224" s="596">
        <v>1.1108539831847293E-2</v>
      </c>
      <c r="Q224" s="480">
        <f t="shared" si="5"/>
        <v>0.13823999999999997</v>
      </c>
      <c r="R224" s="191">
        <f t="shared" si="6"/>
        <v>9.7919999999999979E-2</v>
      </c>
      <c r="S224" s="595">
        <f>0.12</f>
        <v>0.12</v>
      </c>
    </row>
    <row r="225" spans="1:19" x14ac:dyDescent="0.25">
      <c r="A225" s="166" t="str">
        <f t="shared" si="1"/>
        <v xml:space="preserve">Manufacture of ceramic products by firing, in particular roofing tiles, bricks, refractory bricks, tiles, stoneware or porcelain, with a production capacity exceeding 75 tonnes per day </v>
      </c>
      <c r="B225" s="167">
        <v>13</v>
      </c>
      <c r="C225" s="167">
        <f t="shared" si="8"/>
        <v>22</v>
      </c>
      <c r="D225" s="168" t="str">
        <f t="shared" si="2"/>
        <v>13.22</v>
      </c>
      <c r="E225" s="167" t="str">
        <f>Translations!$B$1495</f>
        <v>Spray dried powder</v>
      </c>
      <c r="F225" s="167" t="str">
        <f t="shared" si="7"/>
        <v>tonnes</v>
      </c>
      <c r="G225" s="167" t="b">
        <v>1</v>
      </c>
      <c r="H225" s="167" t="b">
        <v>0</v>
      </c>
      <c r="I225" s="167" t="str">
        <f>""</f>
        <v/>
      </c>
      <c r="J225" s="1118" t="str">
        <f>""</f>
        <v/>
      </c>
      <c r="K225" s="167" t="b">
        <v>1</v>
      </c>
      <c r="L225" s="167" t="b">
        <v>0</v>
      </c>
      <c r="M225" s="170">
        <v>7.5999999999999998E-2</v>
      </c>
      <c r="N225" s="1119">
        <f t="shared" si="3"/>
        <v>2E-3</v>
      </c>
      <c r="O225" s="1120">
        <f t="shared" si="4"/>
        <v>1.6E-2</v>
      </c>
      <c r="P225" s="596">
        <v>1.6E-2</v>
      </c>
      <c r="Q225" s="480">
        <f t="shared" si="5"/>
        <v>7.2959999999999997E-2</v>
      </c>
      <c r="R225" s="191">
        <f t="shared" si="6"/>
        <v>5.1679999999999997E-2</v>
      </c>
      <c r="S225" s="595">
        <f>0.058</f>
        <v>5.8000000000000003E-2</v>
      </c>
    </row>
    <row r="226" spans="1:19" x14ac:dyDescent="0.25">
      <c r="A226" s="166" t="str">
        <f t="shared" si="1"/>
        <v xml:space="preserve">Manufacture of mineral wool insulation material using glass, rock or slag with a melting capacity exceeding 20 tonnes per day </v>
      </c>
      <c r="B226" s="167">
        <v>14</v>
      </c>
      <c r="C226" s="167">
        <f t="shared" si="8"/>
        <v>23</v>
      </c>
      <c r="D226" s="168" t="str">
        <f t="shared" si="2"/>
        <v>14.23</v>
      </c>
      <c r="E226" s="167" t="str">
        <f>Translations!$B$1496</f>
        <v>Mineral wool</v>
      </c>
      <c r="F226" s="167" t="str">
        <f t="shared" si="7"/>
        <v>tonnes</v>
      </c>
      <c r="G226" s="167" t="b">
        <v>1</v>
      </c>
      <c r="H226" s="167" t="b">
        <v>1</v>
      </c>
      <c r="I226" s="167" t="str">
        <f>""</f>
        <v/>
      </c>
      <c r="J226" s="1118" t="str">
        <f>""</f>
        <v/>
      </c>
      <c r="K226" s="167" t="b">
        <v>1</v>
      </c>
      <c r="L226" s="167" t="b">
        <v>0</v>
      </c>
      <c r="M226" s="170">
        <v>0.68200000000000005</v>
      </c>
      <c r="N226" s="1119">
        <f t="shared" si="3"/>
        <v>2E-3</v>
      </c>
      <c r="O226" s="1120">
        <f t="shared" si="4"/>
        <v>1.6E-2</v>
      </c>
      <c r="P226" s="596">
        <v>1.4249463393826021E-2</v>
      </c>
      <c r="Q226" s="480">
        <f t="shared" si="5"/>
        <v>0.65472000000000008</v>
      </c>
      <c r="R226" s="191">
        <f t="shared" si="6"/>
        <v>0.46376000000000001</v>
      </c>
      <c r="S226" s="595">
        <f>0.536</f>
        <v>0.53600000000000003</v>
      </c>
    </row>
    <row r="227" spans="1:19" x14ac:dyDescent="0.25">
      <c r="A227" s="166" t="str">
        <f t="shared" si="1"/>
        <v xml:space="preserve">Drying or calcination of gypsum or production of plaster boards and other gypsum products, where combustion units with a total rated thermal input exceeding 20 MW are operated </v>
      </c>
      <c r="B227" s="167">
        <v>15</v>
      </c>
      <c r="C227" s="167">
        <f t="shared" si="8"/>
        <v>24</v>
      </c>
      <c r="D227" s="168" t="str">
        <f t="shared" si="2"/>
        <v>15.24</v>
      </c>
      <c r="E227" s="167" t="str">
        <f>Translations!$B$1497</f>
        <v>Plaster</v>
      </c>
      <c r="F227" s="167" t="str">
        <f t="shared" si="7"/>
        <v>tonnes</v>
      </c>
      <c r="G227" s="167" t="b">
        <v>1</v>
      </c>
      <c r="H227" s="167" t="b">
        <v>0</v>
      </c>
      <c r="I227" s="167" t="str">
        <f>""</f>
        <v/>
      </c>
      <c r="J227" s="1118" t="str">
        <f>""</f>
        <v/>
      </c>
      <c r="K227" s="167" t="b">
        <v>1</v>
      </c>
      <c r="L227" s="167" t="b">
        <v>0</v>
      </c>
      <c r="M227" s="170">
        <v>4.8000000000000001E-2</v>
      </c>
      <c r="N227" s="1119">
        <f t="shared" si="3"/>
        <v>2E-3</v>
      </c>
      <c r="O227" s="1120">
        <f t="shared" si="4"/>
        <v>1.6E-2</v>
      </c>
      <c r="P227" s="596">
        <v>2E-3</v>
      </c>
      <c r="Q227" s="480">
        <f t="shared" si="5"/>
        <v>4.6079999999999996E-2</v>
      </c>
      <c r="R227" s="191">
        <f t="shared" si="6"/>
        <v>3.2639999999999995E-2</v>
      </c>
      <c r="S227" s="595">
        <f>0.047</f>
        <v>4.7E-2</v>
      </c>
    </row>
    <row r="228" spans="1:19" x14ac:dyDescent="0.25">
      <c r="A228" s="166" t="str">
        <f t="shared" si="1"/>
        <v xml:space="preserve">Drying or calcination of gypsum or production of plaster boards and other gypsum products, where combustion units with a total rated thermal input exceeding 20 MW are operated </v>
      </c>
      <c r="B228" s="167">
        <v>15</v>
      </c>
      <c r="C228" s="167">
        <f t="shared" si="8"/>
        <v>25</v>
      </c>
      <c r="D228" s="168" t="str">
        <f t="shared" si="2"/>
        <v>15.25</v>
      </c>
      <c r="E228" s="167" t="str">
        <f>Translations!$B$1498</f>
        <v>Dried secondary gypsum</v>
      </c>
      <c r="F228" s="167" t="str">
        <f t="shared" si="7"/>
        <v>tonnes</v>
      </c>
      <c r="G228" s="167" t="b">
        <v>1</v>
      </c>
      <c r="H228" s="167" t="b">
        <v>0</v>
      </c>
      <c r="I228" s="167" t="str">
        <f>""</f>
        <v/>
      </c>
      <c r="J228" s="1118" t="str">
        <f>""</f>
        <v/>
      </c>
      <c r="K228" s="167" t="b">
        <v>1</v>
      </c>
      <c r="L228" s="167" t="b">
        <v>0</v>
      </c>
      <c r="M228" s="170">
        <v>1.7000000000000001E-2</v>
      </c>
      <c r="N228" s="1119">
        <f t="shared" si="3"/>
        <v>2E-3</v>
      </c>
      <c r="O228" s="1120">
        <f t="shared" si="4"/>
        <v>1.6E-2</v>
      </c>
      <c r="P228" s="596">
        <v>1.6E-2</v>
      </c>
      <c r="Q228" s="480">
        <f t="shared" si="5"/>
        <v>1.6320000000000001E-2</v>
      </c>
      <c r="R228" s="191">
        <f t="shared" si="6"/>
        <v>1.1559999999999999E-2</v>
      </c>
      <c r="S228" s="595">
        <f>0.013</f>
        <v>1.2999999999999999E-2</v>
      </c>
    </row>
    <row r="229" spans="1:19" x14ac:dyDescent="0.25">
      <c r="A229" s="166" t="str">
        <f t="shared" si="1"/>
        <v xml:space="preserve">Drying or calcination of gypsum or production of plaster boards and other gypsum products, where combustion units with a total rated thermal input exceeding 20 MW are operated </v>
      </c>
      <c r="B229" s="167">
        <v>15</v>
      </c>
      <c r="C229" s="167">
        <f t="shared" si="8"/>
        <v>26</v>
      </c>
      <c r="D229" s="168" t="str">
        <f t="shared" si="2"/>
        <v>15.26</v>
      </c>
      <c r="E229" s="167" t="str">
        <f>Translations!$B$1499</f>
        <v>Plasterboard</v>
      </c>
      <c r="F229" s="167" t="str">
        <f t="shared" si="7"/>
        <v>tonnes</v>
      </c>
      <c r="G229" s="167" t="b">
        <v>0</v>
      </c>
      <c r="H229" s="167" t="b">
        <v>1</v>
      </c>
      <c r="I229" s="167" t="str">
        <f>""</f>
        <v/>
      </c>
      <c r="J229" s="1118" t="str">
        <f>""</f>
        <v/>
      </c>
      <c r="K229" s="167" t="b">
        <v>1</v>
      </c>
      <c r="L229" s="167" t="b">
        <v>0</v>
      </c>
      <c r="M229" s="170">
        <v>0.13100000000000001</v>
      </c>
      <c r="N229" s="1119">
        <f t="shared" si="3"/>
        <v>2E-3</v>
      </c>
      <c r="O229" s="1120">
        <f t="shared" si="4"/>
        <v>1.6E-2</v>
      </c>
      <c r="P229" s="596">
        <v>1.0582385618580171E-2</v>
      </c>
      <c r="Q229" s="480">
        <f t="shared" si="5"/>
        <v>0.12576000000000001</v>
      </c>
      <c r="R229" s="191">
        <f t="shared" si="6"/>
        <v>8.9079999999999993E-2</v>
      </c>
      <c r="S229" s="595">
        <f>0.11</f>
        <v>0.11</v>
      </c>
    </row>
    <row r="230" spans="1:19" x14ac:dyDescent="0.25">
      <c r="A230" s="166" t="str">
        <f t="shared" si="1"/>
        <v xml:space="preserve">Production of pulp from timber or other fibrous materials </v>
      </c>
      <c r="B230" s="167">
        <v>16</v>
      </c>
      <c r="C230" s="167">
        <f t="shared" si="8"/>
        <v>27</v>
      </c>
      <c r="D230" s="168" t="str">
        <f t="shared" si="2"/>
        <v>16.27</v>
      </c>
      <c r="E230" s="167" t="str">
        <f>Translations!$B$1500</f>
        <v>Short fibre kraft pulp</v>
      </c>
      <c r="F230" s="167" t="str">
        <f>Translations!$B$1501</f>
        <v>Adt</v>
      </c>
      <c r="G230" s="167" t="b">
        <v>1</v>
      </c>
      <c r="H230" s="167" t="b">
        <v>0</v>
      </c>
      <c r="I230" s="169" t="str">
        <f>Translations!$B$1502</f>
        <v>Note that for integrated pulp &amp; paper production special allocation rules apply (Article 16(6) of the FAR).</v>
      </c>
      <c r="J230" s="1118" t="str">
        <f>""</f>
        <v/>
      </c>
      <c r="K230" s="167" t="b">
        <v>1</v>
      </c>
      <c r="L230" s="167" t="b">
        <v>1</v>
      </c>
      <c r="M230" s="170">
        <v>0.12</v>
      </c>
      <c r="N230" s="1119">
        <f t="shared" si="3"/>
        <v>2E-3</v>
      </c>
      <c r="O230" s="1120">
        <f t="shared" si="4"/>
        <v>1.6E-2</v>
      </c>
      <c r="P230" s="596">
        <v>1.6E-2</v>
      </c>
      <c r="Q230" s="480">
        <f t="shared" si="5"/>
        <v>0.1152</v>
      </c>
      <c r="R230" s="191">
        <f t="shared" si="6"/>
        <v>8.1599999999999992E-2</v>
      </c>
      <c r="S230" s="595">
        <f>0.091</f>
        <v>9.0999999999999998E-2</v>
      </c>
    </row>
    <row r="231" spans="1:19" x14ac:dyDescent="0.25">
      <c r="A231" s="166" t="str">
        <f t="shared" si="1"/>
        <v xml:space="preserve">Production of pulp from timber or other fibrous materials </v>
      </c>
      <c r="B231" s="167">
        <v>16</v>
      </c>
      <c r="C231" s="167">
        <f t="shared" si="8"/>
        <v>28</v>
      </c>
      <c r="D231" s="168" t="str">
        <f t="shared" si="2"/>
        <v>16.28</v>
      </c>
      <c r="E231" s="167" t="str">
        <f>Translations!$B$1503</f>
        <v>Long fibre kraft pulp</v>
      </c>
      <c r="F231" s="167" t="str">
        <f>Translations!$B$1501</f>
        <v>Adt</v>
      </c>
      <c r="G231" s="167" t="b">
        <v>1</v>
      </c>
      <c r="H231" s="167" t="b">
        <v>0</v>
      </c>
      <c r="I231" s="169" t="str">
        <f>Translations!$B$1502</f>
        <v>Note that for integrated pulp &amp; paper production special allocation rules apply (Article 16(6) of the FAR).</v>
      </c>
      <c r="J231" s="1118" t="str">
        <f>""</f>
        <v/>
      </c>
      <c r="K231" s="167" t="b">
        <v>1</v>
      </c>
      <c r="L231" s="167" t="b">
        <v>1</v>
      </c>
      <c r="M231" s="170">
        <v>0.06</v>
      </c>
      <c r="N231" s="1119">
        <f t="shared" si="3"/>
        <v>2E-3</v>
      </c>
      <c r="O231" s="1120">
        <f t="shared" si="4"/>
        <v>1.6E-2</v>
      </c>
      <c r="P231" s="596">
        <v>1.6E-2</v>
      </c>
      <c r="Q231" s="480">
        <f t="shared" si="5"/>
        <v>5.7599999999999998E-2</v>
      </c>
      <c r="R231" s="191">
        <f t="shared" si="6"/>
        <v>4.0799999999999996E-2</v>
      </c>
      <c r="S231" s="595">
        <f>0.046</f>
        <v>4.5999999999999999E-2</v>
      </c>
    </row>
    <row r="232" spans="1:19" x14ac:dyDescent="0.25">
      <c r="A232" s="166" t="str">
        <f t="shared" si="1"/>
        <v xml:space="preserve">Production of pulp from timber or other fibrous materials </v>
      </c>
      <c r="B232" s="167">
        <v>16</v>
      </c>
      <c r="C232" s="167">
        <f t="shared" si="8"/>
        <v>29</v>
      </c>
      <c r="D232" s="168" t="str">
        <f t="shared" si="2"/>
        <v>16.29</v>
      </c>
      <c r="E232" s="167" t="str">
        <f>Translations!$B$1504</f>
        <v>Sulphite pulp, thermo-mechanical and mechanical pulp</v>
      </c>
      <c r="F232" s="167" t="str">
        <f>Translations!$B$1501</f>
        <v>Adt</v>
      </c>
      <c r="G232" s="167" t="b">
        <v>1</v>
      </c>
      <c r="H232" s="167" t="b">
        <v>0</v>
      </c>
      <c r="I232" s="169" t="str">
        <f>Translations!$B$1502</f>
        <v>Note that for integrated pulp &amp; paper production special allocation rules apply (Article 16(6) of the FAR).</v>
      </c>
      <c r="J232" s="1118" t="str">
        <f>""</f>
        <v/>
      </c>
      <c r="K232" s="167" t="b">
        <v>1</v>
      </c>
      <c r="L232" s="167" t="b">
        <v>1</v>
      </c>
      <c r="M232" s="170">
        <v>0.02</v>
      </c>
      <c r="N232" s="1119">
        <f t="shared" si="3"/>
        <v>2E-3</v>
      </c>
      <c r="O232" s="1120">
        <f t="shared" si="4"/>
        <v>1.6E-2</v>
      </c>
      <c r="P232" s="596">
        <v>1.6E-2</v>
      </c>
      <c r="Q232" s="480">
        <f t="shared" si="5"/>
        <v>1.9199999999999998E-2</v>
      </c>
      <c r="R232" s="191">
        <f t="shared" si="6"/>
        <v>1.3599999999999999E-2</v>
      </c>
      <c r="S232" s="595">
        <f>0.015</f>
        <v>1.4999999999999999E-2</v>
      </c>
    </row>
    <row r="233" spans="1:19" x14ac:dyDescent="0.25">
      <c r="A233" s="166" t="str">
        <f t="shared" si="1"/>
        <v xml:space="preserve">Production of pulp from timber or other fibrous materials </v>
      </c>
      <c r="B233" s="167">
        <v>16</v>
      </c>
      <c r="C233" s="167">
        <f t="shared" si="8"/>
        <v>30</v>
      </c>
      <c r="D233" s="168" t="str">
        <f t="shared" si="2"/>
        <v>16.30</v>
      </c>
      <c r="E233" s="167" t="str">
        <f>Translations!$B$1505</f>
        <v>Recovered paper pulp</v>
      </c>
      <c r="F233" s="167" t="str">
        <f>Translations!$B$1501</f>
        <v>Adt</v>
      </c>
      <c r="G233" s="167" t="b">
        <v>1</v>
      </c>
      <c r="H233" s="167" t="b">
        <v>0</v>
      </c>
      <c r="I233" s="167" t="str">
        <f>""</f>
        <v/>
      </c>
      <c r="J233" s="1118" t="str">
        <f>""</f>
        <v/>
      </c>
      <c r="K233" s="167" t="b">
        <v>1</v>
      </c>
      <c r="L233" s="167" t="b">
        <v>0</v>
      </c>
      <c r="M233" s="170">
        <v>3.9E-2</v>
      </c>
      <c r="N233" s="1119">
        <f t="shared" si="3"/>
        <v>2E-3</v>
      </c>
      <c r="O233" s="1120">
        <f t="shared" si="4"/>
        <v>1.6E-2</v>
      </c>
      <c r="P233" s="596">
        <v>1.6E-2</v>
      </c>
      <c r="Q233" s="480">
        <f t="shared" si="5"/>
        <v>3.7440000000000001E-2</v>
      </c>
      <c r="R233" s="191">
        <f t="shared" si="6"/>
        <v>2.6519999999999998E-2</v>
      </c>
      <c r="S233" s="595">
        <f>0.03</f>
        <v>0.03</v>
      </c>
    </row>
    <row r="234" spans="1:19" x14ac:dyDescent="0.25">
      <c r="A234" s="166" t="str">
        <f t="shared" si="1"/>
        <v xml:space="preserve">Production of paper or cardboard with a production capacity exceeding 20 tonnes per day </v>
      </c>
      <c r="B234" s="167">
        <v>17</v>
      </c>
      <c r="C234" s="167">
        <f t="shared" si="8"/>
        <v>31</v>
      </c>
      <c r="D234" s="168" t="str">
        <f t="shared" si="2"/>
        <v>17.31</v>
      </c>
      <c r="E234" s="167" t="str">
        <f>Translations!$B$1506</f>
        <v>Newsprint</v>
      </c>
      <c r="F234" s="167" t="str">
        <f>Translations!$B$1501</f>
        <v>Adt</v>
      </c>
      <c r="G234" s="167" t="b">
        <v>1</v>
      </c>
      <c r="H234" s="167" t="b">
        <v>0</v>
      </c>
      <c r="I234" s="167" t="str">
        <f>""</f>
        <v/>
      </c>
      <c r="J234" s="1118" t="str">
        <f>""</f>
        <v/>
      </c>
      <c r="K234" s="167" t="b">
        <v>1</v>
      </c>
      <c r="L234" s="167" t="b">
        <v>0</v>
      </c>
      <c r="M234" s="170">
        <v>0.29799999999999999</v>
      </c>
      <c r="N234" s="1119">
        <f t="shared" si="3"/>
        <v>2E-3</v>
      </c>
      <c r="O234" s="1120">
        <f t="shared" si="4"/>
        <v>1.6E-2</v>
      </c>
      <c r="P234" s="596">
        <v>1.6E-2</v>
      </c>
      <c r="Q234" s="480">
        <f t="shared" si="5"/>
        <v>0.28608</v>
      </c>
      <c r="R234" s="191">
        <f t="shared" si="6"/>
        <v>0.20263999999999996</v>
      </c>
      <c r="S234" s="595">
        <f>0.226</f>
        <v>0.22600000000000001</v>
      </c>
    </row>
    <row r="235" spans="1:19" x14ac:dyDescent="0.25">
      <c r="A235" s="166" t="str">
        <f t="shared" si="1"/>
        <v xml:space="preserve">Production of paper or cardboard with a production capacity exceeding 20 tonnes per day </v>
      </c>
      <c r="B235" s="167">
        <v>17</v>
      </c>
      <c r="C235" s="167">
        <f t="shared" si="8"/>
        <v>32</v>
      </c>
      <c r="D235" s="168" t="str">
        <f t="shared" si="2"/>
        <v>17.32</v>
      </c>
      <c r="E235" s="167" t="str">
        <f>Translations!$B$1507</f>
        <v>Uncoated fine paper</v>
      </c>
      <c r="F235" s="167" t="str">
        <f>Translations!$B$1501</f>
        <v>Adt</v>
      </c>
      <c r="G235" s="167" t="b">
        <v>1</v>
      </c>
      <c r="H235" s="167" t="b">
        <v>0</v>
      </c>
      <c r="I235" s="167" t="str">
        <f>""</f>
        <v/>
      </c>
      <c r="J235" s="1118" t="str">
        <f>""</f>
        <v/>
      </c>
      <c r="K235" s="167" t="b">
        <v>1</v>
      </c>
      <c r="L235" s="167" t="b">
        <v>0</v>
      </c>
      <c r="M235" s="170">
        <v>0.318</v>
      </c>
      <c r="N235" s="1119">
        <f t="shared" si="3"/>
        <v>2E-3</v>
      </c>
      <c r="O235" s="1120">
        <f t="shared" si="4"/>
        <v>1.6E-2</v>
      </c>
      <c r="P235" s="596">
        <v>1.6E-2</v>
      </c>
      <c r="Q235" s="480">
        <f t="shared" si="5"/>
        <v>0.30528</v>
      </c>
      <c r="R235" s="191">
        <f t="shared" si="6"/>
        <v>0.21623999999999999</v>
      </c>
      <c r="S235" s="595">
        <f>0.242</f>
        <v>0.24199999999999999</v>
      </c>
    </row>
    <row r="236" spans="1:19" x14ac:dyDescent="0.25">
      <c r="A236" s="166" t="str">
        <f t="shared" ref="A236:A255" si="9">VLOOKUP(B236,$A$173:$B$200,2,0)</f>
        <v xml:space="preserve">Production of paper or cardboard with a production capacity exceeding 20 tonnes per day </v>
      </c>
      <c r="B236" s="167">
        <v>17</v>
      </c>
      <c r="C236" s="167">
        <f t="shared" si="8"/>
        <v>33</v>
      </c>
      <c r="D236" s="168" t="str">
        <f t="shared" ref="D236:D255" si="10">CONCATENATE(TEXT(B236,"00"),".",TEXT(C236,"00"))</f>
        <v>17.33</v>
      </c>
      <c r="E236" s="167" t="str">
        <f>Translations!$B$1508</f>
        <v>Coated fine paper</v>
      </c>
      <c r="F236" s="167" t="str">
        <f>Translations!$B$1501</f>
        <v>Adt</v>
      </c>
      <c r="G236" s="167" t="b">
        <v>1</v>
      </c>
      <c r="H236" s="167" t="b">
        <v>0</v>
      </c>
      <c r="I236" s="167" t="str">
        <f>""</f>
        <v/>
      </c>
      <c r="J236" s="1118" t="str">
        <f>""</f>
        <v/>
      </c>
      <c r="K236" s="167" t="b">
        <v>1</v>
      </c>
      <c r="L236" s="167" t="b">
        <v>0</v>
      </c>
      <c r="M236" s="170">
        <v>0.318</v>
      </c>
      <c r="N236" s="1119">
        <f t="shared" ref="N236:N255" si="11">INDEX(EUconst_BM_ARR_Range,1)</f>
        <v>2E-3</v>
      </c>
      <c r="O236" s="1120">
        <f t="shared" ref="O236:O255" si="12">IF(AND(C236=4,CNTR_BaselinePeriod=1),INDEX(EUconst_BM_ARR_Range,1),INDEX(EUconst_BM_ARR_Range,2))</f>
        <v>1.6E-2</v>
      </c>
      <c r="P236" s="596">
        <v>1.6E-2</v>
      </c>
      <c r="Q236" s="480">
        <f t="shared" ref="Q236:Q255" si="13">$M236*(1-N236*(15+(IF(CNTR_BaselinePeriod=EUconst_NA,1,CNTR_BaselinePeriod)-1)*5))</f>
        <v>0.30528</v>
      </c>
      <c r="R236" s="191">
        <f t="shared" ref="R236:R255" si="14">$M236*(1-O236*(15+(IF(CNTR_BaselinePeriod=EUconst_NA,1,CNTR_BaselinePeriod)-1)*5))</f>
        <v>0.21623999999999999</v>
      </c>
      <c r="S236" s="595">
        <f>0.242</f>
        <v>0.24199999999999999</v>
      </c>
    </row>
    <row r="237" spans="1:19" x14ac:dyDescent="0.25">
      <c r="A237" s="166" t="str">
        <f t="shared" si="9"/>
        <v xml:space="preserve">Production of paper or cardboard with a production capacity exceeding 20 tonnes per day </v>
      </c>
      <c r="B237" s="167">
        <v>17</v>
      </c>
      <c r="C237" s="167">
        <f t="shared" si="8"/>
        <v>34</v>
      </c>
      <c r="D237" s="168" t="str">
        <f t="shared" si="10"/>
        <v>17.34</v>
      </c>
      <c r="E237" s="167" t="str">
        <f>Translations!$B$1509</f>
        <v>Tissue</v>
      </c>
      <c r="F237" s="167" t="str">
        <f>EUconst_Tons</f>
        <v>tonnes</v>
      </c>
      <c r="G237" s="167" t="b">
        <v>1</v>
      </c>
      <c r="H237" s="167" t="b">
        <v>0</v>
      </c>
      <c r="I237" s="167" t="str">
        <f>""</f>
        <v/>
      </c>
      <c r="J237" s="1118" t="str">
        <f>""</f>
        <v/>
      </c>
      <c r="K237" s="167" t="b">
        <v>1</v>
      </c>
      <c r="L237" s="167" t="b">
        <v>0</v>
      </c>
      <c r="M237" s="170">
        <v>0.33400000000000002</v>
      </c>
      <c r="N237" s="1119">
        <f t="shared" si="11"/>
        <v>2E-3</v>
      </c>
      <c r="O237" s="1120">
        <f t="shared" si="12"/>
        <v>1.6E-2</v>
      </c>
      <c r="P237" s="596">
        <v>1.6E-2</v>
      </c>
      <c r="Q237" s="480">
        <f t="shared" si="13"/>
        <v>0.32063999999999998</v>
      </c>
      <c r="R237" s="191">
        <f t="shared" si="14"/>
        <v>0.22711999999999999</v>
      </c>
      <c r="S237" s="595">
        <f>0.254</f>
        <v>0.254</v>
      </c>
    </row>
    <row r="238" spans="1:19" x14ac:dyDescent="0.25">
      <c r="A238" s="166" t="str">
        <f t="shared" si="9"/>
        <v xml:space="preserve">Production of paper or cardboard with a production capacity exceeding 20 tonnes per day </v>
      </c>
      <c r="B238" s="167">
        <v>17</v>
      </c>
      <c r="C238" s="167">
        <f t="shared" si="8"/>
        <v>35</v>
      </c>
      <c r="D238" s="168" t="str">
        <f t="shared" si="10"/>
        <v>17.35</v>
      </c>
      <c r="E238" s="167" t="str">
        <f>Translations!$B$1510</f>
        <v>Testliner and fluting</v>
      </c>
      <c r="F238" s="167" t="str">
        <f>Translations!$B$1501</f>
        <v>Adt</v>
      </c>
      <c r="G238" s="167" t="b">
        <v>1</v>
      </c>
      <c r="H238" s="167" t="b">
        <v>0</v>
      </c>
      <c r="I238" s="167" t="str">
        <f>""</f>
        <v/>
      </c>
      <c r="J238" s="1118" t="str">
        <f>""</f>
        <v/>
      </c>
      <c r="K238" s="167" t="b">
        <v>1</v>
      </c>
      <c r="L238" s="167" t="b">
        <v>0</v>
      </c>
      <c r="M238" s="170">
        <v>0.248</v>
      </c>
      <c r="N238" s="1119">
        <f t="shared" si="11"/>
        <v>2E-3</v>
      </c>
      <c r="O238" s="1120">
        <f t="shared" si="12"/>
        <v>1.6E-2</v>
      </c>
      <c r="P238" s="596">
        <v>1.6E-2</v>
      </c>
      <c r="Q238" s="480">
        <f t="shared" si="13"/>
        <v>0.23807999999999999</v>
      </c>
      <c r="R238" s="191">
        <f t="shared" si="14"/>
        <v>0.16863999999999998</v>
      </c>
      <c r="S238" s="595">
        <f>0.188</f>
        <v>0.188</v>
      </c>
    </row>
    <row r="239" spans="1:19" x14ac:dyDescent="0.25">
      <c r="A239" s="166" t="str">
        <f t="shared" si="9"/>
        <v xml:space="preserve">Production of paper or cardboard with a production capacity exceeding 20 tonnes per day </v>
      </c>
      <c r="B239" s="167">
        <v>17</v>
      </c>
      <c r="C239" s="167">
        <f t="shared" si="8"/>
        <v>36</v>
      </c>
      <c r="D239" s="168" t="str">
        <f t="shared" si="10"/>
        <v>17.36</v>
      </c>
      <c r="E239" s="167" t="str">
        <f>Translations!$B$1511</f>
        <v>Uncoated carton board</v>
      </c>
      <c r="F239" s="167" t="str">
        <f>Translations!$B$1501</f>
        <v>Adt</v>
      </c>
      <c r="G239" s="167" t="b">
        <v>1</v>
      </c>
      <c r="H239" s="167" t="b">
        <v>0</v>
      </c>
      <c r="I239" s="167" t="str">
        <f>""</f>
        <v/>
      </c>
      <c r="J239" s="1118" t="str">
        <f>""</f>
        <v/>
      </c>
      <c r="K239" s="167" t="b">
        <v>1</v>
      </c>
      <c r="L239" s="167" t="b">
        <v>0</v>
      </c>
      <c r="M239" s="170">
        <v>0.23699999999999999</v>
      </c>
      <c r="N239" s="1119">
        <f t="shared" si="11"/>
        <v>2E-3</v>
      </c>
      <c r="O239" s="1120">
        <f t="shared" si="12"/>
        <v>1.6E-2</v>
      </c>
      <c r="P239" s="596">
        <v>1.6E-2</v>
      </c>
      <c r="Q239" s="480">
        <f t="shared" si="13"/>
        <v>0.22751999999999997</v>
      </c>
      <c r="R239" s="191">
        <f t="shared" si="14"/>
        <v>0.16115999999999997</v>
      </c>
      <c r="S239" s="595">
        <f>0.18</f>
        <v>0.18</v>
      </c>
    </row>
    <row r="240" spans="1:19" x14ac:dyDescent="0.25">
      <c r="A240" s="166" t="str">
        <f t="shared" si="9"/>
        <v xml:space="preserve">Production of paper or cardboard with a production capacity exceeding 20 tonnes per day </v>
      </c>
      <c r="B240" s="167">
        <v>17</v>
      </c>
      <c r="C240" s="167">
        <f t="shared" si="8"/>
        <v>37</v>
      </c>
      <c r="D240" s="168" t="str">
        <f t="shared" si="10"/>
        <v>17.37</v>
      </c>
      <c r="E240" s="167" t="str">
        <f>Translations!$B$1512</f>
        <v>Coated carton board</v>
      </c>
      <c r="F240" s="167" t="str">
        <f>Translations!$B$1501</f>
        <v>Adt</v>
      </c>
      <c r="G240" s="167" t="b">
        <v>1</v>
      </c>
      <c r="H240" s="167" t="b">
        <v>0</v>
      </c>
      <c r="I240" s="167" t="str">
        <f>""</f>
        <v/>
      </c>
      <c r="J240" s="1118" t="str">
        <f>""</f>
        <v/>
      </c>
      <c r="K240" s="167" t="b">
        <v>1</v>
      </c>
      <c r="L240" s="167" t="b">
        <v>0</v>
      </c>
      <c r="M240" s="170">
        <v>0.27300000000000002</v>
      </c>
      <c r="N240" s="1119">
        <f t="shared" si="11"/>
        <v>2E-3</v>
      </c>
      <c r="O240" s="1120">
        <f t="shared" si="12"/>
        <v>1.6E-2</v>
      </c>
      <c r="P240" s="596">
        <v>1.6E-2</v>
      </c>
      <c r="Q240" s="480">
        <f t="shared" si="13"/>
        <v>0.26208000000000004</v>
      </c>
      <c r="R240" s="191">
        <f t="shared" si="14"/>
        <v>0.18564</v>
      </c>
      <c r="S240" s="595">
        <f>0.207</f>
        <v>0.20699999999999999</v>
      </c>
    </row>
    <row r="241" spans="1:19" x14ac:dyDescent="0.25">
      <c r="A241" s="166" t="str">
        <f t="shared" si="9"/>
        <v xml:space="preserve">Production of carbon black involving the carbonisation of organic substances such as oils, tars, cracker and distillation residues, where combustion units with a total rated thermal input exceeding 20 MW are operated </v>
      </c>
      <c r="B241" s="167">
        <v>18</v>
      </c>
      <c r="C241" s="167">
        <f t="shared" si="8"/>
        <v>38</v>
      </c>
      <c r="D241" s="168" t="str">
        <f t="shared" si="10"/>
        <v>18.38</v>
      </c>
      <c r="E241" s="167" t="str">
        <f>Translations!$B$1513</f>
        <v>Carbon black</v>
      </c>
      <c r="F241" s="167" t="str">
        <f>EUconst_Tons</f>
        <v>tonnes</v>
      </c>
      <c r="G241" s="167" t="b">
        <v>1</v>
      </c>
      <c r="H241" s="167" t="b">
        <v>1</v>
      </c>
      <c r="I241" s="167" t="str">
        <f>""</f>
        <v/>
      </c>
      <c r="J241" s="1118" t="str">
        <f>""</f>
        <v/>
      </c>
      <c r="K241" s="167" t="b">
        <v>1</v>
      </c>
      <c r="L241" s="167" t="b">
        <v>0</v>
      </c>
      <c r="M241" s="170">
        <v>1.954</v>
      </c>
      <c r="N241" s="1119">
        <f t="shared" si="11"/>
        <v>2E-3</v>
      </c>
      <c r="O241" s="1120">
        <f t="shared" si="12"/>
        <v>1.6E-2</v>
      </c>
      <c r="P241" s="596">
        <v>1.6E-2</v>
      </c>
      <c r="Q241" s="480">
        <f t="shared" si="13"/>
        <v>1.87584</v>
      </c>
      <c r="R241" s="191">
        <f t="shared" si="14"/>
        <v>1.3287199999999999</v>
      </c>
      <c r="S241" s="595">
        <f>1.485</f>
        <v>1.4850000000000001</v>
      </c>
    </row>
    <row r="242" spans="1:19" x14ac:dyDescent="0.25">
      <c r="A242" s="166" t="str">
        <f t="shared" si="9"/>
        <v xml:space="preserve">Production of nitric acid </v>
      </c>
      <c r="B242" s="167">
        <v>19</v>
      </c>
      <c r="C242" s="167">
        <f t="shared" si="8"/>
        <v>39</v>
      </c>
      <c r="D242" s="168" t="str">
        <f t="shared" si="10"/>
        <v>19.39</v>
      </c>
      <c r="E242" s="167" t="str">
        <f>Translations!$B$1514</f>
        <v>Nitric acid</v>
      </c>
      <c r="F242" s="167" t="str">
        <f>EUconst_Tons</f>
        <v>tonnes</v>
      </c>
      <c r="G242" s="167" t="b">
        <v>1</v>
      </c>
      <c r="H242" s="167" t="b">
        <v>0</v>
      </c>
      <c r="I242" s="169" t="str">
        <f>Translations!$B$1515</f>
        <v>Measurable heat delivered to other sub-installations is to be treated like heat from non-ETS sources.</v>
      </c>
      <c r="J242" s="1118" t="str">
        <f>""</f>
        <v/>
      </c>
      <c r="K242" s="167" t="b">
        <v>1</v>
      </c>
      <c r="L242" s="167" t="b">
        <v>0</v>
      </c>
      <c r="M242" s="170">
        <v>0.30199999999999999</v>
      </c>
      <c r="N242" s="1119">
        <f t="shared" si="11"/>
        <v>2E-3</v>
      </c>
      <c r="O242" s="1120">
        <f t="shared" si="12"/>
        <v>1.6E-2</v>
      </c>
      <c r="P242" s="596">
        <v>1.6E-2</v>
      </c>
      <c r="Q242" s="480">
        <f t="shared" si="13"/>
        <v>0.28991999999999996</v>
      </c>
      <c r="R242" s="191">
        <f t="shared" si="14"/>
        <v>0.20535999999999999</v>
      </c>
      <c r="S242" s="595">
        <f>0.23</f>
        <v>0.23</v>
      </c>
    </row>
    <row r="243" spans="1:19" x14ac:dyDescent="0.25">
      <c r="A243" s="166" t="str">
        <f t="shared" si="9"/>
        <v xml:space="preserve">Production of adipic acid </v>
      </c>
      <c r="B243" s="167">
        <v>20</v>
      </c>
      <c r="C243" s="167">
        <f t="shared" si="8"/>
        <v>40</v>
      </c>
      <c r="D243" s="168" t="str">
        <f t="shared" si="10"/>
        <v>20.40</v>
      </c>
      <c r="E243" s="167" t="str">
        <f>Translations!$B$1516</f>
        <v>Adipic acid</v>
      </c>
      <c r="F243" s="167" t="str">
        <f>EUconst_Tons</f>
        <v>tonnes</v>
      </c>
      <c r="G243" s="167" t="b">
        <v>1</v>
      </c>
      <c r="H243" s="167" t="b">
        <v>0</v>
      </c>
      <c r="I243" s="167" t="str">
        <f>""</f>
        <v/>
      </c>
      <c r="J243" s="1118" t="str">
        <f>""</f>
        <v/>
      </c>
      <c r="K243" s="167" t="b">
        <v>1</v>
      </c>
      <c r="L243" s="167" t="b">
        <v>0</v>
      </c>
      <c r="M243" s="170">
        <v>2.79</v>
      </c>
      <c r="N243" s="1119">
        <f t="shared" si="11"/>
        <v>2E-3</v>
      </c>
      <c r="O243" s="1120">
        <f t="shared" si="12"/>
        <v>1.6E-2</v>
      </c>
      <c r="P243" s="596">
        <v>1.6E-2</v>
      </c>
      <c r="Q243" s="480">
        <f t="shared" si="13"/>
        <v>2.6783999999999999</v>
      </c>
      <c r="R243" s="191">
        <f t="shared" si="14"/>
        <v>1.8971999999999998</v>
      </c>
      <c r="S243" s="595">
        <f>2.12</f>
        <v>2.12</v>
      </c>
    </row>
    <row r="244" spans="1:19" x14ac:dyDescent="0.25">
      <c r="A244" s="166" t="str">
        <f t="shared" si="9"/>
        <v xml:space="preserve">Production of ammonia </v>
      </c>
      <c r="B244" s="167">
        <v>22</v>
      </c>
      <c r="C244" s="167">
        <f t="shared" si="8"/>
        <v>41</v>
      </c>
      <c r="D244" s="168" t="str">
        <f t="shared" si="10"/>
        <v>22.41</v>
      </c>
      <c r="E244" s="167" t="str">
        <f>Translations!$B$1517</f>
        <v>Ammonia</v>
      </c>
      <c r="F244" s="167" t="str">
        <f>EUconst_Tons</f>
        <v>tonnes</v>
      </c>
      <c r="G244" s="167" t="b">
        <v>1</v>
      </c>
      <c r="H244" s="167" t="b">
        <v>1</v>
      </c>
      <c r="I244" s="167" t="str">
        <f>""</f>
        <v/>
      </c>
      <c r="J244" s="1118" t="str">
        <f>""</f>
        <v/>
      </c>
      <c r="K244" s="167" t="b">
        <v>1</v>
      </c>
      <c r="L244" s="167" t="b">
        <v>0</v>
      </c>
      <c r="M244" s="170">
        <v>1.619</v>
      </c>
      <c r="N244" s="1119">
        <f t="shared" si="11"/>
        <v>2E-3</v>
      </c>
      <c r="O244" s="1120">
        <f t="shared" si="12"/>
        <v>1.6E-2</v>
      </c>
      <c r="P244" s="596">
        <v>2E-3</v>
      </c>
      <c r="Q244" s="480">
        <f t="shared" si="13"/>
        <v>1.5542399999999998</v>
      </c>
      <c r="R244" s="191">
        <f t="shared" si="14"/>
        <v>1.1009199999999999</v>
      </c>
      <c r="S244" s="595">
        <f>1.57</f>
        <v>1.57</v>
      </c>
    </row>
    <row r="245" spans="1:19" x14ac:dyDescent="0.25">
      <c r="A245" s="166" t="str">
        <f t="shared" si="9"/>
        <v xml:space="preserve">Production of bulk organic chemicals by cracking, reforming, partial or full oxidation or by similar processes, with a production capacity exceeding 100 tonnes per day </v>
      </c>
      <c r="B245" s="167">
        <v>23</v>
      </c>
      <c r="C245" s="167">
        <f t="shared" si="8"/>
        <v>42</v>
      </c>
      <c r="D245" s="168" t="str">
        <f t="shared" si="10"/>
        <v>23.42</v>
      </c>
      <c r="E245" s="167" t="str">
        <f>Translations!$B$1015</f>
        <v>Steam cracking</v>
      </c>
      <c r="F245" s="167" t="str">
        <f>EUconst_Tons</f>
        <v>tonnes</v>
      </c>
      <c r="G245" s="167" t="b">
        <v>1</v>
      </c>
      <c r="H245" s="167" t="b">
        <v>1</v>
      </c>
      <c r="I245" s="167" t="str">
        <f>Translations!$B$1518</f>
        <v>Please use steam cracking tool in sheet "SpecialBM" for calculating historical activity levels and preliminary allocation.</v>
      </c>
      <c r="J245" s="1118" t="str">
        <f>"#JUMP_H_IV"</f>
        <v>#JUMP_H_IV</v>
      </c>
      <c r="K245" s="167" t="b">
        <v>1</v>
      </c>
      <c r="L245" s="167" t="b">
        <v>0</v>
      </c>
      <c r="M245" s="170">
        <v>0.70199999999999996</v>
      </c>
      <c r="N245" s="1119">
        <f t="shared" si="11"/>
        <v>2E-3</v>
      </c>
      <c r="O245" s="1120">
        <f t="shared" si="12"/>
        <v>1.6E-2</v>
      </c>
      <c r="P245" s="596">
        <v>2E-3</v>
      </c>
      <c r="Q245" s="480">
        <f t="shared" si="13"/>
        <v>0.67391999999999996</v>
      </c>
      <c r="R245" s="191">
        <f t="shared" si="14"/>
        <v>0.47735999999999995</v>
      </c>
      <c r="S245" s="595">
        <f>0.681</f>
        <v>0.68100000000000005</v>
      </c>
    </row>
    <row r="246" spans="1:19" x14ac:dyDescent="0.25">
      <c r="A246" s="166" t="str">
        <f t="shared" si="9"/>
        <v xml:space="preserve">Production of bulk organic chemicals by cracking, reforming, partial or full oxidation or by similar processes, with a production capacity exceeding 100 tonnes per day </v>
      </c>
      <c r="B246" s="167">
        <v>23</v>
      </c>
      <c r="C246" s="167">
        <f t="shared" si="8"/>
        <v>43</v>
      </c>
      <c r="D246" s="168" t="str">
        <f t="shared" si="10"/>
        <v>23.43</v>
      </c>
      <c r="E246" s="167" t="str">
        <f>Translations!$B$1519</f>
        <v>Aromatics</v>
      </c>
      <c r="F246" s="167" t="str">
        <f>Translations!$B$1473</f>
        <v>CWT</v>
      </c>
      <c r="G246" s="167" t="b">
        <v>1</v>
      </c>
      <c r="H246" s="167" t="b">
        <v>1</v>
      </c>
      <c r="I246" s="167" t="str">
        <f>Translations!$B$1474</f>
        <v>Please use CWT tool in sheet "SpecialBM" for calculating historical activity levels.</v>
      </c>
      <c r="J246" s="1118" t="str">
        <f>"#JUMP_H_V"</f>
        <v>#JUMP_H_V</v>
      </c>
      <c r="K246" s="167" t="b">
        <v>0</v>
      </c>
      <c r="L246" s="167" t="b">
        <v>0</v>
      </c>
      <c r="M246" s="170">
        <v>2.9499999999999998E-2</v>
      </c>
      <c r="N246" s="1119">
        <f t="shared" si="11"/>
        <v>2E-3</v>
      </c>
      <c r="O246" s="1120">
        <f t="shared" si="12"/>
        <v>1.6E-2</v>
      </c>
      <c r="P246" s="596">
        <v>1.511693494765688E-2</v>
      </c>
      <c r="Q246" s="480">
        <f t="shared" si="13"/>
        <v>2.8319999999999998E-2</v>
      </c>
      <c r="R246" s="191">
        <f t="shared" si="14"/>
        <v>2.0059999999999998E-2</v>
      </c>
      <c r="S246" s="595">
        <f>0.0228</f>
        <v>2.2800000000000001E-2</v>
      </c>
    </row>
    <row r="247" spans="1:19" x14ac:dyDescent="0.25">
      <c r="A247" s="166" t="str">
        <f t="shared" si="9"/>
        <v xml:space="preserve">Production of bulk organic chemicals by cracking, reforming, partial or full oxidation or by similar processes, with a production capacity exceeding 100 tonnes per day </v>
      </c>
      <c r="B247" s="167">
        <v>23</v>
      </c>
      <c r="C247" s="167">
        <f t="shared" si="8"/>
        <v>44</v>
      </c>
      <c r="D247" s="168" t="str">
        <f t="shared" si="10"/>
        <v>23.44</v>
      </c>
      <c r="E247" s="167" t="str">
        <f>Translations!$B$1520</f>
        <v>Styrene</v>
      </c>
      <c r="F247" s="167" t="str">
        <f t="shared" ref="F247:F255" si="15">EUconst_Tons</f>
        <v>tonnes</v>
      </c>
      <c r="G247" s="167" t="b">
        <v>1</v>
      </c>
      <c r="H247" s="167" t="b">
        <v>1</v>
      </c>
      <c r="I247" s="167" t="str">
        <f>""</f>
        <v/>
      </c>
      <c r="J247" s="1118" t="str">
        <f>""</f>
        <v/>
      </c>
      <c r="K247" s="167" t="b">
        <v>1</v>
      </c>
      <c r="L247" s="167" t="b">
        <v>0</v>
      </c>
      <c r="M247" s="170">
        <v>0.52700000000000002</v>
      </c>
      <c r="N247" s="1119">
        <f t="shared" si="11"/>
        <v>2E-3</v>
      </c>
      <c r="O247" s="1120">
        <f t="shared" si="12"/>
        <v>1.6E-2</v>
      </c>
      <c r="P247" s="596">
        <v>1.6E-2</v>
      </c>
      <c r="Q247" s="480">
        <f t="shared" si="13"/>
        <v>0.50592000000000004</v>
      </c>
      <c r="R247" s="191">
        <f t="shared" si="14"/>
        <v>0.35835999999999996</v>
      </c>
      <c r="S247" s="595">
        <f>0.401</f>
        <v>0.40100000000000002</v>
      </c>
    </row>
    <row r="248" spans="1:19" x14ac:dyDescent="0.25">
      <c r="A248" s="166" t="str">
        <f t="shared" si="9"/>
        <v xml:space="preserve">Production of bulk organic chemicals by cracking, reforming, partial or full oxidation or by similar processes, with a production capacity exceeding 100 tonnes per day </v>
      </c>
      <c r="B248" s="167">
        <v>23</v>
      </c>
      <c r="C248" s="167">
        <f t="shared" si="8"/>
        <v>45</v>
      </c>
      <c r="D248" s="168" t="str">
        <f t="shared" si="10"/>
        <v>23.45</v>
      </c>
      <c r="E248" s="167" t="str">
        <f>Translations!$B$1521</f>
        <v>Phenol/ acetone</v>
      </c>
      <c r="F248" s="167" t="str">
        <f t="shared" si="15"/>
        <v>tonnes</v>
      </c>
      <c r="G248" s="167" t="b">
        <v>1</v>
      </c>
      <c r="H248" s="167" t="b">
        <v>0</v>
      </c>
      <c r="I248" s="167" t="str">
        <f>""</f>
        <v/>
      </c>
      <c r="J248" s="1118" t="str">
        <f>""</f>
        <v/>
      </c>
      <c r="K248" s="167" t="b">
        <v>1</v>
      </c>
      <c r="L248" s="167" t="b">
        <v>0</v>
      </c>
      <c r="M248" s="170">
        <v>0.26600000000000001</v>
      </c>
      <c r="N248" s="1119">
        <f t="shared" si="11"/>
        <v>2E-3</v>
      </c>
      <c r="O248" s="1120">
        <f t="shared" si="12"/>
        <v>1.6E-2</v>
      </c>
      <c r="P248" s="596">
        <v>9.0133547706168458E-3</v>
      </c>
      <c r="Q248" s="480">
        <f t="shared" si="13"/>
        <v>0.25536000000000003</v>
      </c>
      <c r="R248" s="191">
        <f t="shared" si="14"/>
        <v>0.18087999999999999</v>
      </c>
      <c r="S248" s="595">
        <f>0.23</f>
        <v>0.23</v>
      </c>
    </row>
    <row r="249" spans="1:19" x14ac:dyDescent="0.25">
      <c r="A249" s="166" t="str">
        <f t="shared" si="9"/>
        <v xml:space="preserve">Production of bulk organic chemicals by cracking, reforming, partial or full oxidation or by similar processes, with a production capacity exceeding 100 tonnes per day </v>
      </c>
      <c r="B249" s="167">
        <v>23</v>
      </c>
      <c r="C249" s="167">
        <f t="shared" si="8"/>
        <v>46</v>
      </c>
      <c r="D249" s="168" t="str">
        <f t="shared" si="10"/>
        <v>23.46</v>
      </c>
      <c r="E249" s="167" t="str">
        <f>Translations!$B$1522</f>
        <v>Ethylene oxide/ ethylene glycols</v>
      </c>
      <c r="F249" s="167" t="str">
        <f t="shared" si="15"/>
        <v>tonnes</v>
      </c>
      <c r="G249" s="167" t="b">
        <v>1</v>
      </c>
      <c r="H249" s="167" t="b">
        <v>1</v>
      </c>
      <c r="I249" s="167" t="str">
        <f>Translations!$B$1523</f>
        <v>Please use ethylene oxide / glycols tool in sheet "SpecialBM" for calculating historical activity levels.</v>
      </c>
      <c r="J249" s="1118" t="str">
        <f>"#JUMP_H_VIII"</f>
        <v>#JUMP_H_VIII</v>
      </c>
      <c r="K249" s="167" t="b">
        <v>1</v>
      </c>
      <c r="L249" s="167" t="b">
        <v>0</v>
      </c>
      <c r="M249" s="170">
        <v>0.51200000000000001</v>
      </c>
      <c r="N249" s="1119">
        <f t="shared" si="11"/>
        <v>2E-3</v>
      </c>
      <c r="O249" s="1120">
        <f t="shared" si="12"/>
        <v>1.6E-2</v>
      </c>
      <c r="P249" s="596">
        <v>1.6E-2</v>
      </c>
      <c r="Q249" s="480">
        <f t="shared" si="13"/>
        <v>0.49152000000000001</v>
      </c>
      <c r="R249" s="191">
        <f t="shared" si="14"/>
        <v>0.34815999999999997</v>
      </c>
      <c r="S249" s="595">
        <f>0.389</f>
        <v>0.38900000000000001</v>
      </c>
    </row>
    <row r="250" spans="1:19" x14ac:dyDescent="0.25">
      <c r="A250" s="166" t="str">
        <f t="shared" si="9"/>
        <v xml:space="preserve">Production of bulk organic chemicals by cracking, reforming, partial or full oxidation or by similar processes, with a production capacity exceeding 100 tonnes per day </v>
      </c>
      <c r="B250" s="167">
        <v>23</v>
      </c>
      <c r="C250" s="167">
        <f t="shared" si="8"/>
        <v>47</v>
      </c>
      <c r="D250" s="168" t="str">
        <f t="shared" si="10"/>
        <v>23.47</v>
      </c>
      <c r="E250" s="167" t="str">
        <f>Translations!$B$1524</f>
        <v>Vinyl chloride monomer</v>
      </c>
      <c r="F250" s="167" t="str">
        <f t="shared" si="15"/>
        <v>tonnes</v>
      </c>
      <c r="G250" s="167" t="b">
        <v>1</v>
      </c>
      <c r="H250" s="167" t="b">
        <v>0</v>
      </c>
      <c r="I250" s="167" t="str">
        <f>Translations!$B$1525</f>
        <v>Please use VCM tool in sheet "SpecialBM" for calculating preliminary allocation.</v>
      </c>
      <c r="J250" s="1118" t="str">
        <f>"#JUMP_H_IX"</f>
        <v>#JUMP_H_IX</v>
      </c>
      <c r="K250" s="167" t="b">
        <v>1</v>
      </c>
      <c r="L250" s="167" t="b">
        <v>0</v>
      </c>
      <c r="M250" s="170">
        <v>0.20399999999999999</v>
      </c>
      <c r="N250" s="1119">
        <f t="shared" si="11"/>
        <v>2E-3</v>
      </c>
      <c r="O250" s="1120">
        <f t="shared" si="12"/>
        <v>1.6E-2</v>
      </c>
      <c r="P250" s="596">
        <v>1.6E-2</v>
      </c>
      <c r="Q250" s="480">
        <f t="shared" si="13"/>
        <v>0.19583999999999999</v>
      </c>
      <c r="R250" s="191">
        <f t="shared" si="14"/>
        <v>0.13871999999999998</v>
      </c>
      <c r="S250" s="595">
        <f>0.155</f>
        <v>0.155</v>
      </c>
    </row>
    <row r="251" spans="1:19" x14ac:dyDescent="0.25">
      <c r="A251" s="166" t="str">
        <f t="shared" si="9"/>
        <v xml:space="preserve">Production of bulk organic chemicals by cracking, reforming, partial or full oxidation or by similar processes, with a production capacity exceeding 100 tonnes per day </v>
      </c>
      <c r="B251" s="167">
        <v>23</v>
      </c>
      <c r="C251" s="167">
        <f t="shared" si="8"/>
        <v>48</v>
      </c>
      <c r="D251" s="168" t="str">
        <f t="shared" si="10"/>
        <v>23.48</v>
      </c>
      <c r="E251" s="167" t="str">
        <f>Translations!$B$1526</f>
        <v>S-PVC</v>
      </c>
      <c r="F251" s="167" t="str">
        <f t="shared" si="15"/>
        <v>tonnes</v>
      </c>
      <c r="G251" s="167" t="b">
        <v>1</v>
      </c>
      <c r="H251" s="167" t="b">
        <v>0</v>
      </c>
      <c r="I251" s="167" t="str">
        <f>""</f>
        <v/>
      </c>
      <c r="J251" s="1118" t="str">
        <f>""</f>
        <v/>
      </c>
      <c r="K251" s="167" t="b">
        <v>1</v>
      </c>
      <c r="L251" s="167" t="b">
        <v>0</v>
      </c>
      <c r="M251" s="170">
        <v>8.5000000000000006E-2</v>
      </c>
      <c r="N251" s="1119">
        <f t="shared" si="11"/>
        <v>2E-3</v>
      </c>
      <c r="O251" s="1120">
        <f t="shared" si="12"/>
        <v>1.6E-2</v>
      </c>
      <c r="P251" s="596">
        <v>1.5118962598975692E-2</v>
      </c>
      <c r="Q251" s="480">
        <f t="shared" si="13"/>
        <v>8.1600000000000006E-2</v>
      </c>
      <c r="R251" s="191">
        <f t="shared" si="14"/>
        <v>5.7799999999999997E-2</v>
      </c>
      <c r="S251" s="595">
        <f>0.066</f>
        <v>6.6000000000000003E-2</v>
      </c>
    </row>
    <row r="252" spans="1:19" x14ac:dyDescent="0.25">
      <c r="A252" s="166" t="str">
        <f t="shared" si="9"/>
        <v xml:space="preserve">Production of bulk organic chemicals by cracking, reforming, partial or full oxidation or by similar processes, with a production capacity exceeding 100 tonnes per day </v>
      </c>
      <c r="B252" s="167">
        <v>23</v>
      </c>
      <c r="C252" s="167">
        <f t="shared" si="8"/>
        <v>49</v>
      </c>
      <c r="D252" s="168" t="str">
        <f t="shared" si="10"/>
        <v>23.49</v>
      </c>
      <c r="E252" s="167" t="str">
        <f>Translations!$B$1527</f>
        <v>E-PVC</v>
      </c>
      <c r="F252" s="167" t="str">
        <f t="shared" si="15"/>
        <v>tonnes</v>
      </c>
      <c r="G252" s="167" t="b">
        <v>1</v>
      </c>
      <c r="H252" s="167" t="b">
        <v>0</v>
      </c>
      <c r="I252" s="167" t="str">
        <f>""</f>
        <v/>
      </c>
      <c r="J252" s="1118" t="str">
        <f>""</f>
        <v/>
      </c>
      <c r="K252" s="167" t="b">
        <v>1</v>
      </c>
      <c r="L252" s="167" t="b">
        <v>0</v>
      </c>
      <c r="M252" s="170">
        <v>0.23799999999999999</v>
      </c>
      <c r="N252" s="1119">
        <f t="shared" si="11"/>
        <v>2E-3</v>
      </c>
      <c r="O252" s="1120">
        <f t="shared" si="12"/>
        <v>1.6E-2</v>
      </c>
      <c r="P252" s="596">
        <v>1.6E-2</v>
      </c>
      <c r="Q252" s="480">
        <f t="shared" si="13"/>
        <v>0.22847999999999999</v>
      </c>
      <c r="R252" s="191">
        <f t="shared" si="14"/>
        <v>0.16183999999999998</v>
      </c>
      <c r="S252" s="595">
        <f>0.181</f>
        <v>0.18099999999999999</v>
      </c>
    </row>
    <row r="253" spans="1:19" x14ac:dyDescent="0.25">
      <c r="A253" s="166" t="str">
        <f t="shared" si="9"/>
        <v xml:space="preserve">Production of hydrogen (H2) and synthesis gas by reforming or partial oxidation with a production capacity exceeding 25 tonnes per day </v>
      </c>
      <c r="B253" s="167">
        <v>24</v>
      </c>
      <c r="C253" s="167">
        <f t="shared" si="8"/>
        <v>50</v>
      </c>
      <c r="D253" s="168" t="str">
        <f t="shared" si="10"/>
        <v>24.50</v>
      </c>
      <c r="E253" s="167" t="str">
        <f>Translations!$B$1027</f>
        <v>Hydrogen</v>
      </c>
      <c r="F253" s="167" t="str">
        <f t="shared" si="15"/>
        <v>tonnes</v>
      </c>
      <c r="G253" s="167" t="b">
        <v>1</v>
      </c>
      <c r="H253" s="167" t="b">
        <v>1</v>
      </c>
      <c r="I253" s="167" t="str">
        <f>Translations!$B$1528</f>
        <v>Please use hydrogen tool in sheet "SpecialBM" for calculating historical activity levels.</v>
      </c>
      <c r="J253" s="1118" t="str">
        <f>"#JUMP_H_VI"</f>
        <v>#JUMP_H_VI</v>
      </c>
      <c r="K253" s="167" t="b">
        <v>1</v>
      </c>
      <c r="L253" s="167" t="b">
        <v>0</v>
      </c>
      <c r="M253" s="170">
        <v>8.85</v>
      </c>
      <c r="N253" s="1119">
        <f t="shared" si="11"/>
        <v>2E-3</v>
      </c>
      <c r="O253" s="1120">
        <f t="shared" si="12"/>
        <v>1.6E-2</v>
      </c>
      <c r="P253" s="596">
        <v>1.511693494765688E-2</v>
      </c>
      <c r="Q253" s="480">
        <f t="shared" si="13"/>
        <v>8.4959999999999987</v>
      </c>
      <c r="R253" s="191">
        <f t="shared" si="14"/>
        <v>6.0179999999999989</v>
      </c>
      <c r="S253" s="595">
        <f>6.84</f>
        <v>6.84</v>
      </c>
    </row>
    <row r="254" spans="1:19" x14ac:dyDescent="0.25">
      <c r="A254" s="166" t="str">
        <f t="shared" si="9"/>
        <v xml:space="preserve">Production of hydrogen (H2) and synthesis gas by reforming or partial oxidation with a production capacity exceeding 25 tonnes per day </v>
      </c>
      <c r="B254" s="167">
        <v>24</v>
      </c>
      <c r="C254" s="167">
        <f t="shared" si="8"/>
        <v>51</v>
      </c>
      <c r="D254" s="168" t="str">
        <f t="shared" si="10"/>
        <v>24.51</v>
      </c>
      <c r="E254" s="167" t="str">
        <f>Translations!$B$1070</f>
        <v>Synthesis gas</v>
      </c>
      <c r="F254" s="167" t="str">
        <f t="shared" si="15"/>
        <v>tonnes</v>
      </c>
      <c r="G254" s="167" t="b">
        <v>1</v>
      </c>
      <c r="H254" s="167" t="b">
        <v>1</v>
      </c>
      <c r="I254" s="167" t="str">
        <f>Translations!$B$1529</f>
        <v>Please use syngas tool in sheet "SpecialBM" for calculating historical activity levels.</v>
      </c>
      <c r="J254" s="1118" t="str">
        <f>"#JUMP_H_VII"</f>
        <v>#JUMP_H_VII</v>
      </c>
      <c r="K254" s="167" t="b">
        <v>1</v>
      </c>
      <c r="L254" s="167" t="b">
        <v>0</v>
      </c>
      <c r="M254" s="170">
        <v>0.24199999999999999</v>
      </c>
      <c r="N254" s="1119">
        <f t="shared" si="11"/>
        <v>2E-3</v>
      </c>
      <c r="O254" s="1120">
        <f t="shared" si="12"/>
        <v>1.6E-2</v>
      </c>
      <c r="P254" s="596">
        <v>1.511693494765688E-2</v>
      </c>
      <c r="Q254" s="480">
        <f t="shared" si="13"/>
        <v>0.23231999999999997</v>
      </c>
      <c r="R254" s="191">
        <f t="shared" si="14"/>
        <v>0.16455999999999998</v>
      </c>
      <c r="S254" s="595">
        <f>0.187</f>
        <v>0.187</v>
      </c>
    </row>
    <row r="255" spans="1:19" ht="13.8" thickBot="1" x14ac:dyDescent="0.3">
      <c r="A255" s="166" t="str">
        <f t="shared" si="9"/>
        <v xml:space="preserve">Production of soda ash (Na2CO3) and sodium bicarbonate (NaHCO3) </v>
      </c>
      <c r="B255" s="167">
        <v>25</v>
      </c>
      <c r="C255" s="167">
        <f t="shared" si="8"/>
        <v>52</v>
      </c>
      <c r="D255" s="168" t="str">
        <f t="shared" si="10"/>
        <v>25.52</v>
      </c>
      <c r="E255" s="167" t="str">
        <f>Translations!$B$1530</f>
        <v>Soda ash</v>
      </c>
      <c r="F255" s="167" t="str">
        <f t="shared" si="15"/>
        <v>tonnes</v>
      </c>
      <c r="G255" s="167" t="b">
        <v>1</v>
      </c>
      <c r="H255" s="167" t="b">
        <v>0</v>
      </c>
      <c r="I255" s="167" t="str">
        <f>""</f>
        <v/>
      </c>
      <c r="J255" s="1118" t="str">
        <f>""</f>
        <v/>
      </c>
      <c r="K255" s="167" t="b">
        <v>1</v>
      </c>
      <c r="L255" s="167" t="b">
        <v>0</v>
      </c>
      <c r="M255" s="170">
        <v>0.84299999999999997</v>
      </c>
      <c r="N255" s="1119">
        <f t="shared" si="11"/>
        <v>2E-3</v>
      </c>
      <c r="O255" s="1120">
        <f t="shared" si="12"/>
        <v>1.6E-2</v>
      </c>
      <c r="P255" s="597">
        <v>7.1434460909982995E-3</v>
      </c>
      <c r="Q255" s="480">
        <f t="shared" si="13"/>
        <v>0.80927999999999989</v>
      </c>
      <c r="R255" s="191">
        <f t="shared" si="14"/>
        <v>0.57323999999999997</v>
      </c>
      <c r="S255" s="595">
        <f>0.753</f>
        <v>0.753</v>
      </c>
    </row>
    <row r="256" spans="1:19" x14ac:dyDescent="0.25">
      <c r="A256" s="91" t="s">
        <v>904</v>
      </c>
      <c r="B256" s="92" t="s">
        <v>904</v>
      </c>
      <c r="C256" s="92" t="s">
        <v>904</v>
      </c>
      <c r="D256" s="92" t="s">
        <v>904</v>
      </c>
      <c r="E256" s="92" t="s">
        <v>904</v>
      </c>
      <c r="F256" s="92" t="s">
        <v>904</v>
      </c>
      <c r="G256" s="92" t="s">
        <v>904</v>
      </c>
      <c r="H256" s="92" t="s">
        <v>904</v>
      </c>
      <c r="I256" s="92" t="s">
        <v>904</v>
      </c>
      <c r="J256" s="92" t="s">
        <v>904</v>
      </c>
      <c r="K256" s="92" t="s">
        <v>904</v>
      </c>
    </row>
    <row r="257" spans="1:19" s="89" customFormat="1" x14ac:dyDescent="0.25">
      <c r="A257" s="89" t="str">
        <f>Translations!$B$1531</f>
        <v>Fall-back Sub-Installation List</v>
      </c>
    </row>
    <row r="258" spans="1:19" ht="40.200000000000003" thickBot="1" x14ac:dyDescent="0.3">
      <c r="B258" s="167"/>
      <c r="C258" s="167" t="str">
        <f>Translations!$B$1206</f>
        <v>No. of BM</v>
      </c>
      <c r="D258" s="167" t="str">
        <f>Translations!$B$1460</f>
        <v>alternative BM No.</v>
      </c>
      <c r="E258" s="167" t="str">
        <f>Translations!$B$1532</f>
        <v>Sub-inst</v>
      </c>
      <c r="F258" s="167" t="str">
        <f>Translations!$B$1196</f>
        <v>Unit</v>
      </c>
      <c r="G258" s="167" t="str">
        <f>Translations!$B$1462</f>
        <v>Carbon leakage?</v>
      </c>
      <c r="H258" s="167" t="str">
        <f>Translations!$B$1463</f>
        <v>Exchangeability electricity</v>
      </c>
      <c r="I258" s="167" t="str">
        <f>Translations!$B$1533</f>
        <v>Error message</v>
      </c>
      <c r="M258" s="164" t="str">
        <f>Translations!$B$1468</f>
        <v>BM value (2013-2020)</v>
      </c>
      <c r="N258" s="164" t="s">
        <v>901</v>
      </c>
      <c r="O258" s="164" t="s">
        <v>902</v>
      </c>
      <c r="P258" s="483" t="s">
        <v>905</v>
      </c>
      <c r="Q258" s="165" t="str">
        <f>Translations!$B$1470</f>
        <v>Benchmark value (EUA/t, min)</v>
      </c>
      <c r="R258" s="165" t="str">
        <f>Translations!$B$1469</f>
        <v>Benchmark value (EUA/t, max)</v>
      </c>
      <c r="S258" s="218" t="str">
        <f>Translations!$B$1471</f>
        <v>Benchmark value (EUA/t, actual)</v>
      </c>
    </row>
    <row r="259" spans="1:19" x14ac:dyDescent="0.25">
      <c r="B259" s="167">
        <v>90</v>
      </c>
      <c r="C259" s="167">
        <v>91</v>
      </c>
      <c r="D259" s="168" t="str">
        <f t="shared" ref="D259:D265" si="16">CONCATENATE(TEXT(B259,"00"),".",TEXT(C259,"00"))</f>
        <v>90.91</v>
      </c>
      <c r="E259" s="205" t="str">
        <f>Translations!$B$1534</f>
        <v>Heat benchmark sub-installation, CL</v>
      </c>
      <c r="F259" s="626" t="str">
        <f>EUconst_TJ</f>
        <v>TJ</v>
      </c>
      <c r="G259" s="863" t="b">
        <v>1</v>
      </c>
      <c r="H259" s="167"/>
      <c r="I259" s="218" t="s">
        <v>906</v>
      </c>
      <c r="M259" s="170">
        <v>62.3</v>
      </c>
      <c r="N259" s="1119">
        <f>INDEX(EUconst_BM_ARR_Range,1)</f>
        <v>2E-3</v>
      </c>
      <c r="O259" s="1120">
        <f>IF(AND(C259=4,CNTR_BaselinePeriod=1),INDEX(EUconst_BM_ARR_Range,1),INDEX(EUconst_BM_ARR_Range,2))</f>
        <v>1.6E-2</v>
      </c>
      <c r="P259" s="594">
        <v>1.6E-2</v>
      </c>
      <c r="Q259" s="480">
        <f t="shared" ref="Q259:R265" si="17">$M259*(1-N259*(15+(IF(CNTR_BaselinePeriod=EUconst_NA,1,CNTR_BaselinePeriod)-1)*5))</f>
        <v>59.807999999999993</v>
      </c>
      <c r="R259" s="191">
        <f t="shared" si="17"/>
        <v>42.363999999999997</v>
      </c>
      <c r="S259" s="598">
        <f>47.3</f>
        <v>47.3</v>
      </c>
    </row>
    <row r="260" spans="1:19" x14ac:dyDescent="0.25">
      <c r="B260" s="167">
        <v>90</v>
      </c>
      <c r="C260" s="167">
        <v>92</v>
      </c>
      <c r="D260" s="168" t="str">
        <f t="shared" si="16"/>
        <v>90.92</v>
      </c>
      <c r="E260" s="205" t="str">
        <f>Translations!$B$1535</f>
        <v>Heat benchmark sub-installation, non-CL</v>
      </c>
      <c r="F260" s="626" t="str">
        <f>EUconst_TJ</f>
        <v>TJ</v>
      </c>
      <c r="G260" s="863" t="b">
        <v>0</v>
      </c>
      <c r="H260" s="167"/>
      <c r="I260" s="218" t="s">
        <v>906</v>
      </c>
      <c r="M260" s="170">
        <v>62.3</v>
      </c>
      <c r="N260" s="1119">
        <f>INDEX(EUconst_BM_ARR_Range,1)</f>
        <v>2E-3</v>
      </c>
      <c r="O260" s="1120">
        <f>IF(AND(C260=4,CNTR_BaselinePeriod=1),INDEX(EUconst_BM_ARR_Range,1),INDEX(EUconst_BM_ARR_Range,2))</f>
        <v>1.6E-2</v>
      </c>
      <c r="P260" s="596">
        <v>1.6E-2</v>
      </c>
      <c r="Q260" s="480">
        <f t="shared" si="17"/>
        <v>59.807999999999993</v>
      </c>
      <c r="R260" s="191">
        <f t="shared" si="17"/>
        <v>42.363999999999997</v>
      </c>
      <c r="S260" s="598">
        <f>47.3</f>
        <v>47.3</v>
      </c>
    </row>
    <row r="261" spans="1:19" x14ac:dyDescent="0.25">
      <c r="B261" s="167">
        <v>90</v>
      </c>
      <c r="C261" s="167">
        <v>97</v>
      </c>
      <c r="D261" s="168" t="str">
        <f>CONCATENATE(TEXT(B261,"00"),".",TEXT(C261,"00"))</f>
        <v>90.97</v>
      </c>
      <c r="E261" s="205" t="str">
        <f>Translations!$B$1536</f>
        <v>District heating sub-installation</v>
      </c>
      <c r="F261" s="626" t="str">
        <f>EUconst_TJ</f>
        <v>TJ</v>
      </c>
      <c r="G261" s="863" t="b">
        <v>0</v>
      </c>
      <c r="H261" s="167"/>
      <c r="I261" s="218" t="s">
        <v>906</v>
      </c>
      <c r="M261" s="170">
        <v>62.3</v>
      </c>
      <c r="N261" s="1119">
        <f>INDEX(EUconst_BM_ARR_Range,1)</f>
        <v>2E-3</v>
      </c>
      <c r="O261" s="1120">
        <f>IF(AND(C261=4,CNTR_BaselinePeriod=1),INDEX(EUconst_BM_ARR_Range,1),INDEX(EUconst_BM_ARR_Range,2))</f>
        <v>1.6E-2</v>
      </c>
      <c r="P261" s="596">
        <v>1.6E-2</v>
      </c>
      <c r="Q261" s="480">
        <f t="shared" si="17"/>
        <v>59.807999999999993</v>
      </c>
      <c r="R261" s="191">
        <f t="shared" si="17"/>
        <v>42.363999999999997</v>
      </c>
      <c r="S261" s="598">
        <f>47.3</f>
        <v>47.3</v>
      </c>
    </row>
    <row r="262" spans="1:19" x14ac:dyDescent="0.25">
      <c r="B262" s="167">
        <v>90</v>
      </c>
      <c r="C262" s="167">
        <v>93</v>
      </c>
      <c r="D262" s="168" t="str">
        <f t="shared" si="16"/>
        <v>90.93</v>
      </c>
      <c r="E262" s="205" t="str">
        <f>Translations!$B$1537</f>
        <v>Fuel benchmark sub-installation, CL</v>
      </c>
      <c r="F262" s="626" t="str">
        <f>EUconst_TJ</f>
        <v>TJ</v>
      </c>
      <c r="G262" s="863" t="b">
        <v>1</v>
      </c>
      <c r="H262" s="167"/>
      <c r="I262" s="218" t="s">
        <v>907</v>
      </c>
      <c r="M262" s="170">
        <v>56.1</v>
      </c>
      <c r="N262" s="1119">
        <f>INDEX(EUconst_BM_ARR_Range,1)</f>
        <v>2E-3</v>
      </c>
      <c r="O262" s="1120">
        <f>IF(AND(C262=4,CNTR_BaselinePeriod=1),INDEX(EUconst_BM_ARR_Range,1),INDEX(EUconst_BM_ARR_Range,2))</f>
        <v>1.6E-2</v>
      </c>
      <c r="P262" s="596">
        <v>1.6E-2</v>
      </c>
      <c r="Q262" s="480">
        <f t="shared" si="17"/>
        <v>53.856000000000002</v>
      </c>
      <c r="R262" s="191">
        <f t="shared" si="17"/>
        <v>38.147999999999996</v>
      </c>
      <c r="S262" s="598">
        <f>42.6</f>
        <v>42.6</v>
      </c>
    </row>
    <row r="263" spans="1:19" x14ac:dyDescent="0.25">
      <c r="B263" s="167">
        <v>90</v>
      </c>
      <c r="C263" s="167">
        <v>94</v>
      </c>
      <c r="D263" s="168" t="str">
        <f t="shared" si="16"/>
        <v>90.94</v>
      </c>
      <c r="E263" s="205" t="str">
        <f>Translations!$B$1538</f>
        <v>Fuel benchmark sub-installation, non-CL</v>
      </c>
      <c r="F263" s="626" t="str">
        <f>EUconst_TJ</f>
        <v>TJ</v>
      </c>
      <c r="G263" s="863" t="b">
        <v>0</v>
      </c>
      <c r="H263" s="167"/>
      <c r="I263" s="218" t="s">
        <v>907</v>
      </c>
      <c r="M263" s="170">
        <v>56.1</v>
      </c>
      <c r="N263" s="1119">
        <f>INDEX(EUconst_BM_ARR_Range,1)</f>
        <v>2E-3</v>
      </c>
      <c r="O263" s="1120">
        <f>IF(AND(C263=4,CNTR_BaselinePeriod=1),INDEX(EUconst_BM_ARR_Range,1),INDEX(EUconst_BM_ARR_Range,2))</f>
        <v>1.6E-2</v>
      </c>
      <c r="P263" s="596">
        <v>1.6E-2</v>
      </c>
      <c r="Q263" s="480">
        <f t="shared" si="17"/>
        <v>53.856000000000002</v>
      </c>
      <c r="R263" s="191">
        <f t="shared" si="17"/>
        <v>38.147999999999996</v>
      </c>
      <c r="S263" s="598">
        <f>42.6</f>
        <v>42.6</v>
      </c>
    </row>
    <row r="264" spans="1:19" x14ac:dyDescent="0.25">
      <c r="B264" s="167">
        <v>90</v>
      </c>
      <c r="C264" s="167">
        <v>95</v>
      </c>
      <c r="D264" s="168" t="str">
        <f t="shared" si="16"/>
        <v>90.95</v>
      </c>
      <c r="E264" s="205" t="str">
        <f>Translations!$B$1539</f>
        <v>Process emissions sub-installation, CL</v>
      </c>
      <c r="F264" s="626" t="str">
        <f>EUconst_tCO2e</f>
        <v>t CO2e</v>
      </c>
      <c r="G264" s="863" t="b">
        <v>1</v>
      </c>
      <c r="H264" s="167"/>
      <c r="I264" s="218" t="s">
        <v>908</v>
      </c>
      <c r="M264" s="170">
        <v>0.97</v>
      </c>
      <c r="N264" s="1121">
        <v>0</v>
      </c>
      <c r="O264" s="1122">
        <v>0</v>
      </c>
      <c r="P264" s="1123">
        <v>0</v>
      </c>
      <c r="Q264" s="480">
        <f t="shared" si="17"/>
        <v>0.97</v>
      </c>
      <c r="R264" s="191">
        <f t="shared" si="17"/>
        <v>0.97</v>
      </c>
      <c r="S264" s="191">
        <f>ROUND(M264*(1-P264*(15+(IF(CNTR_BaselinePeriod=EUconst_NA,1,CNTR_BaselinePeriod)-1)*5)),3)</f>
        <v>0.97</v>
      </c>
    </row>
    <row r="265" spans="1:19" ht="13.8" thickBot="1" x14ac:dyDescent="0.3">
      <c r="B265" s="167">
        <v>90</v>
      </c>
      <c r="C265" s="167">
        <v>96</v>
      </c>
      <c r="D265" s="168" t="str">
        <f t="shared" si="16"/>
        <v>90.96</v>
      </c>
      <c r="E265" s="205" t="str">
        <f>Translations!$B$1540</f>
        <v>Process emissions sub-installation, non-CL</v>
      </c>
      <c r="F265" s="626" t="str">
        <f>EUconst_tCO2e</f>
        <v>t CO2e</v>
      </c>
      <c r="G265" s="863" t="b">
        <v>0</v>
      </c>
      <c r="H265" s="167"/>
      <c r="I265" s="218" t="s">
        <v>908</v>
      </c>
      <c r="M265" s="170">
        <v>0.97</v>
      </c>
      <c r="N265" s="1121">
        <v>0</v>
      </c>
      <c r="O265" s="1122">
        <v>0</v>
      </c>
      <c r="P265" s="1124">
        <v>0</v>
      </c>
      <c r="Q265" s="480">
        <f t="shared" si="17"/>
        <v>0.97</v>
      </c>
      <c r="R265" s="191">
        <f t="shared" si="17"/>
        <v>0.97</v>
      </c>
      <c r="S265" s="191">
        <f>ROUND(M265*(1-P265*(15+(IF(CNTR_BaselinePeriod=EUconst_NA,1,CNTR_BaselinePeriod)-1)*5)),3)</f>
        <v>0.97</v>
      </c>
    </row>
    <row r="266" spans="1:19" x14ac:dyDescent="0.25">
      <c r="A266" s="91" t="s">
        <v>904</v>
      </c>
      <c r="B266" s="92" t="s">
        <v>904</v>
      </c>
      <c r="C266" s="92" t="s">
        <v>904</v>
      </c>
      <c r="D266" s="92" t="s">
        <v>904</v>
      </c>
      <c r="E266" s="92" t="s">
        <v>904</v>
      </c>
      <c r="F266" s="92" t="s">
        <v>904</v>
      </c>
      <c r="G266" s="92" t="s">
        <v>904</v>
      </c>
      <c r="H266" s="92" t="s">
        <v>904</v>
      </c>
      <c r="I266" s="92" t="s">
        <v>904</v>
      </c>
      <c r="J266" s="92" t="s">
        <v>904</v>
      </c>
      <c r="K266" s="92" t="s">
        <v>904</v>
      </c>
      <c r="L266" s="92" t="s">
        <v>904</v>
      </c>
      <c r="M266" s="92" t="s">
        <v>904</v>
      </c>
      <c r="N266" s="92" t="s">
        <v>904</v>
      </c>
      <c r="O266" s="92" t="s">
        <v>904</v>
      </c>
      <c r="P266" s="92" t="s">
        <v>904</v>
      </c>
      <c r="Q266" s="92" t="s">
        <v>904</v>
      </c>
      <c r="R266" s="92" t="s">
        <v>904</v>
      </c>
      <c r="S266" s="92" t="s">
        <v>904</v>
      </c>
    </row>
  </sheetData>
  <sheetProtection algorithmName="SHA-512" hashValue="KHpKg5zLpCMQo6wJcv+pNoH/MNAvSRN3h4W68jJmfE14qzKGbc2xa3BGFZClKZ8I0Plr6l7uNFTG4AJ9EpEEwA==" saltValue="UXT/h5j7232KJIxrC9/leQ==" spinCount="100000" sheet="1" objects="1" scenarios="1" formatColumns="0" formatRows="0"/>
  <mergeCells count="1">
    <mergeCell ref="H167:K169"/>
  </mergeCells>
  <phoneticPr fontId="31" type="noConversion"/>
  <dataValidations disablePrompts="1" count="1">
    <dataValidation type="list" allowBlank="1" showInputMessage="1" showErrorMessage="1" sqref="B2" xr:uid="{A8FC56CC-99A9-41FF-8E48-839C40926F6F}">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AE69F-7D92-4A04-9DCF-4CDE079AED36}">
  <sheetPr codeName="Tabelle14">
    <tabColor indexed="12"/>
    <pageSetUpPr fitToPage="1"/>
  </sheetPr>
  <dimension ref="A1:G5"/>
  <sheetViews>
    <sheetView workbookViewId="0">
      <selection activeCell="F22" sqref="F22"/>
    </sheetView>
  </sheetViews>
  <sheetFormatPr defaultColWidth="11.44140625" defaultRowHeight="13.2" x14ac:dyDescent="0.25"/>
  <cols>
    <col min="1" max="1" width="50.88671875" customWidth="1"/>
  </cols>
  <sheetData>
    <row r="1" spans="1:7" x14ac:dyDescent="0.25">
      <c r="A1" s="85" t="s">
        <v>636</v>
      </c>
      <c r="B1" s="85" t="s">
        <v>909</v>
      </c>
      <c r="C1" s="85" t="s">
        <v>910</v>
      </c>
      <c r="D1" s="86"/>
      <c r="E1" s="86" t="s">
        <v>911</v>
      </c>
      <c r="F1" s="86"/>
      <c r="G1" s="86"/>
    </row>
    <row r="2" spans="1:7" x14ac:dyDescent="0.25">
      <c r="A2" t="s">
        <v>912</v>
      </c>
      <c r="B2" s="73" t="b">
        <v>1</v>
      </c>
      <c r="E2" s="127" t="b">
        <v>1</v>
      </c>
    </row>
    <row r="3" spans="1:7" x14ac:dyDescent="0.25">
      <c r="A3" t="s">
        <v>913</v>
      </c>
      <c r="B3" s="73" t="b">
        <v>1</v>
      </c>
      <c r="C3" s="71"/>
      <c r="E3" s="127" t="b">
        <v>1</v>
      </c>
    </row>
    <row r="4" spans="1:7" x14ac:dyDescent="0.25">
      <c r="A4" s="45" t="s">
        <v>914</v>
      </c>
      <c r="B4" s="73" t="b">
        <v>1</v>
      </c>
      <c r="C4" s="71"/>
      <c r="E4" s="127" t="b">
        <v>1</v>
      </c>
    </row>
    <row r="5" spans="1:7" x14ac:dyDescent="0.25">
      <c r="A5" t="s">
        <v>915</v>
      </c>
      <c r="B5" s="73" t="b">
        <v>1</v>
      </c>
      <c r="E5" s="127" t="b">
        <v>0</v>
      </c>
    </row>
  </sheetData>
  <sheetProtection algorithmName="SHA-512" hashValue="qUcGnJhxaVkgUkQJoMI0euBHE8r6F6Be7xz7WH78mTY2ThI+9uTbSrJ79xOQ/1yux3W3/YExj6VevTRcvlWogw==" saltValue="BLt6CH1DtZN79XaXemeWew==" spinCount="100000" sheet="1" objects="1" scenarios="1" formatCells="0" formatColumns="0" formatRows="0"/>
  <phoneticPr fontId="31" type="noConversion"/>
  <dataValidations count="1">
    <dataValidation type="list" allowBlank="1" showInputMessage="1" showErrorMessage="1" sqref="E2:E5 B2:B5" xr:uid="{A329D910-2829-4C98-976D-04FAE508DB7F}">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41B9-B369-450A-9AE8-FBCC505BE3FB}">
  <sheetPr codeName="Tabelle15">
    <tabColor indexed="17"/>
    <pageSetUpPr fitToPage="1"/>
  </sheetPr>
  <dimension ref="A1:D1560"/>
  <sheetViews>
    <sheetView zoomScaleNormal="100" workbookViewId="0">
      <pane xSplit="1" ySplit="1" topLeftCell="B1535" activePane="bottomRight" state="frozen"/>
      <selection pane="topRight" activeCell="B1" sqref="B1"/>
      <selection pane="bottomLeft" activeCell="A2" sqref="A2"/>
      <selection pane="bottomRight" activeCell="B1541" sqref="B1541"/>
    </sheetView>
  </sheetViews>
  <sheetFormatPr defaultColWidth="11.44140625" defaultRowHeight="14.4" x14ac:dyDescent="0.3"/>
  <cols>
    <col min="1" max="1" width="9.44140625" style="550" customWidth="1"/>
    <col min="2" max="2" width="70.6640625" style="550" customWidth="1"/>
    <col min="3" max="3" width="70.6640625" style="94" customWidth="1"/>
    <col min="4" max="4" width="33" style="94" customWidth="1"/>
    <col min="5" max="5" width="14.88671875" style="94" customWidth="1"/>
    <col min="6" max="6" width="17.6640625" style="94" customWidth="1"/>
    <col min="7" max="7" width="20.44140625" style="94" customWidth="1"/>
    <col min="8" max="18" width="24.6640625" style="94" bestFit="1" customWidth="1"/>
    <col min="19" max="19" width="25" style="94" bestFit="1" customWidth="1"/>
    <col min="20" max="20" width="20.33203125" style="94" bestFit="1" customWidth="1"/>
    <col min="21" max="21" width="25" style="94" bestFit="1" customWidth="1"/>
    <col min="22" max="22" width="21" style="94" bestFit="1" customWidth="1"/>
    <col min="23" max="25" width="19" style="94" bestFit="1" customWidth="1"/>
    <col min="26" max="27" width="16.33203125" style="94" bestFit="1" customWidth="1"/>
    <col min="28" max="28" width="20.6640625" style="94" bestFit="1" customWidth="1"/>
    <col min="29" max="29" width="16.44140625" style="94" bestFit="1" customWidth="1"/>
    <col min="30" max="30" width="14.5546875" style="94" bestFit="1" customWidth="1"/>
    <col min="31" max="31" width="11.44140625" style="94"/>
    <col min="32" max="32" width="14.6640625" style="94" bestFit="1" customWidth="1"/>
    <col min="33" max="33" width="12.33203125" style="94" bestFit="1" customWidth="1"/>
    <col min="34" max="34" width="13.44140625" style="94" bestFit="1" customWidth="1"/>
    <col min="35" max="35" width="10.6640625" style="94" bestFit="1" customWidth="1"/>
    <col min="36" max="36" width="14.6640625" style="94" bestFit="1" customWidth="1"/>
    <col min="37" max="37" width="14.33203125" style="94" bestFit="1" customWidth="1"/>
    <col min="38" max="38" width="18.88671875" style="94" bestFit="1" customWidth="1"/>
    <col min="39" max="39" width="18.5546875" style="94" bestFit="1" customWidth="1"/>
    <col min="40" max="40" width="12" style="94" bestFit="1" customWidth="1"/>
    <col min="41" max="41" width="14.6640625" style="94" bestFit="1" customWidth="1"/>
    <col min="42" max="42" width="12.33203125" style="94" bestFit="1" customWidth="1"/>
    <col min="43" max="43" width="29.6640625" style="94" customWidth="1"/>
    <col min="44" max="16384" width="11.44140625" style="94"/>
  </cols>
  <sheetData>
    <row r="1" spans="1:4" s="93" customFormat="1" ht="15" thickBot="1" x14ac:dyDescent="0.35">
      <c r="A1" s="549" t="s">
        <v>916</v>
      </c>
      <c r="B1" s="549" t="s">
        <v>917</v>
      </c>
      <c r="C1" s="93" t="s">
        <v>918</v>
      </c>
    </row>
    <row r="2" spans="1:4" ht="15" thickBot="1" x14ac:dyDescent="0.35">
      <c r="A2" s="550">
        <v>1</v>
      </c>
      <c r="B2" s="551" t="s">
        <v>919</v>
      </c>
      <c r="D2" s="507"/>
    </row>
    <row r="3" spans="1:4" x14ac:dyDescent="0.3">
      <c r="A3" s="550">
        <v>2</v>
      </c>
      <c r="B3" s="1" t="s">
        <v>920</v>
      </c>
      <c r="D3" s="507"/>
    </row>
    <row r="4" spans="1:4" x14ac:dyDescent="0.3">
      <c r="A4" s="550">
        <v>3</v>
      </c>
      <c r="B4" s="1" t="s">
        <v>921</v>
      </c>
      <c r="D4" s="507"/>
    </row>
    <row r="5" spans="1:4" x14ac:dyDescent="0.3">
      <c r="A5" s="550">
        <v>4</v>
      </c>
      <c r="B5" s="1" t="s">
        <v>922</v>
      </c>
      <c r="D5" s="507"/>
    </row>
    <row r="6" spans="1:4" x14ac:dyDescent="0.3">
      <c r="A6" s="550">
        <v>5</v>
      </c>
      <c r="B6" s="1" t="s">
        <v>923</v>
      </c>
      <c r="D6" s="507"/>
    </row>
    <row r="7" spans="1:4" ht="24.6" x14ac:dyDescent="0.3">
      <c r="A7" s="550">
        <v>6</v>
      </c>
      <c r="B7" s="552" t="s">
        <v>924</v>
      </c>
      <c r="D7" s="507"/>
    </row>
    <row r="8" spans="1:4" ht="18" thickBot="1" x14ac:dyDescent="0.35">
      <c r="A8" s="550">
        <v>7</v>
      </c>
      <c r="B8" s="508" t="s">
        <v>925</v>
      </c>
      <c r="D8" s="507"/>
    </row>
    <row r="9" spans="1:4" x14ac:dyDescent="0.3">
      <c r="A9" s="550">
        <v>8</v>
      </c>
      <c r="B9" s="509" t="s">
        <v>926</v>
      </c>
      <c r="D9" s="507"/>
    </row>
    <row r="10" spans="1:4" ht="15" thickBot="1" x14ac:dyDescent="0.35">
      <c r="A10" s="550">
        <v>9</v>
      </c>
      <c r="B10" s="510" t="s">
        <v>927</v>
      </c>
      <c r="D10" s="507"/>
    </row>
    <row r="11" spans="1:4" ht="15" thickBot="1" x14ac:dyDescent="0.35">
      <c r="A11" s="550">
        <v>10</v>
      </c>
      <c r="B11" s="16" t="s">
        <v>928</v>
      </c>
      <c r="D11" s="507"/>
    </row>
    <row r="12" spans="1:4" x14ac:dyDescent="0.3">
      <c r="A12" s="550">
        <v>11</v>
      </c>
      <c r="B12" s="509" t="s">
        <v>929</v>
      </c>
      <c r="D12" s="507"/>
    </row>
    <row r="13" spans="1:4" x14ac:dyDescent="0.3">
      <c r="A13" s="550">
        <v>12</v>
      </c>
      <c r="B13" s="511" t="s">
        <v>930</v>
      </c>
      <c r="D13" s="507"/>
    </row>
    <row r="14" spans="1:4" ht="15" thickBot="1" x14ac:dyDescent="0.35">
      <c r="A14" s="550">
        <v>13</v>
      </c>
      <c r="B14" s="553" t="s">
        <v>931</v>
      </c>
      <c r="D14" s="507"/>
    </row>
    <row r="15" spans="1:4" ht="26.4" x14ac:dyDescent="0.3">
      <c r="A15" s="550">
        <v>14</v>
      </c>
      <c r="B15" s="499" t="s">
        <v>932</v>
      </c>
      <c r="D15" s="507"/>
    </row>
    <row r="16" spans="1:4" x14ac:dyDescent="0.3">
      <c r="A16" s="550">
        <v>15</v>
      </c>
      <c r="B16" s="512" t="s">
        <v>933</v>
      </c>
      <c r="D16" s="507"/>
    </row>
    <row r="17" spans="1:4" ht="26.4" x14ac:dyDescent="0.3">
      <c r="A17" s="550">
        <v>16</v>
      </c>
      <c r="B17" s="512" t="s">
        <v>934</v>
      </c>
      <c r="D17" s="507"/>
    </row>
    <row r="18" spans="1:4" x14ac:dyDescent="0.3">
      <c r="A18" s="550">
        <v>17</v>
      </c>
      <c r="B18" s="1" t="s">
        <v>935</v>
      </c>
      <c r="D18" s="507"/>
    </row>
    <row r="19" spans="1:4" x14ac:dyDescent="0.3">
      <c r="A19" s="550">
        <v>18</v>
      </c>
      <c r="B19" s="1" t="s">
        <v>936</v>
      </c>
      <c r="D19" s="507"/>
    </row>
    <row r="20" spans="1:4" ht="17.399999999999999" x14ac:dyDescent="0.3">
      <c r="A20" s="550">
        <v>19</v>
      </c>
      <c r="B20" s="498" t="s">
        <v>937</v>
      </c>
      <c r="D20" s="507"/>
    </row>
    <row r="21" spans="1:4" ht="15.6" x14ac:dyDescent="0.3">
      <c r="A21" s="550">
        <v>20</v>
      </c>
      <c r="B21" s="497" t="s">
        <v>938</v>
      </c>
      <c r="D21" s="507"/>
    </row>
    <row r="22" spans="1:4" ht="52.8" x14ac:dyDescent="0.3">
      <c r="A22" s="550">
        <v>21</v>
      </c>
      <c r="B22" s="488" t="s">
        <v>939</v>
      </c>
      <c r="D22" s="507"/>
    </row>
    <row r="23" spans="1:4" x14ac:dyDescent="0.3">
      <c r="A23" s="550">
        <v>22</v>
      </c>
      <c r="B23" s="1" t="s">
        <v>940</v>
      </c>
      <c r="D23" s="507"/>
    </row>
    <row r="24" spans="1:4" ht="66" x14ac:dyDescent="0.3">
      <c r="A24" s="550">
        <v>23</v>
      </c>
      <c r="B24" s="488" t="s">
        <v>941</v>
      </c>
      <c r="D24" s="507"/>
    </row>
    <row r="25" spans="1:4" x14ac:dyDescent="0.3">
      <c r="A25" s="550">
        <v>24</v>
      </c>
      <c r="B25" s="75" t="s">
        <v>942</v>
      </c>
      <c r="D25" s="507"/>
    </row>
    <row r="26" spans="1:4" ht="52.8" x14ac:dyDescent="0.3">
      <c r="A26" s="550">
        <v>25</v>
      </c>
      <c r="B26" s="488" t="s">
        <v>943</v>
      </c>
      <c r="D26" s="507"/>
    </row>
    <row r="27" spans="1:4" ht="26.4" x14ac:dyDescent="0.3">
      <c r="A27" s="550">
        <v>26</v>
      </c>
      <c r="B27" s="488" t="s">
        <v>944</v>
      </c>
      <c r="D27" s="507"/>
    </row>
    <row r="28" spans="1:4" ht="26.4" x14ac:dyDescent="0.3">
      <c r="A28" s="550">
        <v>27</v>
      </c>
      <c r="B28" s="488" t="s">
        <v>144</v>
      </c>
      <c r="D28" s="507"/>
    </row>
    <row r="29" spans="1:4" ht="34.799999999999997" x14ac:dyDescent="0.3">
      <c r="A29" s="550">
        <v>28</v>
      </c>
      <c r="B29" s="601" t="s">
        <v>145</v>
      </c>
      <c r="D29" s="507"/>
    </row>
    <row r="30" spans="1:4" ht="15.6" x14ac:dyDescent="0.3">
      <c r="A30" s="550">
        <v>29</v>
      </c>
      <c r="B30" s="497" t="s">
        <v>945</v>
      </c>
      <c r="D30" s="507"/>
    </row>
    <row r="31" spans="1:4" ht="26.4" x14ac:dyDescent="0.3">
      <c r="A31" s="550">
        <v>30</v>
      </c>
      <c r="B31" s="488" t="s">
        <v>148</v>
      </c>
      <c r="D31" s="507"/>
    </row>
    <row r="32" spans="1:4" ht="79.2" x14ac:dyDescent="0.3">
      <c r="A32" s="550">
        <v>31</v>
      </c>
      <c r="B32" s="488" t="s">
        <v>946</v>
      </c>
      <c r="D32" s="507"/>
    </row>
    <row r="33" spans="1:4" ht="52.8" x14ac:dyDescent="0.3">
      <c r="A33" s="550">
        <v>32</v>
      </c>
      <c r="B33" s="488" t="s">
        <v>947</v>
      </c>
      <c r="D33" s="507"/>
    </row>
    <row r="34" spans="1:4" ht="66" x14ac:dyDescent="0.3">
      <c r="A34" s="550">
        <v>33</v>
      </c>
      <c r="B34" s="488" t="s">
        <v>948</v>
      </c>
      <c r="D34" s="507"/>
    </row>
    <row r="35" spans="1:4" ht="66" x14ac:dyDescent="0.3">
      <c r="A35" s="550">
        <v>34</v>
      </c>
      <c r="B35" s="488" t="s">
        <v>949</v>
      </c>
      <c r="D35" s="507"/>
    </row>
    <row r="36" spans="1:4" ht="52.8" x14ac:dyDescent="0.3">
      <c r="A36" s="550">
        <v>35</v>
      </c>
      <c r="B36" s="488" t="s">
        <v>950</v>
      </c>
      <c r="D36" s="507"/>
    </row>
    <row r="37" spans="1:4" x14ac:dyDescent="0.3">
      <c r="A37" s="550">
        <v>36</v>
      </c>
      <c r="B37" s="488" t="s">
        <v>152</v>
      </c>
      <c r="D37" s="507"/>
    </row>
    <row r="38" spans="1:4" x14ac:dyDescent="0.3">
      <c r="A38" s="550">
        <v>37</v>
      </c>
      <c r="B38" s="72" t="s">
        <v>951</v>
      </c>
      <c r="D38" s="507"/>
    </row>
    <row r="39" spans="1:4" ht="26.4" x14ac:dyDescent="0.3">
      <c r="A39" s="550">
        <v>38</v>
      </c>
      <c r="B39" s="492" t="s">
        <v>155</v>
      </c>
      <c r="D39" s="507"/>
    </row>
    <row r="40" spans="1:4" ht="26.4" x14ac:dyDescent="0.3">
      <c r="A40" s="550">
        <v>39</v>
      </c>
      <c r="B40" s="492" t="s">
        <v>157</v>
      </c>
      <c r="D40" s="507"/>
    </row>
    <row r="41" spans="1:4" x14ac:dyDescent="0.3">
      <c r="A41" s="550">
        <v>40</v>
      </c>
      <c r="B41" s="492" t="s">
        <v>159</v>
      </c>
      <c r="D41" s="507"/>
    </row>
    <row r="42" spans="1:4" ht="26.4" x14ac:dyDescent="0.3">
      <c r="A42" s="550">
        <v>41</v>
      </c>
      <c r="B42" s="492" t="s">
        <v>161</v>
      </c>
      <c r="D42" s="507"/>
    </row>
    <row r="43" spans="1:4" x14ac:dyDescent="0.3">
      <c r="A43" s="550">
        <v>42</v>
      </c>
      <c r="B43" s="513" t="s">
        <v>162</v>
      </c>
      <c r="D43" s="507"/>
    </row>
    <row r="44" spans="1:4" x14ac:dyDescent="0.3">
      <c r="A44" s="550">
        <v>43</v>
      </c>
      <c r="B44" s="499" t="s">
        <v>163</v>
      </c>
      <c r="D44" s="507"/>
    </row>
    <row r="45" spans="1:4" x14ac:dyDescent="0.3">
      <c r="A45" s="550">
        <v>44</v>
      </c>
      <c r="B45" s="514" t="s">
        <v>164</v>
      </c>
      <c r="D45" s="507"/>
    </row>
    <row r="46" spans="1:4" x14ac:dyDescent="0.3">
      <c r="A46" s="550">
        <v>45</v>
      </c>
      <c r="B46" s="515" t="s">
        <v>165</v>
      </c>
      <c r="D46" s="507"/>
    </row>
    <row r="47" spans="1:4" x14ac:dyDescent="0.3">
      <c r="A47" s="550">
        <v>46</v>
      </c>
      <c r="B47" s="514" t="s">
        <v>166</v>
      </c>
      <c r="D47" s="507"/>
    </row>
    <row r="48" spans="1:4" ht="26.4" x14ac:dyDescent="0.3">
      <c r="A48" s="550">
        <v>47</v>
      </c>
      <c r="B48" s="514" t="s">
        <v>952</v>
      </c>
      <c r="D48" s="507"/>
    </row>
    <row r="49" spans="1:4" x14ac:dyDescent="0.3">
      <c r="A49" s="550">
        <v>48</v>
      </c>
      <c r="B49" s="516" t="s">
        <v>953</v>
      </c>
      <c r="D49" s="507"/>
    </row>
    <row r="50" spans="1:4" ht="26.4" x14ac:dyDescent="0.3">
      <c r="A50" s="550">
        <v>49</v>
      </c>
      <c r="B50" s="516" t="s">
        <v>169</v>
      </c>
      <c r="D50" s="507"/>
    </row>
    <row r="51" spans="1:4" x14ac:dyDescent="0.3">
      <c r="A51" s="550">
        <v>50</v>
      </c>
      <c r="B51" s="514" t="s">
        <v>170</v>
      </c>
      <c r="D51" s="507"/>
    </row>
    <row r="52" spans="1:4" ht="26.4" x14ac:dyDescent="0.3">
      <c r="A52" s="550">
        <v>51</v>
      </c>
      <c r="B52" s="514" t="s">
        <v>171</v>
      </c>
      <c r="D52" s="507"/>
    </row>
    <row r="53" spans="1:4" x14ac:dyDescent="0.3">
      <c r="A53" s="550">
        <v>52</v>
      </c>
      <c r="B53" s="514" t="s">
        <v>954</v>
      </c>
      <c r="D53" s="507"/>
    </row>
    <row r="54" spans="1:4" ht="79.2" x14ac:dyDescent="0.3">
      <c r="A54" s="550">
        <v>53</v>
      </c>
      <c r="B54" s="488" t="s">
        <v>955</v>
      </c>
      <c r="D54" s="507"/>
    </row>
    <row r="55" spans="1:4" ht="66" x14ac:dyDescent="0.3">
      <c r="A55" s="550">
        <v>54</v>
      </c>
      <c r="B55" s="488" t="s">
        <v>956</v>
      </c>
      <c r="D55" s="507"/>
    </row>
    <row r="56" spans="1:4" ht="66" x14ac:dyDescent="0.3">
      <c r="A56" s="550">
        <v>55</v>
      </c>
      <c r="B56" s="489" t="s">
        <v>175</v>
      </c>
      <c r="D56" s="507"/>
    </row>
    <row r="57" spans="1:4" ht="79.8" thickBot="1" x14ac:dyDescent="0.35">
      <c r="A57" s="550">
        <v>56</v>
      </c>
      <c r="B57" s="488" t="s">
        <v>957</v>
      </c>
      <c r="D57" s="507"/>
    </row>
    <row r="58" spans="1:4" ht="119.4" thickBot="1" x14ac:dyDescent="0.35">
      <c r="A58" s="550">
        <v>57</v>
      </c>
      <c r="B58" s="554" t="s">
        <v>958</v>
      </c>
      <c r="D58" s="507"/>
    </row>
    <row r="59" spans="1:4" ht="15.6" x14ac:dyDescent="0.3">
      <c r="A59" s="550">
        <v>58</v>
      </c>
      <c r="B59" s="497" t="s">
        <v>959</v>
      </c>
      <c r="D59" s="507"/>
    </row>
    <row r="60" spans="1:4" x14ac:dyDescent="0.3">
      <c r="A60" s="550">
        <v>59</v>
      </c>
      <c r="B60" s="490" t="s">
        <v>960</v>
      </c>
      <c r="D60" s="507"/>
    </row>
    <row r="61" spans="1:4" x14ac:dyDescent="0.3">
      <c r="A61" s="550">
        <v>60</v>
      </c>
      <c r="B61" s="517" t="s">
        <v>961</v>
      </c>
      <c r="D61" s="507"/>
    </row>
    <row r="62" spans="1:4" ht="15.6" x14ac:dyDescent="0.3">
      <c r="A62" s="550">
        <v>61</v>
      </c>
      <c r="B62" s="491" t="s">
        <v>962</v>
      </c>
      <c r="D62" s="507"/>
    </row>
    <row r="63" spans="1:4" x14ac:dyDescent="0.3">
      <c r="A63" s="550">
        <v>62</v>
      </c>
      <c r="B63" s="499" t="s">
        <v>963</v>
      </c>
      <c r="D63" s="507"/>
    </row>
    <row r="64" spans="1:4" x14ac:dyDescent="0.3">
      <c r="A64" s="550">
        <v>63</v>
      </c>
      <c r="B64" s="490" t="s">
        <v>964</v>
      </c>
      <c r="D64" s="507"/>
    </row>
    <row r="65" spans="1:4" x14ac:dyDescent="0.3">
      <c r="A65" s="550">
        <v>64</v>
      </c>
      <c r="B65" s="1" t="s">
        <v>965</v>
      </c>
      <c r="D65" s="507"/>
    </row>
    <row r="66" spans="1:4" x14ac:dyDescent="0.3">
      <c r="A66" s="550">
        <v>65</v>
      </c>
      <c r="B66" s="490" t="s">
        <v>966</v>
      </c>
      <c r="D66" s="507"/>
    </row>
    <row r="67" spans="1:4" x14ac:dyDescent="0.3">
      <c r="A67" s="550">
        <v>66</v>
      </c>
      <c r="B67" s="1" t="s">
        <v>967</v>
      </c>
      <c r="D67" s="507"/>
    </row>
    <row r="68" spans="1:4" x14ac:dyDescent="0.3">
      <c r="A68" s="550">
        <v>67</v>
      </c>
      <c r="B68" s="499" t="s">
        <v>968</v>
      </c>
      <c r="D68" s="507"/>
    </row>
    <row r="69" spans="1:4" x14ac:dyDescent="0.3">
      <c r="A69" s="550">
        <v>68</v>
      </c>
      <c r="B69" s="600" t="s">
        <v>969</v>
      </c>
      <c r="D69" s="507"/>
    </row>
    <row r="70" spans="1:4" x14ac:dyDescent="0.3">
      <c r="A70" s="550">
        <v>69</v>
      </c>
      <c r="B70" s="490" t="s">
        <v>970</v>
      </c>
      <c r="D70" s="507"/>
    </row>
    <row r="71" spans="1:4" x14ac:dyDescent="0.3">
      <c r="A71" s="550">
        <v>70</v>
      </c>
      <c r="B71" s="600" t="s">
        <v>971</v>
      </c>
      <c r="D71" s="507"/>
    </row>
    <row r="72" spans="1:4" ht="15.6" x14ac:dyDescent="0.3">
      <c r="A72" s="550">
        <v>71</v>
      </c>
      <c r="B72" s="491" t="s">
        <v>972</v>
      </c>
      <c r="D72" s="507"/>
    </row>
    <row r="73" spans="1:4" ht="15" thickBot="1" x14ac:dyDescent="0.35">
      <c r="A73" s="550">
        <v>72</v>
      </c>
      <c r="B73" s="1" t="s">
        <v>973</v>
      </c>
      <c r="D73" s="507"/>
    </row>
    <row r="74" spans="1:4" ht="26.4" x14ac:dyDescent="0.3">
      <c r="A74" s="550">
        <v>73</v>
      </c>
      <c r="B74" s="527" t="s">
        <v>974</v>
      </c>
      <c r="D74" s="507"/>
    </row>
    <row r="75" spans="1:4" x14ac:dyDescent="0.3">
      <c r="A75" s="550">
        <v>74</v>
      </c>
      <c r="B75" s="1" t="s">
        <v>975</v>
      </c>
      <c r="D75" s="507"/>
    </row>
    <row r="76" spans="1:4" x14ac:dyDescent="0.3">
      <c r="A76" s="550">
        <v>75</v>
      </c>
      <c r="B76" s="1" t="s">
        <v>976</v>
      </c>
      <c r="D76" s="507"/>
    </row>
    <row r="77" spans="1:4" x14ac:dyDescent="0.3">
      <c r="A77" s="550">
        <v>76</v>
      </c>
      <c r="B77" s="1" t="s">
        <v>977</v>
      </c>
      <c r="D77" s="507"/>
    </row>
    <row r="78" spans="1:4" x14ac:dyDescent="0.3">
      <c r="A78" s="550">
        <v>77</v>
      </c>
      <c r="B78" s="1" t="s">
        <v>978</v>
      </c>
      <c r="D78" s="507"/>
    </row>
    <row r="79" spans="1:4" x14ac:dyDescent="0.3">
      <c r="A79" s="550">
        <v>78</v>
      </c>
      <c r="B79" s="1" t="s">
        <v>979</v>
      </c>
      <c r="D79" s="507"/>
    </row>
    <row r="80" spans="1:4" x14ac:dyDescent="0.3">
      <c r="A80" s="550">
        <v>79</v>
      </c>
      <c r="B80" s="1" t="s">
        <v>980</v>
      </c>
      <c r="D80" s="507"/>
    </row>
    <row r="81" spans="1:4" x14ac:dyDescent="0.3">
      <c r="A81" s="550">
        <v>80</v>
      </c>
      <c r="B81" s="1" t="s">
        <v>981</v>
      </c>
      <c r="D81" s="507"/>
    </row>
    <row r="82" spans="1:4" x14ac:dyDescent="0.3">
      <c r="A82" s="550">
        <v>81</v>
      </c>
      <c r="B82" s="1" t="s">
        <v>982</v>
      </c>
      <c r="D82" s="507"/>
    </row>
    <row r="83" spans="1:4" ht="34.799999999999997" x14ac:dyDescent="0.3">
      <c r="A83" s="550">
        <v>82</v>
      </c>
      <c r="B83" s="498" t="s">
        <v>983</v>
      </c>
      <c r="D83" s="507"/>
    </row>
    <row r="84" spans="1:4" ht="15.6" x14ac:dyDescent="0.3">
      <c r="A84" s="550">
        <v>83</v>
      </c>
      <c r="B84" s="497" t="s">
        <v>34</v>
      </c>
      <c r="D84" s="507"/>
    </row>
    <row r="85" spans="1:4" x14ac:dyDescent="0.3">
      <c r="A85" s="550">
        <v>84</v>
      </c>
      <c r="B85" s="505" t="s">
        <v>984</v>
      </c>
      <c r="D85" s="507"/>
    </row>
    <row r="86" spans="1:4" x14ac:dyDescent="0.3">
      <c r="A86" s="550">
        <v>85</v>
      </c>
      <c r="B86" s="499" t="s">
        <v>985</v>
      </c>
      <c r="D86" s="507"/>
    </row>
    <row r="87" spans="1:4" ht="20.399999999999999" x14ac:dyDescent="0.3">
      <c r="A87" s="550">
        <v>86</v>
      </c>
      <c r="B87" s="496" t="s">
        <v>986</v>
      </c>
      <c r="D87" s="507"/>
    </row>
    <row r="88" spans="1:4" x14ac:dyDescent="0.3">
      <c r="A88" s="550">
        <v>87</v>
      </c>
      <c r="B88" s="499" t="s">
        <v>987</v>
      </c>
      <c r="D88" s="507"/>
    </row>
    <row r="89" spans="1:4" ht="20.399999999999999" x14ac:dyDescent="0.3">
      <c r="A89" s="550">
        <v>88</v>
      </c>
      <c r="B89" s="496" t="s">
        <v>988</v>
      </c>
      <c r="D89" s="507"/>
    </row>
    <row r="90" spans="1:4" x14ac:dyDescent="0.3">
      <c r="A90" s="550">
        <v>89</v>
      </c>
      <c r="B90" s="499" t="s">
        <v>989</v>
      </c>
      <c r="D90" s="507"/>
    </row>
    <row r="91" spans="1:4" x14ac:dyDescent="0.3">
      <c r="A91" s="550">
        <v>90</v>
      </c>
      <c r="B91" s="499" t="s">
        <v>990</v>
      </c>
      <c r="D91" s="507"/>
    </row>
    <row r="92" spans="1:4" ht="20.399999999999999" x14ac:dyDescent="0.3">
      <c r="A92" s="550">
        <v>91</v>
      </c>
      <c r="B92" s="496" t="s">
        <v>991</v>
      </c>
      <c r="D92" s="507"/>
    </row>
    <row r="93" spans="1:4" ht="20.399999999999999" x14ac:dyDescent="0.3">
      <c r="A93" s="550">
        <v>92</v>
      </c>
      <c r="B93" s="496" t="s">
        <v>992</v>
      </c>
      <c r="D93" s="507"/>
    </row>
    <row r="94" spans="1:4" ht="20.399999999999999" x14ac:dyDescent="0.3">
      <c r="A94" s="550">
        <v>93</v>
      </c>
      <c r="B94" s="496" t="s">
        <v>993</v>
      </c>
      <c r="D94" s="507"/>
    </row>
    <row r="95" spans="1:4" x14ac:dyDescent="0.3">
      <c r="A95" s="550">
        <v>94</v>
      </c>
      <c r="B95" s="499" t="s">
        <v>994</v>
      </c>
      <c r="D95" s="507"/>
    </row>
    <row r="96" spans="1:4" ht="20.399999999999999" x14ac:dyDescent="0.3">
      <c r="A96" s="550">
        <v>95</v>
      </c>
      <c r="B96" s="496" t="s">
        <v>995</v>
      </c>
      <c r="D96" s="507"/>
    </row>
    <row r="97" spans="1:4" ht="40.799999999999997" x14ac:dyDescent="0.3">
      <c r="A97" s="550">
        <v>96</v>
      </c>
      <c r="B97" s="496" t="s">
        <v>996</v>
      </c>
      <c r="D97" s="507"/>
    </row>
    <row r="98" spans="1:4" x14ac:dyDescent="0.3">
      <c r="A98" s="550">
        <v>97</v>
      </c>
      <c r="B98" s="499" t="s">
        <v>997</v>
      </c>
      <c r="D98" s="507"/>
    </row>
    <row r="99" spans="1:4" x14ac:dyDescent="0.3">
      <c r="A99" s="550">
        <v>98</v>
      </c>
      <c r="B99" s="499" t="s">
        <v>998</v>
      </c>
      <c r="D99" s="507"/>
    </row>
    <row r="100" spans="1:4" ht="20.399999999999999" x14ac:dyDescent="0.3">
      <c r="A100" s="550">
        <v>99</v>
      </c>
      <c r="B100" s="496" t="s">
        <v>999</v>
      </c>
      <c r="D100" s="507"/>
    </row>
    <row r="101" spans="1:4" ht="20.399999999999999" x14ac:dyDescent="0.3">
      <c r="A101" s="550">
        <v>100</v>
      </c>
      <c r="B101" s="496" t="s">
        <v>1000</v>
      </c>
      <c r="D101" s="507"/>
    </row>
    <row r="102" spans="1:4" x14ac:dyDescent="0.3">
      <c r="A102" s="550">
        <v>101</v>
      </c>
      <c r="B102" s="493" t="s">
        <v>1001</v>
      </c>
      <c r="D102" s="507"/>
    </row>
    <row r="103" spans="1:4" ht="26.4" x14ac:dyDescent="0.3">
      <c r="A103" s="550">
        <v>102</v>
      </c>
      <c r="B103" s="502" t="s">
        <v>1002</v>
      </c>
      <c r="D103" s="507"/>
    </row>
    <row r="104" spans="1:4" x14ac:dyDescent="0.3">
      <c r="A104" s="550">
        <v>103</v>
      </c>
      <c r="B104" s="518" t="s">
        <v>1003</v>
      </c>
      <c r="D104" s="507"/>
    </row>
    <row r="105" spans="1:4" x14ac:dyDescent="0.3">
      <c r="A105" s="550">
        <v>104</v>
      </c>
      <c r="B105" s="519" t="s">
        <v>1004</v>
      </c>
      <c r="D105" s="507"/>
    </row>
    <row r="106" spans="1:4" x14ac:dyDescent="0.3">
      <c r="A106" s="550">
        <v>105</v>
      </c>
      <c r="B106" s="502" t="s">
        <v>1005</v>
      </c>
      <c r="D106" s="507"/>
    </row>
    <row r="107" spans="1:4" x14ac:dyDescent="0.3">
      <c r="A107" s="550">
        <v>106</v>
      </c>
      <c r="B107" s="499" t="s">
        <v>1006</v>
      </c>
      <c r="D107" s="507"/>
    </row>
    <row r="108" spans="1:4" x14ac:dyDescent="0.3">
      <c r="A108" s="550">
        <v>107</v>
      </c>
      <c r="B108" s="496" t="s">
        <v>1007</v>
      </c>
      <c r="D108" s="507"/>
    </row>
    <row r="109" spans="1:4" x14ac:dyDescent="0.3">
      <c r="A109" s="550">
        <v>108</v>
      </c>
      <c r="B109" s="499" t="s">
        <v>1008</v>
      </c>
      <c r="D109" s="507"/>
    </row>
    <row r="110" spans="1:4" ht="20.399999999999999" x14ac:dyDescent="0.3">
      <c r="A110" s="550">
        <v>109</v>
      </c>
      <c r="B110" s="496" t="s">
        <v>1009</v>
      </c>
      <c r="D110" s="507"/>
    </row>
    <row r="111" spans="1:4" x14ac:dyDescent="0.3">
      <c r="A111" s="550">
        <v>110</v>
      </c>
      <c r="B111" s="496" t="s">
        <v>1010</v>
      </c>
      <c r="D111" s="507"/>
    </row>
    <row r="112" spans="1:4" x14ac:dyDescent="0.3">
      <c r="A112" s="550">
        <v>111</v>
      </c>
      <c r="B112" s="496" t="s">
        <v>1011</v>
      </c>
      <c r="D112" s="507"/>
    </row>
    <row r="113" spans="1:4" ht="20.399999999999999" x14ac:dyDescent="0.3">
      <c r="A113" s="550">
        <v>112</v>
      </c>
      <c r="B113" s="496" t="s">
        <v>1012</v>
      </c>
      <c r="D113" s="507"/>
    </row>
    <row r="114" spans="1:4" ht="20.399999999999999" x14ac:dyDescent="0.3">
      <c r="A114" s="550">
        <v>113</v>
      </c>
      <c r="B114" s="496" t="s">
        <v>1013</v>
      </c>
      <c r="D114" s="507"/>
    </row>
    <row r="115" spans="1:4" x14ac:dyDescent="0.3">
      <c r="A115" s="550">
        <v>114</v>
      </c>
      <c r="B115" s="496" t="s">
        <v>1014</v>
      </c>
      <c r="D115" s="507"/>
    </row>
    <row r="116" spans="1:4" x14ac:dyDescent="0.3">
      <c r="A116" s="550">
        <v>115</v>
      </c>
      <c r="B116" s="499" t="s">
        <v>1015</v>
      </c>
      <c r="D116" s="507"/>
    </row>
    <row r="117" spans="1:4" ht="30.6" x14ac:dyDescent="0.3">
      <c r="A117" s="550">
        <v>116</v>
      </c>
      <c r="B117" s="496" t="s">
        <v>1016</v>
      </c>
      <c r="D117" s="507"/>
    </row>
    <row r="118" spans="1:4" x14ac:dyDescent="0.3">
      <c r="A118" s="550">
        <v>117</v>
      </c>
      <c r="B118" s="518" t="s">
        <v>1017</v>
      </c>
      <c r="D118" s="507"/>
    </row>
    <row r="119" spans="1:4" x14ac:dyDescent="0.3">
      <c r="A119" s="550">
        <v>118</v>
      </c>
      <c r="B119" s="520" t="s">
        <v>1018</v>
      </c>
      <c r="D119" s="507"/>
    </row>
    <row r="120" spans="1:4" x14ac:dyDescent="0.3">
      <c r="A120" s="550">
        <v>119</v>
      </c>
      <c r="B120" s="520" t="s">
        <v>1019</v>
      </c>
      <c r="D120" s="507"/>
    </row>
    <row r="121" spans="1:4" x14ac:dyDescent="0.3">
      <c r="A121" s="550">
        <v>120</v>
      </c>
      <c r="B121" s="520" t="s">
        <v>1020</v>
      </c>
      <c r="D121" s="507"/>
    </row>
    <row r="122" spans="1:4" x14ac:dyDescent="0.3">
      <c r="A122" s="550">
        <v>121</v>
      </c>
      <c r="B122" s="520" t="s">
        <v>1021</v>
      </c>
      <c r="D122" s="507"/>
    </row>
    <row r="123" spans="1:4" x14ac:dyDescent="0.3">
      <c r="A123" s="550">
        <v>122</v>
      </c>
      <c r="B123" s="520" t="s">
        <v>1022</v>
      </c>
      <c r="D123" s="507"/>
    </row>
    <row r="124" spans="1:4" x14ac:dyDescent="0.3">
      <c r="A124" s="550">
        <v>123</v>
      </c>
      <c r="B124" s="520" t="s">
        <v>1023</v>
      </c>
      <c r="D124" s="507"/>
    </row>
    <row r="125" spans="1:4" x14ac:dyDescent="0.3">
      <c r="A125" s="550">
        <v>124</v>
      </c>
      <c r="B125" s="520" t="s">
        <v>1024</v>
      </c>
      <c r="D125" s="507"/>
    </row>
    <row r="126" spans="1:4" x14ac:dyDescent="0.3">
      <c r="A126" s="550">
        <v>125</v>
      </c>
      <c r="B126" s="519" t="s">
        <v>1025</v>
      </c>
      <c r="D126" s="507"/>
    </row>
    <row r="127" spans="1:4" x14ac:dyDescent="0.3">
      <c r="A127" s="550">
        <v>126</v>
      </c>
      <c r="B127" s="499" t="s">
        <v>1026</v>
      </c>
      <c r="D127" s="507"/>
    </row>
    <row r="128" spans="1:4" x14ac:dyDescent="0.3">
      <c r="A128" s="550">
        <v>127</v>
      </c>
      <c r="B128" s="505" t="s">
        <v>1027</v>
      </c>
      <c r="D128" s="507"/>
    </row>
    <row r="129" spans="1:4" ht="20.399999999999999" x14ac:dyDescent="0.3">
      <c r="A129" s="550">
        <v>128</v>
      </c>
      <c r="B129" s="496" t="s">
        <v>1028</v>
      </c>
      <c r="D129" s="507"/>
    </row>
    <row r="130" spans="1:4" x14ac:dyDescent="0.3">
      <c r="A130" s="550">
        <v>129</v>
      </c>
      <c r="B130" s="499" t="s">
        <v>1029</v>
      </c>
      <c r="D130" s="507"/>
    </row>
    <row r="131" spans="1:4" x14ac:dyDescent="0.3">
      <c r="A131" s="550">
        <v>130</v>
      </c>
      <c r="B131" s="518" t="s">
        <v>1030</v>
      </c>
      <c r="D131" s="507"/>
    </row>
    <row r="132" spans="1:4" ht="26.4" x14ac:dyDescent="0.3">
      <c r="A132" s="550">
        <v>131</v>
      </c>
      <c r="B132" s="499" t="s">
        <v>1031</v>
      </c>
      <c r="D132" s="507"/>
    </row>
    <row r="133" spans="1:4" x14ac:dyDescent="0.3">
      <c r="A133" s="550">
        <v>132</v>
      </c>
      <c r="B133" s="505" t="s">
        <v>1032</v>
      </c>
      <c r="D133" s="507"/>
    </row>
    <row r="134" spans="1:4" x14ac:dyDescent="0.3">
      <c r="A134" s="550">
        <v>133</v>
      </c>
      <c r="B134" s="499" t="s">
        <v>1033</v>
      </c>
      <c r="D134" s="507"/>
    </row>
    <row r="135" spans="1:4" x14ac:dyDescent="0.3">
      <c r="A135" s="550">
        <v>134</v>
      </c>
      <c r="B135" s="518" t="s">
        <v>1034</v>
      </c>
      <c r="D135" s="507"/>
    </row>
    <row r="136" spans="1:4" x14ac:dyDescent="0.3">
      <c r="A136" s="550">
        <v>135</v>
      </c>
      <c r="B136" s="520" t="s">
        <v>1035</v>
      </c>
      <c r="D136" s="507"/>
    </row>
    <row r="137" spans="1:4" x14ac:dyDescent="0.3">
      <c r="A137" s="550">
        <v>136</v>
      </c>
      <c r="B137" s="499" t="s">
        <v>1036</v>
      </c>
      <c r="D137" s="507"/>
    </row>
    <row r="138" spans="1:4" ht="20.399999999999999" x14ac:dyDescent="0.3">
      <c r="A138" s="550">
        <v>137</v>
      </c>
      <c r="B138" s="496" t="s">
        <v>1037</v>
      </c>
      <c r="D138" s="507"/>
    </row>
    <row r="139" spans="1:4" x14ac:dyDescent="0.3">
      <c r="A139" s="550">
        <v>138</v>
      </c>
      <c r="B139" s="520" t="s">
        <v>1038</v>
      </c>
      <c r="D139" s="507"/>
    </row>
    <row r="140" spans="1:4" x14ac:dyDescent="0.3">
      <c r="A140" s="550">
        <v>139</v>
      </c>
      <c r="B140" s="520" t="s">
        <v>1039</v>
      </c>
      <c r="D140" s="507"/>
    </row>
    <row r="141" spans="1:4" x14ac:dyDescent="0.3">
      <c r="A141" s="550">
        <v>140</v>
      </c>
      <c r="B141" s="499" t="s">
        <v>1040</v>
      </c>
      <c r="D141" s="507"/>
    </row>
    <row r="142" spans="1:4" x14ac:dyDescent="0.3">
      <c r="A142" s="550">
        <v>141</v>
      </c>
      <c r="B142" s="518" t="s">
        <v>1041</v>
      </c>
      <c r="D142" s="507"/>
    </row>
    <row r="143" spans="1:4" x14ac:dyDescent="0.3">
      <c r="A143" s="550">
        <v>142</v>
      </c>
      <c r="B143" s="520" t="s">
        <v>1042</v>
      </c>
      <c r="D143" s="507"/>
    </row>
    <row r="144" spans="1:4" x14ac:dyDescent="0.3">
      <c r="A144" s="550">
        <v>143</v>
      </c>
      <c r="B144" s="519" t="s">
        <v>1043</v>
      </c>
      <c r="D144" s="507"/>
    </row>
    <row r="145" spans="1:4" x14ac:dyDescent="0.3">
      <c r="A145" s="550">
        <v>144</v>
      </c>
      <c r="B145" s="505" t="s">
        <v>1044</v>
      </c>
      <c r="D145" s="507"/>
    </row>
    <row r="146" spans="1:4" x14ac:dyDescent="0.3">
      <c r="A146" s="550">
        <v>145</v>
      </c>
      <c r="B146" s="499" t="s">
        <v>1045</v>
      </c>
      <c r="D146" s="507"/>
    </row>
    <row r="147" spans="1:4" ht="20.399999999999999" x14ac:dyDescent="0.3">
      <c r="A147" s="550">
        <v>146</v>
      </c>
      <c r="B147" s="496" t="s">
        <v>1046</v>
      </c>
      <c r="D147" s="507"/>
    </row>
    <row r="148" spans="1:4" ht="20.399999999999999" x14ac:dyDescent="0.3">
      <c r="A148" s="550">
        <v>147</v>
      </c>
      <c r="B148" s="496" t="s">
        <v>1047</v>
      </c>
      <c r="D148" s="507"/>
    </row>
    <row r="149" spans="1:4" x14ac:dyDescent="0.3">
      <c r="A149" s="550">
        <v>148</v>
      </c>
      <c r="B149" s="83" t="s">
        <v>1048</v>
      </c>
      <c r="D149" s="507"/>
    </row>
    <row r="150" spans="1:4" x14ac:dyDescent="0.3">
      <c r="A150" s="550">
        <v>149</v>
      </c>
      <c r="B150" s="22" t="s">
        <v>1049</v>
      </c>
      <c r="D150" s="507"/>
    </row>
    <row r="151" spans="1:4" ht="26.4" x14ac:dyDescent="0.3">
      <c r="A151" s="550">
        <v>150</v>
      </c>
      <c r="B151" s="499" t="s">
        <v>1050</v>
      </c>
      <c r="D151" s="507"/>
    </row>
    <row r="152" spans="1:4" x14ac:dyDescent="0.3">
      <c r="A152" s="550">
        <v>151</v>
      </c>
      <c r="B152" s="496" t="s">
        <v>1051</v>
      </c>
      <c r="D152" s="507"/>
    </row>
    <row r="153" spans="1:4" x14ac:dyDescent="0.3">
      <c r="A153" s="550">
        <v>152</v>
      </c>
      <c r="B153" s="496" t="s">
        <v>1052</v>
      </c>
      <c r="D153" s="507"/>
    </row>
    <row r="154" spans="1:4" x14ac:dyDescent="0.3">
      <c r="A154" s="550">
        <v>153</v>
      </c>
      <c r="B154" s="1" t="s">
        <v>1053</v>
      </c>
      <c r="D154" s="507"/>
    </row>
    <row r="155" spans="1:4" ht="20.399999999999999" x14ac:dyDescent="0.3">
      <c r="A155" s="550">
        <v>154</v>
      </c>
      <c r="B155" s="495" t="s">
        <v>1054</v>
      </c>
      <c r="D155" s="507"/>
    </row>
    <row r="156" spans="1:4" x14ac:dyDescent="0.3">
      <c r="A156" s="550">
        <v>155</v>
      </c>
      <c r="B156" s="496" t="s">
        <v>1055</v>
      </c>
      <c r="D156" s="507"/>
    </row>
    <row r="157" spans="1:4" x14ac:dyDescent="0.3">
      <c r="A157" s="550">
        <v>156</v>
      </c>
      <c r="B157" s="493" t="s">
        <v>1056</v>
      </c>
      <c r="D157" s="507"/>
    </row>
    <row r="158" spans="1:4" ht="26.4" x14ac:dyDescent="0.3">
      <c r="A158" s="550">
        <v>157</v>
      </c>
      <c r="B158" s="499" t="s">
        <v>1057</v>
      </c>
      <c r="D158" s="507"/>
    </row>
    <row r="159" spans="1:4" x14ac:dyDescent="0.3">
      <c r="A159" s="550">
        <v>158</v>
      </c>
      <c r="B159" s="496" t="s">
        <v>1058</v>
      </c>
      <c r="D159" s="507"/>
    </row>
    <row r="160" spans="1:4" ht="20.399999999999999" x14ac:dyDescent="0.3">
      <c r="A160" s="550">
        <v>159</v>
      </c>
      <c r="B160" s="496" t="s">
        <v>1059</v>
      </c>
      <c r="D160" s="507"/>
    </row>
    <row r="161" spans="1:4" x14ac:dyDescent="0.3">
      <c r="A161" s="550">
        <v>160</v>
      </c>
      <c r="B161" s="499" t="s">
        <v>1060</v>
      </c>
      <c r="D161" s="507"/>
    </row>
    <row r="162" spans="1:4" ht="20.399999999999999" x14ac:dyDescent="0.3">
      <c r="A162" s="550">
        <v>161</v>
      </c>
      <c r="B162" s="496" t="s">
        <v>1061</v>
      </c>
      <c r="D162" s="507"/>
    </row>
    <row r="163" spans="1:4" ht="30.6" x14ac:dyDescent="0.3">
      <c r="A163" s="550">
        <v>162</v>
      </c>
      <c r="B163" s="496" t="s">
        <v>1062</v>
      </c>
      <c r="D163" s="507"/>
    </row>
    <row r="164" spans="1:4" ht="20.399999999999999" x14ac:dyDescent="0.3">
      <c r="A164" s="550">
        <v>163</v>
      </c>
      <c r="B164" s="496" t="s">
        <v>1063</v>
      </c>
      <c r="D164" s="507"/>
    </row>
    <row r="165" spans="1:4" x14ac:dyDescent="0.3">
      <c r="A165" s="550">
        <v>164</v>
      </c>
      <c r="B165" s="496" t="s">
        <v>1064</v>
      </c>
      <c r="D165" s="507"/>
    </row>
    <row r="166" spans="1:4" ht="26.4" x14ac:dyDescent="0.3">
      <c r="A166" s="550">
        <v>165</v>
      </c>
      <c r="B166" s="493" t="s">
        <v>1065</v>
      </c>
      <c r="D166" s="507"/>
    </row>
    <row r="167" spans="1:4" x14ac:dyDescent="0.3">
      <c r="A167" s="550">
        <v>166</v>
      </c>
      <c r="B167" s="493" t="s">
        <v>1066</v>
      </c>
      <c r="D167" s="507"/>
    </row>
    <row r="168" spans="1:4" ht="26.4" x14ac:dyDescent="0.3">
      <c r="A168" s="550">
        <v>167</v>
      </c>
      <c r="B168" s="493" t="s">
        <v>1067</v>
      </c>
      <c r="D168" s="507"/>
    </row>
    <row r="169" spans="1:4" x14ac:dyDescent="0.3">
      <c r="A169" s="550">
        <v>168</v>
      </c>
      <c r="B169" s="499" t="s">
        <v>1068</v>
      </c>
      <c r="D169" s="507"/>
    </row>
    <row r="170" spans="1:4" ht="20.399999999999999" x14ac:dyDescent="0.3">
      <c r="A170" s="550">
        <v>169</v>
      </c>
      <c r="B170" s="496" t="s">
        <v>1069</v>
      </c>
      <c r="D170" s="507"/>
    </row>
    <row r="171" spans="1:4" ht="20.399999999999999" x14ac:dyDescent="0.3">
      <c r="A171" s="550">
        <v>170</v>
      </c>
      <c r="B171" s="496" t="s">
        <v>1070</v>
      </c>
      <c r="D171" s="507"/>
    </row>
    <row r="172" spans="1:4" ht="20.399999999999999" x14ac:dyDescent="0.3">
      <c r="A172" s="550">
        <v>171</v>
      </c>
      <c r="B172" s="496" t="s">
        <v>1071</v>
      </c>
      <c r="D172" s="507"/>
    </row>
    <row r="173" spans="1:4" x14ac:dyDescent="0.3">
      <c r="A173" s="550">
        <v>172</v>
      </c>
      <c r="B173" s="493" t="s">
        <v>1072</v>
      </c>
      <c r="D173" s="507"/>
    </row>
    <row r="174" spans="1:4" ht="26.4" x14ac:dyDescent="0.3">
      <c r="A174" s="550">
        <v>173</v>
      </c>
      <c r="B174" s="493" t="s">
        <v>1073</v>
      </c>
      <c r="D174" s="507"/>
    </row>
    <row r="175" spans="1:4" ht="26.4" x14ac:dyDescent="0.3">
      <c r="A175" s="550">
        <v>174</v>
      </c>
      <c r="B175" s="493" t="s">
        <v>1074</v>
      </c>
      <c r="D175" s="507"/>
    </row>
    <row r="176" spans="1:4" ht="26.4" x14ac:dyDescent="0.3">
      <c r="A176" s="550">
        <v>175</v>
      </c>
      <c r="B176" s="499" t="s">
        <v>1075</v>
      </c>
      <c r="D176" s="507"/>
    </row>
    <row r="177" spans="1:4" x14ac:dyDescent="0.3">
      <c r="A177" s="550">
        <v>176</v>
      </c>
      <c r="B177" s="496" t="s">
        <v>1076</v>
      </c>
      <c r="D177" s="507"/>
    </row>
    <row r="178" spans="1:4" x14ac:dyDescent="0.3">
      <c r="A178" s="550">
        <v>177</v>
      </c>
      <c r="B178" s="16" t="s">
        <v>1077</v>
      </c>
      <c r="D178" s="507"/>
    </row>
    <row r="179" spans="1:4" x14ac:dyDescent="0.3">
      <c r="A179" s="550">
        <v>178</v>
      </c>
      <c r="B179" s="79" t="s">
        <v>1078</v>
      </c>
      <c r="D179" s="507"/>
    </row>
    <row r="180" spans="1:4" x14ac:dyDescent="0.3">
      <c r="A180" s="550">
        <v>179</v>
      </c>
      <c r="B180" s="499" t="s">
        <v>1079</v>
      </c>
      <c r="D180" s="507"/>
    </row>
    <row r="181" spans="1:4" ht="30.6" x14ac:dyDescent="0.3">
      <c r="A181" s="550">
        <v>180</v>
      </c>
      <c r="B181" s="496" t="s">
        <v>1080</v>
      </c>
      <c r="D181" s="507"/>
    </row>
    <row r="182" spans="1:4" ht="15.6" x14ac:dyDescent="0.3">
      <c r="A182" s="550">
        <v>181</v>
      </c>
      <c r="B182" s="497" t="s">
        <v>1081</v>
      </c>
      <c r="D182" s="507"/>
    </row>
    <row r="183" spans="1:4" x14ac:dyDescent="0.3">
      <c r="A183" s="550">
        <v>182</v>
      </c>
      <c r="B183" s="505" t="s">
        <v>1082</v>
      </c>
      <c r="D183" s="507"/>
    </row>
    <row r="184" spans="1:4" ht="26.4" x14ac:dyDescent="0.3">
      <c r="A184" s="550">
        <v>183</v>
      </c>
      <c r="B184" s="499" t="s">
        <v>1083</v>
      </c>
      <c r="D184" s="507"/>
    </row>
    <row r="185" spans="1:4" ht="30.6" x14ac:dyDescent="0.3">
      <c r="A185" s="550">
        <v>184</v>
      </c>
      <c r="B185" s="496" t="s">
        <v>1084</v>
      </c>
      <c r="D185" s="507"/>
    </row>
    <row r="186" spans="1:4" x14ac:dyDescent="0.3">
      <c r="A186" s="550">
        <v>185</v>
      </c>
      <c r="B186" s="496" t="s">
        <v>1085</v>
      </c>
      <c r="D186" s="507"/>
    </row>
    <row r="187" spans="1:4" ht="26.4" x14ac:dyDescent="0.3">
      <c r="A187" s="550">
        <v>186</v>
      </c>
      <c r="B187" s="499" t="s">
        <v>1086</v>
      </c>
      <c r="D187" s="507"/>
    </row>
    <row r="188" spans="1:4" ht="26.4" x14ac:dyDescent="0.3">
      <c r="A188" s="550">
        <v>187</v>
      </c>
      <c r="B188" s="499" t="s">
        <v>1087</v>
      </c>
      <c r="D188" s="507"/>
    </row>
    <row r="189" spans="1:4" x14ac:dyDescent="0.3">
      <c r="A189" s="550">
        <v>188</v>
      </c>
      <c r="B189" s="496" t="s">
        <v>1088</v>
      </c>
      <c r="D189" s="507"/>
    </row>
    <row r="190" spans="1:4" ht="30.6" x14ac:dyDescent="0.3">
      <c r="A190" s="550">
        <v>189</v>
      </c>
      <c r="B190" s="496" t="s">
        <v>1089</v>
      </c>
      <c r="D190" s="507"/>
    </row>
    <row r="191" spans="1:4" x14ac:dyDescent="0.3">
      <c r="A191" s="550">
        <v>190</v>
      </c>
      <c r="B191" s="499" t="s">
        <v>1090</v>
      </c>
      <c r="D191" s="507"/>
    </row>
    <row r="192" spans="1:4" x14ac:dyDescent="0.3">
      <c r="A192" s="550">
        <v>191</v>
      </c>
      <c r="B192" s="499" t="s">
        <v>256</v>
      </c>
      <c r="D192" s="507"/>
    </row>
    <row r="193" spans="1:4" ht="39.6" x14ac:dyDescent="0.3">
      <c r="A193" s="550">
        <v>192</v>
      </c>
      <c r="B193" s="494" t="s">
        <v>1091</v>
      </c>
      <c r="D193" s="507"/>
    </row>
    <row r="194" spans="1:4" x14ac:dyDescent="0.3">
      <c r="A194" s="550">
        <v>193</v>
      </c>
      <c r="B194" s="521" t="s">
        <v>1092</v>
      </c>
      <c r="D194" s="507"/>
    </row>
    <row r="195" spans="1:4" ht="52.8" x14ac:dyDescent="0.3">
      <c r="A195" s="550">
        <v>194</v>
      </c>
      <c r="B195" s="494" t="s">
        <v>1093</v>
      </c>
      <c r="D195" s="507"/>
    </row>
    <row r="196" spans="1:4" ht="26.4" x14ac:dyDescent="0.3">
      <c r="A196" s="550">
        <v>195</v>
      </c>
      <c r="B196" s="494" t="s">
        <v>1094</v>
      </c>
      <c r="D196" s="507"/>
    </row>
    <row r="197" spans="1:4" ht="52.8" x14ac:dyDescent="0.3">
      <c r="A197" s="550">
        <v>196</v>
      </c>
      <c r="B197" s="494" t="s">
        <v>1095</v>
      </c>
      <c r="D197" s="507"/>
    </row>
    <row r="198" spans="1:4" x14ac:dyDescent="0.3">
      <c r="A198" s="550">
        <v>197</v>
      </c>
      <c r="B198" s="499" t="s">
        <v>1096</v>
      </c>
      <c r="D198" s="507"/>
    </row>
    <row r="199" spans="1:4" ht="66" x14ac:dyDescent="0.3">
      <c r="A199" s="550">
        <v>198</v>
      </c>
      <c r="B199" s="494" t="s">
        <v>1097</v>
      </c>
      <c r="D199" s="507"/>
    </row>
    <row r="200" spans="1:4" x14ac:dyDescent="0.3">
      <c r="A200" s="550">
        <v>199</v>
      </c>
      <c r="B200" s="499" t="s">
        <v>1098</v>
      </c>
      <c r="D200" s="507"/>
    </row>
    <row r="201" spans="1:4" ht="79.2" x14ac:dyDescent="0.3">
      <c r="A201" s="550">
        <v>200</v>
      </c>
      <c r="B201" s="494" t="s">
        <v>1099</v>
      </c>
      <c r="D201" s="507"/>
    </row>
    <row r="202" spans="1:4" ht="26.4" x14ac:dyDescent="0.3">
      <c r="A202" s="550">
        <v>201</v>
      </c>
      <c r="B202" s="494" t="s">
        <v>1100</v>
      </c>
      <c r="D202" s="507"/>
    </row>
    <row r="203" spans="1:4" x14ac:dyDescent="0.3">
      <c r="A203" s="550">
        <v>202</v>
      </c>
      <c r="B203" s="505" t="s">
        <v>1101</v>
      </c>
      <c r="D203" s="507"/>
    </row>
    <row r="204" spans="1:4" x14ac:dyDescent="0.3">
      <c r="A204" s="550">
        <v>203</v>
      </c>
      <c r="B204" s="499" t="s">
        <v>1102</v>
      </c>
      <c r="D204" s="507"/>
    </row>
    <row r="205" spans="1:4" x14ac:dyDescent="0.3">
      <c r="A205" s="550">
        <v>204</v>
      </c>
      <c r="B205" s="496" t="s">
        <v>1103</v>
      </c>
      <c r="D205" s="507"/>
    </row>
    <row r="206" spans="1:4" x14ac:dyDescent="0.3">
      <c r="A206" s="550">
        <v>205</v>
      </c>
      <c r="B206" s="499" t="s">
        <v>1104</v>
      </c>
      <c r="D206" s="507"/>
    </row>
    <row r="207" spans="1:4" ht="30.6" x14ac:dyDescent="0.3">
      <c r="A207" s="550">
        <v>206</v>
      </c>
      <c r="B207" s="496" t="s">
        <v>1105</v>
      </c>
      <c r="D207" s="507"/>
    </row>
    <row r="208" spans="1:4" ht="20.399999999999999" x14ac:dyDescent="0.3">
      <c r="A208" s="550">
        <v>207</v>
      </c>
      <c r="B208" s="496" t="s">
        <v>1106</v>
      </c>
      <c r="D208" s="507"/>
    </row>
    <row r="209" spans="1:4" x14ac:dyDescent="0.3">
      <c r="A209" s="550">
        <v>208</v>
      </c>
      <c r="B209" s="502" t="s">
        <v>1107</v>
      </c>
      <c r="D209" s="507"/>
    </row>
    <row r="210" spans="1:4" x14ac:dyDescent="0.3">
      <c r="A210" s="550">
        <v>209</v>
      </c>
      <c r="B210" s="523" t="s">
        <v>1108</v>
      </c>
      <c r="D210" s="507"/>
    </row>
    <row r="211" spans="1:4" x14ac:dyDescent="0.3">
      <c r="A211" s="550">
        <v>210</v>
      </c>
      <c r="B211" s="1112" t="s">
        <v>1109</v>
      </c>
      <c r="D211" s="507"/>
    </row>
    <row r="212" spans="1:4" ht="15.6" x14ac:dyDescent="0.3">
      <c r="A212" s="550">
        <v>211</v>
      </c>
      <c r="B212" s="497" t="s">
        <v>1110</v>
      </c>
      <c r="D212" s="507"/>
    </row>
    <row r="213" spans="1:4" x14ac:dyDescent="0.3">
      <c r="A213" s="550">
        <v>212</v>
      </c>
      <c r="B213" s="505" t="s">
        <v>1111</v>
      </c>
      <c r="D213" s="507"/>
    </row>
    <row r="214" spans="1:4" ht="26.4" x14ac:dyDescent="0.3">
      <c r="A214" s="550">
        <v>213</v>
      </c>
      <c r="B214" s="499" t="s">
        <v>1112</v>
      </c>
      <c r="D214" s="507"/>
    </row>
    <row r="215" spans="1:4" ht="20.399999999999999" x14ac:dyDescent="0.3">
      <c r="A215" s="550">
        <v>214</v>
      </c>
      <c r="B215" s="496" t="s">
        <v>1113</v>
      </c>
      <c r="D215" s="507"/>
    </row>
    <row r="216" spans="1:4" ht="20.399999999999999" x14ac:dyDescent="0.3">
      <c r="A216" s="550">
        <v>215</v>
      </c>
      <c r="B216" s="496" t="s">
        <v>1114</v>
      </c>
      <c r="D216" s="507"/>
    </row>
    <row r="217" spans="1:4" ht="20.399999999999999" x14ac:dyDescent="0.3">
      <c r="A217" s="550">
        <v>216</v>
      </c>
      <c r="B217" s="496" t="s">
        <v>1115</v>
      </c>
      <c r="D217" s="507"/>
    </row>
    <row r="218" spans="1:4" ht="40.799999999999997" x14ac:dyDescent="0.3">
      <c r="A218" s="550">
        <v>217</v>
      </c>
      <c r="B218" s="496" t="s">
        <v>1116</v>
      </c>
      <c r="D218" s="507"/>
    </row>
    <row r="219" spans="1:4" ht="26.4" x14ac:dyDescent="0.3">
      <c r="A219" s="550">
        <v>218</v>
      </c>
      <c r="B219" s="494" t="s">
        <v>1117</v>
      </c>
      <c r="D219" s="507"/>
    </row>
    <row r="220" spans="1:4" x14ac:dyDescent="0.3">
      <c r="A220" s="550">
        <v>219</v>
      </c>
      <c r="B220" s="555" t="s">
        <v>1118</v>
      </c>
      <c r="D220" s="507"/>
    </row>
    <row r="221" spans="1:4" x14ac:dyDescent="0.3">
      <c r="A221" s="550">
        <v>220</v>
      </c>
      <c r="B221" s="500" t="s">
        <v>1119</v>
      </c>
      <c r="D221" s="507"/>
    </row>
    <row r="222" spans="1:4" x14ac:dyDescent="0.3">
      <c r="A222" s="550">
        <v>221</v>
      </c>
      <c r="B222" s="556" t="s">
        <v>1120</v>
      </c>
      <c r="D222" s="507"/>
    </row>
    <row r="223" spans="1:4" x14ac:dyDescent="0.3">
      <c r="A223" s="550">
        <v>222</v>
      </c>
      <c r="B223" s="500" t="s">
        <v>305</v>
      </c>
      <c r="D223" s="507"/>
    </row>
    <row r="224" spans="1:4" x14ac:dyDescent="0.3">
      <c r="A224" s="550">
        <v>223</v>
      </c>
      <c r="B224" s="505" t="s">
        <v>1121</v>
      </c>
      <c r="D224" s="507"/>
    </row>
    <row r="225" spans="1:4" ht="26.4" x14ac:dyDescent="0.3">
      <c r="A225" s="550">
        <v>224</v>
      </c>
      <c r="B225" s="499" t="s">
        <v>1122</v>
      </c>
      <c r="D225" s="507"/>
    </row>
    <row r="226" spans="1:4" ht="20.399999999999999" x14ac:dyDescent="0.3">
      <c r="A226" s="550">
        <v>225</v>
      </c>
      <c r="B226" s="496" t="s">
        <v>1123</v>
      </c>
      <c r="D226" s="507"/>
    </row>
    <row r="227" spans="1:4" ht="20.399999999999999" x14ac:dyDescent="0.3">
      <c r="A227" s="550">
        <v>226</v>
      </c>
      <c r="B227" s="496" t="s">
        <v>1124</v>
      </c>
      <c r="D227" s="507"/>
    </row>
    <row r="228" spans="1:4" ht="20.399999999999999" x14ac:dyDescent="0.3">
      <c r="A228" s="550">
        <v>227</v>
      </c>
      <c r="B228" s="495" t="s">
        <v>1125</v>
      </c>
      <c r="D228" s="507"/>
    </row>
    <row r="229" spans="1:4" ht="20.399999999999999" x14ac:dyDescent="0.3">
      <c r="A229" s="550">
        <v>228</v>
      </c>
      <c r="B229" s="496" t="s">
        <v>1126</v>
      </c>
      <c r="D229" s="507"/>
    </row>
    <row r="230" spans="1:4" ht="20.399999999999999" x14ac:dyDescent="0.3">
      <c r="A230" s="550">
        <v>229</v>
      </c>
      <c r="B230" s="496" t="s">
        <v>1127</v>
      </c>
      <c r="D230" s="507"/>
    </row>
    <row r="231" spans="1:4" x14ac:dyDescent="0.3">
      <c r="A231" s="550">
        <v>230</v>
      </c>
      <c r="B231" s="500" t="s">
        <v>300</v>
      </c>
      <c r="D231" s="507"/>
    </row>
    <row r="232" spans="1:4" x14ac:dyDescent="0.3">
      <c r="A232" s="550">
        <v>231</v>
      </c>
      <c r="B232" s="568" t="s">
        <v>1128</v>
      </c>
      <c r="D232" s="507"/>
    </row>
    <row r="233" spans="1:4" ht="15.6" x14ac:dyDescent="0.3">
      <c r="A233" s="550">
        <v>232</v>
      </c>
      <c r="B233" s="497" t="s">
        <v>1129</v>
      </c>
      <c r="D233" s="507"/>
    </row>
    <row r="234" spans="1:4" ht="26.4" x14ac:dyDescent="0.3">
      <c r="A234" s="550">
        <v>233</v>
      </c>
      <c r="B234" s="499" t="s">
        <v>1130</v>
      </c>
      <c r="D234" s="507"/>
    </row>
    <row r="235" spans="1:4" ht="20.399999999999999" x14ac:dyDescent="0.3">
      <c r="A235" s="550">
        <v>234</v>
      </c>
      <c r="B235" s="496" t="s">
        <v>1131</v>
      </c>
      <c r="D235" s="507"/>
    </row>
    <row r="236" spans="1:4" ht="20.399999999999999" x14ac:dyDescent="0.3">
      <c r="A236" s="550">
        <v>235</v>
      </c>
      <c r="B236" s="496" t="s">
        <v>1132</v>
      </c>
      <c r="D236" s="507"/>
    </row>
    <row r="237" spans="1:4" ht="20.399999999999999" x14ac:dyDescent="0.3">
      <c r="A237" s="550">
        <v>236</v>
      </c>
      <c r="B237" s="496" t="s">
        <v>1133</v>
      </c>
      <c r="D237" s="507"/>
    </row>
    <row r="238" spans="1:4" ht="20.399999999999999" x14ac:dyDescent="0.3">
      <c r="A238" s="550">
        <v>237</v>
      </c>
      <c r="B238" s="496" t="s">
        <v>1134</v>
      </c>
      <c r="D238" s="507"/>
    </row>
    <row r="239" spans="1:4" x14ac:dyDescent="0.3">
      <c r="A239" s="550">
        <v>238</v>
      </c>
      <c r="B239" s="496" t="s">
        <v>1135</v>
      </c>
      <c r="D239" s="507"/>
    </row>
    <row r="240" spans="1:4" x14ac:dyDescent="0.3">
      <c r="A240" s="550">
        <v>239</v>
      </c>
      <c r="B240" s="496" t="s">
        <v>1136</v>
      </c>
      <c r="D240" s="507"/>
    </row>
    <row r="241" spans="1:4" x14ac:dyDescent="0.3">
      <c r="A241" s="550">
        <v>240</v>
      </c>
      <c r="B241" s="496" t="s">
        <v>1137</v>
      </c>
      <c r="D241" s="507"/>
    </row>
    <row r="242" spans="1:4" x14ac:dyDescent="0.3">
      <c r="A242" s="550">
        <v>241</v>
      </c>
      <c r="B242" s="496" t="s">
        <v>1138</v>
      </c>
      <c r="D242" s="507"/>
    </row>
    <row r="243" spans="1:4" x14ac:dyDescent="0.3">
      <c r="A243" s="550">
        <v>242</v>
      </c>
      <c r="B243" s="496" t="s">
        <v>1139</v>
      </c>
      <c r="D243" s="507"/>
    </row>
    <row r="244" spans="1:4" x14ac:dyDescent="0.3">
      <c r="A244" s="550">
        <v>243</v>
      </c>
      <c r="B244" s="495" t="s">
        <v>1140</v>
      </c>
      <c r="D244" s="507"/>
    </row>
    <row r="245" spans="1:4" x14ac:dyDescent="0.3">
      <c r="A245" s="550">
        <v>244</v>
      </c>
      <c r="B245" s="496" t="s">
        <v>1141</v>
      </c>
      <c r="D245" s="507"/>
    </row>
    <row r="246" spans="1:4" ht="20.399999999999999" x14ac:dyDescent="0.3">
      <c r="A246" s="550">
        <v>245</v>
      </c>
      <c r="B246" s="496" t="s">
        <v>1142</v>
      </c>
      <c r="D246" s="507"/>
    </row>
    <row r="247" spans="1:4" x14ac:dyDescent="0.3">
      <c r="A247" s="550">
        <v>246</v>
      </c>
      <c r="B247" s="496" t="s">
        <v>1143</v>
      </c>
      <c r="D247" s="507"/>
    </row>
    <row r="248" spans="1:4" x14ac:dyDescent="0.3">
      <c r="A248" s="550">
        <v>247</v>
      </c>
      <c r="B248" s="496" t="s">
        <v>1144</v>
      </c>
      <c r="D248" s="507"/>
    </row>
    <row r="249" spans="1:4" x14ac:dyDescent="0.3">
      <c r="A249" s="550">
        <v>248</v>
      </c>
      <c r="B249" s="496" t="s">
        <v>1145</v>
      </c>
      <c r="D249" s="507"/>
    </row>
    <row r="250" spans="1:4" x14ac:dyDescent="0.3">
      <c r="A250" s="550">
        <v>249</v>
      </c>
      <c r="B250" s="496" t="s">
        <v>1146</v>
      </c>
      <c r="D250" s="507"/>
    </row>
    <row r="251" spans="1:4" x14ac:dyDescent="0.3">
      <c r="A251" s="550">
        <v>250</v>
      </c>
      <c r="B251" s="496" t="s">
        <v>1147</v>
      </c>
      <c r="D251" s="507"/>
    </row>
    <row r="252" spans="1:4" x14ac:dyDescent="0.3">
      <c r="A252" s="550">
        <v>251</v>
      </c>
      <c r="B252" s="496" t="s">
        <v>1148</v>
      </c>
      <c r="D252" s="507"/>
    </row>
    <row r="253" spans="1:4" x14ac:dyDescent="0.3">
      <c r="A253" s="550">
        <v>252</v>
      </c>
      <c r="B253" s="496" t="s">
        <v>1149</v>
      </c>
      <c r="D253" s="507"/>
    </row>
    <row r="254" spans="1:4" x14ac:dyDescent="0.3">
      <c r="A254" s="550">
        <v>253</v>
      </c>
      <c r="B254" s="496" t="s">
        <v>1150</v>
      </c>
      <c r="D254" s="507"/>
    </row>
    <row r="255" spans="1:4" x14ac:dyDescent="0.3">
      <c r="A255" s="550">
        <v>254</v>
      </c>
      <c r="B255" s="496" t="s">
        <v>1151</v>
      </c>
      <c r="D255" s="507"/>
    </row>
    <row r="256" spans="1:4" x14ac:dyDescent="0.3">
      <c r="A256" s="550">
        <v>255</v>
      </c>
      <c r="B256" s="500" t="s">
        <v>1152</v>
      </c>
      <c r="D256" s="507"/>
    </row>
    <row r="257" spans="1:4" x14ac:dyDescent="0.3">
      <c r="A257" s="550">
        <v>256</v>
      </c>
      <c r="B257" s="500" t="s">
        <v>315</v>
      </c>
      <c r="D257" s="507"/>
    </row>
    <row r="258" spans="1:4" x14ac:dyDescent="0.3">
      <c r="A258" s="550">
        <v>257</v>
      </c>
      <c r="B258" s="500" t="s">
        <v>1153</v>
      </c>
      <c r="D258" s="507"/>
    </row>
    <row r="259" spans="1:4" x14ac:dyDescent="0.3">
      <c r="A259" s="550">
        <v>258</v>
      </c>
      <c r="B259" s="500" t="s">
        <v>1154</v>
      </c>
      <c r="D259" s="507"/>
    </row>
    <row r="260" spans="1:4" ht="26.4" x14ac:dyDescent="0.3">
      <c r="A260" s="550">
        <v>259</v>
      </c>
      <c r="B260" s="499" t="s">
        <v>1155</v>
      </c>
      <c r="D260" s="507"/>
    </row>
    <row r="261" spans="1:4" ht="30.6" x14ac:dyDescent="0.3">
      <c r="A261" s="550">
        <v>260</v>
      </c>
      <c r="B261" s="496" t="s">
        <v>1156</v>
      </c>
      <c r="D261" s="507"/>
    </row>
    <row r="262" spans="1:4" ht="20.399999999999999" x14ac:dyDescent="0.3">
      <c r="A262" s="550">
        <v>261</v>
      </c>
      <c r="B262" s="496" t="s">
        <v>1157</v>
      </c>
      <c r="D262" s="507"/>
    </row>
    <row r="263" spans="1:4" x14ac:dyDescent="0.3">
      <c r="A263" s="550">
        <v>262</v>
      </c>
      <c r="B263" s="500" t="s">
        <v>1158</v>
      </c>
      <c r="D263" s="507"/>
    </row>
    <row r="264" spans="1:4" x14ac:dyDescent="0.3">
      <c r="A264" s="550">
        <v>263</v>
      </c>
      <c r="B264" s="500" t="s">
        <v>1159</v>
      </c>
      <c r="D264" s="507"/>
    </row>
    <row r="265" spans="1:4" x14ac:dyDescent="0.3">
      <c r="A265" s="550">
        <v>264</v>
      </c>
      <c r="B265" s="557" t="s">
        <v>1160</v>
      </c>
      <c r="D265" s="507"/>
    </row>
    <row r="266" spans="1:4" ht="15" thickBot="1" x14ac:dyDescent="0.35">
      <c r="A266" s="550">
        <v>265</v>
      </c>
      <c r="B266" s="500" t="s">
        <v>1161</v>
      </c>
      <c r="D266" s="507"/>
    </row>
    <row r="267" spans="1:4" x14ac:dyDescent="0.3">
      <c r="A267" s="550">
        <v>266</v>
      </c>
      <c r="B267" s="527" t="s">
        <v>1162</v>
      </c>
      <c r="D267" s="507"/>
    </row>
    <row r="268" spans="1:4" x14ac:dyDescent="0.3">
      <c r="A268" s="550">
        <v>267</v>
      </c>
      <c r="B268" s="1" t="s">
        <v>1163</v>
      </c>
      <c r="D268" s="507"/>
    </row>
    <row r="269" spans="1:4" x14ac:dyDescent="0.3">
      <c r="A269" s="550">
        <v>268</v>
      </c>
      <c r="B269" s="1" t="s">
        <v>1164</v>
      </c>
      <c r="D269" s="507"/>
    </row>
    <row r="270" spans="1:4" x14ac:dyDescent="0.3">
      <c r="A270" s="550">
        <v>269</v>
      </c>
      <c r="B270" s="1" t="s">
        <v>1165</v>
      </c>
      <c r="D270" s="507"/>
    </row>
    <row r="271" spans="1:4" x14ac:dyDescent="0.3">
      <c r="A271" s="550">
        <v>270</v>
      </c>
      <c r="B271" s="1" t="s">
        <v>1166</v>
      </c>
      <c r="D271" s="507"/>
    </row>
    <row r="272" spans="1:4" ht="17.399999999999999" x14ac:dyDescent="0.3">
      <c r="A272" s="550">
        <v>271</v>
      </c>
      <c r="B272" s="498" t="s">
        <v>1167</v>
      </c>
      <c r="D272" s="507"/>
    </row>
    <row r="273" spans="1:4" ht="15.6" x14ac:dyDescent="0.3">
      <c r="A273" s="550">
        <v>272</v>
      </c>
      <c r="B273" s="497" t="s">
        <v>1168</v>
      </c>
      <c r="D273" s="507"/>
    </row>
    <row r="274" spans="1:4" ht="26.4" x14ac:dyDescent="0.3">
      <c r="A274" s="550">
        <v>273</v>
      </c>
      <c r="B274" s="499" t="s">
        <v>1169</v>
      </c>
      <c r="D274" s="507"/>
    </row>
    <row r="275" spans="1:4" x14ac:dyDescent="0.3">
      <c r="A275" s="550">
        <v>274</v>
      </c>
      <c r="B275" s="496" t="s">
        <v>1170</v>
      </c>
      <c r="D275" s="507"/>
    </row>
    <row r="276" spans="1:4" ht="15.6" x14ac:dyDescent="0.3">
      <c r="A276" s="550">
        <v>275</v>
      </c>
      <c r="B276" s="497" t="s">
        <v>1171</v>
      </c>
      <c r="D276" s="507"/>
    </row>
    <row r="277" spans="1:4" ht="20.399999999999999" x14ac:dyDescent="0.3">
      <c r="A277" s="550">
        <v>276</v>
      </c>
      <c r="B277" s="496" t="s">
        <v>1172</v>
      </c>
      <c r="D277" s="507"/>
    </row>
    <row r="278" spans="1:4" ht="20.399999999999999" x14ac:dyDescent="0.3">
      <c r="A278" s="550">
        <v>277</v>
      </c>
      <c r="B278" s="496" t="s">
        <v>1173</v>
      </c>
      <c r="D278" s="507"/>
    </row>
    <row r="279" spans="1:4" ht="20.399999999999999" x14ac:dyDescent="0.3">
      <c r="A279" s="550">
        <v>278</v>
      </c>
      <c r="B279" s="496" t="s">
        <v>1174</v>
      </c>
      <c r="D279" s="507"/>
    </row>
    <row r="280" spans="1:4" ht="20.399999999999999" x14ac:dyDescent="0.3">
      <c r="A280" s="550">
        <v>279</v>
      </c>
      <c r="B280" s="495" t="s">
        <v>1175</v>
      </c>
      <c r="D280" s="507"/>
    </row>
    <row r="281" spans="1:4" ht="25.2" thickBot="1" x14ac:dyDescent="0.35">
      <c r="A281" s="550">
        <v>280</v>
      </c>
      <c r="B281" s="558" t="s">
        <v>1176</v>
      </c>
      <c r="D281" s="507"/>
    </row>
    <row r="282" spans="1:4" ht="15" thickBot="1" x14ac:dyDescent="0.35">
      <c r="A282" s="550">
        <v>281</v>
      </c>
      <c r="B282" s="559" t="s">
        <v>1177</v>
      </c>
      <c r="D282" s="507"/>
    </row>
    <row r="283" spans="1:4" ht="15" thickBot="1" x14ac:dyDescent="0.35">
      <c r="A283" s="550">
        <v>282</v>
      </c>
      <c r="B283" s="559" t="s">
        <v>1178</v>
      </c>
      <c r="D283" s="507"/>
    </row>
    <row r="284" spans="1:4" ht="15" thickBot="1" x14ac:dyDescent="0.35">
      <c r="A284" s="550">
        <v>283</v>
      </c>
      <c r="B284" s="560" t="s">
        <v>1179</v>
      </c>
      <c r="D284" s="507"/>
    </row>
    <row r="285" spans="1:4" ht="15" thickBot="1" x14ac:dyDescent="0.35">
      <c r="A285" s="550">
        <v>284</v>
      </c>
      <c r="B285" s="560" t="s">
        <v>1180</v>
      </c>
      <c r="D285" s="507"/>
    </row>
    <row r="286" spans="1:4" ht="15" thickBot="1" x14ac:dyDescent="0.35">
      <c r="A286" s="550">
        <v>285</v>
      </c>
      <c r="B286" s="560" t="s">
        <v>1181</v>
      </c>
      <c r="D286" s="507"/>
    </row>
    <row r="287" spans="1:4" ht="15" thickBot="1" x14ac:dyDescent="0.35">
      <c r="A287" s="550">
        <v>286</v>
      </c>
      <c r="B287" s="560" t="s">
        <v>1182</v>
      </c>
      <c r="D287" s="507"/>
    </row>
    <row r="288" spans="1:4" ht="15" thickBot="1" x14ac:dyDescent="0.35">
      <c r="A288" s="550">
        <v>287</v>
      </c>
      <c r="B288" s="560" t="s">
        <v>1183</v>
      </c>
      <c r="D288" s="507"/>
    </row>
    <row r="289" spans="1:4" ht="15" thickBot="1" x14ac:dyDescent="0.35">
      <c r="A289" s="550">
        <v>288</v>
      </c>
      <c r="B289" s="560" t="s">
        <v>1184</v>
      </c>
      <c r="D289" s="507"/>
    </row>
    <row r="290" spans="1:4" ht="15" thickBot="1" x14ac:dyDescent="0.35">
      <c r="A290" s="550">
        <v>289</v>
      </c>
      <c r="B290" s="560" t="s">
        <v>1185</v>
      </c>
      <c r="D290" s="507"/>
    </row>
    <row r="291" spans="1:4" ht="15" thickBot="1" x14ac:dyDescent="0.35">
      <c r="A291" s="550">
        <v>290</v>
      </c>
      <c r="B291" s="560" t="s">
        <v>1186</v>
      </c>
      <c r="D291" s="507"/>
    </row>
    <row r="292" spans="1:4" ht="15" thickBot="1" x14ac:dyDescent="0.35">
      <c r="A292" s="550">
        <v>291</v>
      </c>
      <c r="B292" s="560" t="s">
        <v>1187</v>
      </c>
      <c r="D292" s="507"/>
    </row>
    <row r="293" spans="1:4" ht="15" thickBot="1" x14ac:dyDescent="0.35">
      <c r="A293" s="550">
        <v>292</v>
      </c>
      <c r="B293" s="560" t="s">
        <v>1188</v>
      </c>
      <c r="D293" s="507"/>
    </row>
    <row r="294" spans="1:4" ht="15" thickBot="1" x14ac:dyDescent="0.35">
      <c r="A294" s="550">
        <v>293</v>
      </c>
      <c r="B294" s="560" t="s">
        <v>1189</v>
      </c>
      <c r="D294" s="507"/>
    </row>
    <row r="295" spans="1:4" ht="15" thickBot="1" x14ac:dyDescent="0.35">
      <c r="A295" s="550">
        <v>294</v>
      </c>
      <c r="B295" s="560" t="s">
        <v>1190</v>
      </c>
      <c r="D295" s="507"/>
    </row>
    <row r="296" spans="1:4" ht="15" thickBot="1" x14ac:dyDescent="0.35">
      <c r="A296" s="550">
        <v>295</v>
      </c>
      <c r="B296" s="560" t="s">
        <v>1191</v>
      </c>
      <c r="D296" s="507"/>
    </row>
    <row r="297" spans="1:4" ht="15" thickBot="1" x14ac:dyDescent="0.35">
      <c r="A297" s="550">
        <v>296</v>
      </c>
      <c r="B297" s="560" t="s">
        <v>1192</v>
      </c>
      <c r="D297" s="507"/>
    </row>
    <row r="298" spans="1:4" ht="15" thickBot="1" x14ac:dyDescent="0.35">
      <c r="A298" s="550">
        <v>297</v>
      </c>
      <c r="B298" s="560" t="s">
        <v>1193</v>
      </c>
      <c r="D298" s="507"/>
    </row>
    <row r="299" spans="1:4" ht="15" thickBot="1" x14ac:dyDescent="0.35">
      <c r="A299" s="550">
        <v>298</v>
      </c>
      <c r="B299" s="560" t="s">
        <v>1194</v>
      </c>
      <c r="D299" s="507"/>
    </row>
    <row r="300" spans="1:4" ht="15" thickBot="1" x14ac:dyDescent="0.35">
      <c r="A300" s="550">
        <v>299</v>
      </c>
      <c r="B300" s="560" t="s">
        <v>1195</v>
      </c>
      <c r="D300" s="507"/>
    </row>
    <row r="301" spans="1:4" ht="15" thickBot="1" x14ac:dyDescent="0.35">
      <c r="A301" s="550">
        <v>300</v>
      </c>
      <c r="B301" s="560" t="s">
        <v>1196</v>
      </c>
      <c r="D301" s="507"/>
    </row>
    <row r="302" spans="1:4" ht="15" thickBot="1" x14ac:dyDescent="0.35">
      <c r="A302" s="550">
        <v>301</v>
      </c>
      <c r="B302" s="560" t="s">
        <v>1197</v>
      </c>
      <c r="D302" s="507"/>
    </row>
    <row r="303" spans="1:4" ht="15" thickBot="1" x14ac:dyDescent="0.35">
      <c r="A303" s="550">
        <v>302</v>
      </c>
      <c r="B303" s="560" t="s">
        <v>1198</v>
      </c>
      <c r="D303" s="507"/>
    </row>
    <row r="304" spans="1:4" ht="15" thickBot="1" x14ac:dyDescent="0.35">
      <c r="A304" s="550">
        <v>303</v>
      </c>
      <c r="B304" s="560" t="s">
        <v>1199</v>
      </c>
      <c r="D304" s="507"/>
    </row>
    <row r="305" spans="1:4" ht="15" thickBot="1" x14ac:dyDescent="0.35">
      <c r="A305" s="550">
        <v>304</v>
      </c>
      <c r="B305" s="560" t="s">
        <v>1200</v>
      </c>
      <c r="D305" s="507"/>
    </row>
    <row r="306" spans="1:4" ht="15" thickBot="1" x14ac:dyDescent="0.35">
      <c r="A306" s="550">
        <v>305</v>
      </c>
      <c r="B306" s="560" t="s">
        <v>1201</v>
      </c>
      <c r="D306" s="507"/>
    </row>
    <row r="307" spans="1:4" ht="15" thickBot="1" x14ac:dyDescent="0.35">
      <c r="A307" s="550">
        <v>306</v>
      </c>
      <c r="B307" s="560" t="s">
        <v>1202</v>
      </c>
      <c r="D307" s="507"/>
    </row>
    <row r="308" spans="1:4" ht="15" thickBot="1" x14ac:dyDescent="0.35">
      <c r="A308" s="550">
        <v>307</v>
      </c>
      <c r="B308" s="560" t="s">
        <v>1203</v>
      </c>
      <c r="D308" s="507"/>
    </row>
    <row r="309" spans="1:4" ht="15" thickBot="1" x14ac:dyDescent="0.35">
      <c r="A309" s="550">
        <v>308</v>
      </c>
      <c r="B309" s="560" t="s">
        <v>1204</v>
      </c>
      <c r="D309" s="507"/>
    </row>
    <row r="310" spans="1:4" ht="15" thickBot="1" x14ac:dyDescent="0.35">
      <c r="A310" s="550">
        <v>309</v>
      </c>
      <c r="B310" s="560" t="s">
        <v>1205</v>
      </c>
      <c r="D310" s="507"/>
    </row>
    <row r="311" spans="1:4" ht="15" thickBot="1" x14ac:dyDescent="0.35">
      <c r="A311" s="550">
        <v>310</v>
      </c>
      <c r="B311" s="560" t="s">
        <v>1206</v>
      </c>
      <c r="D311" s="507"/>
    </row>
    <row r="312" spans="1:4" ht="15" thickBot="1" x14ac:dyDescent="0.35">
      <c r="A312" s="550">
        <v>311</v>
      </c>
      <c r="B312" s="560" t="s">
        <v>1207</v>
      </c>
      <c r="D312" s="507"/>
    </row>
    <row r="313" spans="1:4" ht="15" thickBot="1" x14ac:dyDescent="0.35">
      <c r="A313" s="550">
        <v>312</v>
      </c>
      <c r="B313" s="560" t="s">
        <v>1208</v>
      </c>
      <c r="D313" s="507"/>
    </row>
    <row r="314" spans="1:4" ht="15" thickBot="1" x14ac:dyDescent="0.35">
      <c r="A314" s="550">
        <v>313</v>
      </c>
      <c r="B314" s="560" t="s">
        <v>1209</v>
      </c>
      <c r="D314" s="507"/>
    </row>
    <row r="315" spans="1:4" ht="15" thickBot="1" x14ac:dyDescent="0.35">
      <c r="A315" s="550">
        <v>314</v>
      </c>
      <c r="B315" s="560" t="s">
        <v>1210</v>
      </c>
      <c r="D315" s="507"/>
    </row>
    <row r="316" spans="1:4" ht="15" thickBot="1" x14ac:dyDescent="0.35">
      <c r="A316" s="550">
        <v>315</v>
      </c>
      <c r="B316" s="560" t="s">
        <v>1211</v>
      </c>
      <c r="D316" s="507"/>
    </row>
    <row r="317" spans="1:4" ht="15" thickBot="1" x14ac:dyDescent="0.35">
      <c r="A317" s="550">
        <v>316</v>
      </c>
      <c r="B317" s="560" t="s">
        <v>1212</v>
      </c>
      <c r="D317" s="507"/>
    </row>
    <row r="318" spans="1:4" ht="15" thickBot="1" x14ac:dyDescent="0.35">
      <c r="A318" s="550">
        <v>317</v>
      </c>
      <c r="B318" s="560" t="s">
        <v>1213</v>
      </c>
      <c r="D318" s="507"/>
    </row>
    <row r="319" spans="1:4" ht="15" thickBot="1" x14ac:dyDescent="0.35">
      <c r="A319" s="550">
        <v>318</v>
      </c>
      <c r="B319" s="560" t="s">
        <v>1214</v>
      </c>
      <c r="D319" s="507"/>
    </row>
    <row r="320" spans="1:4" ht="15" thickBot="1" x14ac:dyDescent="0.35">
      <c r="A320" s="550">
        <v>319</v>
      </c>
      <c r="B320" s="560" t="s">
        <v>1215</v>
      </c>
      <c r="D320" s="507"/>
    </row>
    <row r="321" spans="1:4" ht="15" thickBot="1" x14ac:dyDescent="0.35">
      <c r="A321" s="550">
        <v>320</v>
      </c>
      <c r="B321" s="560" t="s">
        <v>1216</v>
      </c>
      <c r="D321" s="507"/>
    </row>
    <row r="322" spans="1:4" ht="15" thickBot="1" x14ac:dyDescent="0.35">
      <c r="A322" s="550">
        <v>321</v>
      </c>
      <c r="B322" s="560" t="s">
        <v>1217</v>
      </c>
      <c r="D322" s="507"/>
    </row>
    <row r="323" spans="1:4" ht="15" thickBot="1" x14ac:dyDescent="0.35">
      <c r="A323" s="550">
        <v>322</v>
      </c>
      <c r="B323" s="560" t="s">
        <v>1218</v>
      </c>
      <c r="D323" s="507"/>
    </row>
    <row r="324" spans="1:4" ht="15" thickBot="1" x14ac:dyDescent="0.35">
      <c r="A324" s="550">
        <v>323</v>
      </c>
      <c r="B324" s="560" t="s">
        <v>1219</v>
      </c>
      <c r="D324" s="507"/>
    </row>
    <row r="325" spans="1:4" ht="15" thickBot="1" x14ac:dyDescent="0.35">
      <c r="A325" s="550">
        <v>324</v>
      </c>
      <c r="B325" s="560" t="s">
        <v>1220</v>
      </c>
      <c r="D325" s="507"/>
    </row>
    <row r="326" spans="1:4" ht="15" thickBot="1" x14ac:dyDescent="0.35">
      <c r="A326" s="550">
        <v>325</v>
      </c>
      <c r="B326" s="560" t="s">
        <v>1221</v>
      </c>
      <c r="D326" s="507"/>
    </row>
    <row r="327" spans="1:4" ht="15" thickBot="1" x14ac:dyDescent="0.35">
      <c r="A327" s="550">
        <v>326</v>
      </c>
      <c r="B327" s="560" t="s">
        <v>1222</v>
      </c>
      <c r="D327" s="507"/>
    </row>
    <row r="328" spans="1:4" ht="15" thickBot="1" x14ac:dyDescent="0.35">
      <c r="A328" s="550">
        <v>327</v>
      </c>
      <c r="B328" s="560" t="s">
        <v>1223</v>
      </c>
      <c r="D328" s="507"/>
    </row>
    <row r="329" spans="1:4" ht="15" thickBot="1" x14ac:dyDescent="0.35">
      <c r="A329" s="550">
        <v>328</v>
      </c>
      <c r="B329" s="561" t="s">
        <v>1224</v>
      </c>
      <c r="D329" s="507"/>
    </row>
    <row r="330" spans="1:4" x14ac:dyDescent="0.3">
      <c r="A330" s="550">
        <v>329</v>
      </c>
      <c r="B330" s="562" t="s">
        <v>1225</v>
      </c>
      <c r="D330" s="507"/>
    </row>
    <row r="331" spans="1:4" x14ac:dyDescent="0.3">
      <c r="A331" s="550">
        <v>330</v>
      </c>
      <c r="B331" s="562" t="s">
        <v>1226</v>
      </c>
      <c r="D331" s="507"/>
    </row>
    <row r="332" spans="1:4" x14ac:dyDescent="0.3">
      <c r="A332" s="550">
        <v>331</v>
      </c>
      <c r="B332" s="562" t="s">
        <v>1227</v>
      </c>
      <c r="D332" s="507"/>
    </row>
    <row r="333" spans="1:4" x14ac:dyDescent="0.3">
      <c r="A333" s="550">
        <v>332</v>
      </c>
      <c r="B333" s="562" t="s">
        <v>1228</v>
      </c>
      <c r="D333" s="507"/>
    </row>
    <row r="334" spans="1:4" x14ac:dyDescent="0.3">
      <c r="A334" s="550">
        <v>333</v>
      </c>
      <c r="B334" s="562" t="s">
        <v>1229</v>
      </c>
      <c r="D334" s="507"/>
    </row>
    <row r="335" spans="1:4" x14ac:dyDescent="0.3">
      <c r="A335" s="550">
        <v>334</v>
      </c>
      <c r="B335" s="562" t="s">
        <v>1230</v>
      </c>
      <c r="D335" s="507"/>
    </row>
    <row r="336" spans="1:4" x14ac:dyDescent="0.3">
      <c r="A336" s="550">
        <v>335</v>
      </c>
      <c r="B336" s="562" t="s">
        <v>1231</v>
      </c>
      <c r="D336" s="507"/>
    </row>
    <row r="337" spans="1:4" x14ac:dyDescent="0.3">
      <c r="A337" s="550">
        <v>336</v>
      </c>
      <c r="B337" s="562" t="s">
        <v>1232</v>
      </c>
      <c r="D337" s="507"/>
    </row>
    <row r="338" spans="1:4" x14ac:dyDescent="0.3">
      <c r="A338" s="550">
        <v>337</v>
      </c>
      <c r="B338" s="562" t="s">
        <v>1233</v>
      </c>
      <c r="D338" s="507"/>
    </row>
    <row r="339" spans="1:4" ht="25.2" thickBot="1" x14ac:dyDescent="0.35">
      <c r="A339" s="550">
        <v>338</v>
      </c>
      <c r="B339" s="558" t="s">
        <v>1234</v>
      </c>
      <c r="D339" s="507"/>
    </row>
    <row r="340" spans="1:4" ht="15" thickBot="1" x14ac:dyDescent="0.35">
      <c r="A340" s="550">
        <v>339</v>
      </c>
      <c r="B340" s="559" t="s">
        <v>636</v>
      </c>
      <c r="D340" s="507"/>
    </row>
    <row r="341" spans="1:4" x14ac:dyDescent="0.3">
      <c r="A341" s="550">
        <v>340</v>
      </c>
      <c r="B341" s="562" t="s">
        <v>1235</v>
      </c>
      <c r="D341" s="507"/>
    </row>
    <row r="342" spans="1:4" x14ac:dyDescent="0.3">
      <c r="A342" s="550">
        <v>341</v>
      </c>
      <c r="B342" s="562" t="s">
        <v>1236</v>
      </c>
      <c r="D342" s="507"/>
    </row>
    <row r="343" spans="1:4" x14ac:dyDescent="0.3">
      <c r="A343" s="550">
        <v>342</v>
      </c>
      <c r="B343" s="562" t="s">
        <v>1237</v>
      </c>
      <c r="D343" s="507"/>
    </row>
    <row r="344" spans="1:4" ht="24.6" x14ac:dyDescent="0.3">
      <c r="A344" s="550">
        <v>343</v>
      </c>
      <c r="B344" s="558" t="s">
        <v>1238</v>
      </c>
      <c r="D344" s="507"/>
    </row>
    <row r="345" spans="1:4" x14ac:dyDescent="0.3">
      <c r="A345" s="550">
        <v>344</v>
      </c>
      <c r="B345" s="562" t="s">
        <v>1239</v>
      </c>
      <c r="D345" s="507"/>
    </row>
    <row r="346" spans="1:4" x14ac:dyDescent="0.3">
      <c r="A346" s="550">
        <v>345</v>
      </c>
      <c r="B346" s="506" t="s">
        <v>1240</v>
      </c>
      <c r="D346" s="507"/>
    </row>
    <row r="347" spans="1:4" x14ac:dyDescent="0.3">
      <c r="A347" s="550">
        <v>346</v>
      </c>
      <c r="B347" s="506" t="s">
        <v>1241</v>
      </c>
      <c r="D347" s="507"/>
    </row>
    <row r="348" spans="1:4" x14ac:dyDescent="0.3">
      <c r="A348" s="550">
        <v>347</v>
      </c>
      <c r="B348" s="506" t="s">
        <v>427</v>
      </c>
      <c r="D348" s="507"/>
    </row>
    <row r="349" spans="1:4" x14ac:dyDescent="0.3">
      <c r="A349" s="550">
        <v>348</v>
      </c>
      <c r="B349" s="562" t="s">
        <v>1242</v>
      </c>
      <c r="D349" s="507"/>
    </row>
    <row r="350" spans="1:4" ht="15" thickBot="1" x14ac:dyDescent="0.35">
      <c r="A350" s="550">
        <v>349</v>
      </c>
      <c r="B350" s="562" t="s">
        <v>1243</v>
      </c>
      <c r="D350" s="507"/>
    </row>
    <row r="351" spans="1:4" ht="26.4" x14ac:dyDescent="0.3">
      <c r="A351" s="550">
        <v>350</v>
      </c>
      <c r="B351" s="527" t="s">
        <v>1244</v>
      </c>
      <c r="D351" s="507"/>
    </row>
    <row r="352" spans="1:4" x14ac:dyDescent="0.3">
      <c r="A352" s="550">
        <v>351</v>
      </c>
      <c r="B352" s="1" t="s">
        <v>1245</v>
      </c>
      <c r="D352" s="507"/>
    </row>
    <row r="353" spans="1:4" x14ac:dyDescent="0.3">
      <c r="A353" s="550">
        <v>352</v>
      </c>
      <c r="B353" s="1" t="s">
        <v>1246</v>
      </c>
      <c r="D353" s="507"/>
    </row>
    <row r="354" spans="1:4" x14ac:dyDescent="0.3">
      <c r="A354" s="550">
        <v>353</v>
      </c>
      <c r="B354" s="1" t="s">
        <v>1247</v>
      </c>
      <c r="D354" s="507"/>
    </row>
    <row r="355" spans="1:4" x14ac:dyDescent="0.3">
      <c r="A355" s="550">
        <v>354</v>
      </c>
      <c r="B355" s="1" t="s">
        <v>1248</v>
      </c>
      <c r="D355" s="507"/>
    </row>
    <row r="356" spans="1:4" x14ac:dyDescent="0.3">
      <c r="A356" s="550">
        <v>355</v>
      </c>
      <c r="B356" s="1" t="s">
        <v>1249</v>
      </c>
      <c r="D356" s="507"/>
    </row>
    <row r="357" spans="1:4" x14ac:dyDescent="0.3">
      <c r="A357" s="550">
        <v>356</v>
      </c>
      <c r="B357" s="1" t="s">
        <v>1250</v>
      </c>
      <c r="D357" s="507"/>
    </row>
    <row r="358" spans="1:4" ht="17.399999999999999" x14ac:dyDescent="0.3">
      <c r="A358" s="550">
        <v>357</v>
      </c>
      <c r="B358" s="498" t="s">
        <v>1251</v>
      </c>
      <c r="D358" s="507"/>
    </row>
    <row r="359" spans="1:4" ht="31.2" x14ac:dyDescent="0.3">
      <c r="A359" s="550">
        <v>358</v>
      </c>
      <c r="B359" s="497" t="s">
        <v>1252</v>
      </c>
      <c r="D359" s="507"/>
    </row>
    <row r="360" spans="1:4" ht="52.8" x14ac:dyDescent="0.3">
      <c r="A360" s="550">
        <v>359</v>
      </c>
      <c r="B360" s="494" t="s">
        <v>1253</v>
      </c>
      <c r="D360" s="507"/>
    </row>
    <row r="361" spans="1:4" x14ac:dyDescent="0.3">
      <c r="A361" s="550">
        <v>360</v>
      </c>
      <c r="B361" s="1" t="s">
        <v>1254</v>
      </c>
      <c r="D361" s="507"/>
    </row>
    <row r="362" spans="1:4" x14ac:dyDescent="0.3">
      <c r="A362" s="550">
        <v>361</v>
      </c>
      <c r="B362" s="505" t="s">
        <v>1255</v>
      </c>
      <c r="D362" s="507"/>
    </row>
    <row r="363" spans="1:4" x14ac:dyDescent="0.3">
      <c r="A363" s="550">
        <v>362</v>
      </c>
      <c r="B363" s="496" t="s">
        <v>1256</v>
      </c>
      <c r="D363" s="507"/>
    </row>
    <row r="364" spans="1:4" x14ac:dyDescent="0.3">
      <c r="A364" s="550">
        <v>363</v>
      </c>
      <c r="B364" s="502" t="s">
        <v>1257</v>
      </c>
      <c r="D364" s="507"/>
    </row>
    <row r="365" spans="1:4" x14ac:dyDescent="0.3">
      <c r="A365" s="550">
        <v>364</v>
      </c>
      <c r="B365" s="518" t="s">
        <v>1258</v>
      </c>
      <c r="D365" s="507"/>
    </row>
    <row r="366" spans="1:4" x14ac:dyDescent="0.3">
      <c r="A366" s="550">
        <v>365</v>
      </c>
      <c r="B366" s="522" t="s">
        <v>1259</v>
      </c>
      <c r="D366" s="507"/>
    </row>
    <row r="367" spans="1:4" x14ac:dyDescent="0.3">
      <c r="A367" s="550">
        <v>366</v>
      </c>
      <c r="B367" s="520" t="s">
        <v>1260</v>
      </c>
      <c r="D367" s="507"/>
    </row>
    <row r="368" spans="1:4" x14ac:dyDescent="0.3">
      <c r="A368" s="550">
        <v>367</v>
      </c>
      <c r="B368" s="519" t="s">
        <v>1261</v>
      </c>
      <c r="D368" s="507"/>
    </row>
    <row r="369" spans="1:4" x14ac:dyDescent="0.3">
      <c r="A369" s="550">
        <v>368</v>
      </c>
      <c r="B369" s="604" t="s">
        <v>1262</v>
      </c>
      <c r="D369" s="507"/>
    </row>
    <row r="370" spans="1:4" ht="15" thickBot="1" x14ac:dyDescent="0.35">
      <c r="A370" s="550">
        <v>369</v>
      </c>
      <c r="B370" s="523" t="s">
        <v>1263</v>
      </c>
      <c r="D370" s="507"/>
    </row>
    <row r="371" spans="1:4" ht="15" thickBot="1" x14ac:dyDescent="0.35">
      <c r="A371" s="550">
        <v>370</v>
      </c>
      <c r="B371" s="524" t="s">
        <v>1264</v>
      </c>
      <c r="D371" s="507"/>
    </row>
    <row r="372" spans="1:4" ht="15" thickBot="1" x14ac:dyDescent="0.35">
      <c r="A372" s="550">
        <v>371</v>
      </c>
      <c r="B372" s="524" t="s">
        <v>1265</v>
      </c>
      <c r="D372" s="507"/>
    </row>
    <row r="373" spans="1:4" x14ac:dyDescent="0.3">
      <c r="A373" s="550">
        <v>372</v>
      </c>
      <c r="B373" s="505" t="s">
        <v>1266</v>
      </c>
      <c r="D373" s="507"/>
    </row>
    <row r="374" spans="1:4" ht="20.399999999999999" x14ac:dyDescent="0.3">
      <c r="A374" s="550">
        <v>373</v>
      </c>
      <c r="B374" s="496" t="s">
        <v>1267</v>
      </c>
      <c r="D374" s="507"/>
    </row>
    <row r="375" spans="1:4" x14ac:dyDescent="0.3">
      <c r="A375" s="550">
        <v>374</v>
      </c>
      <c r="B375" s="496" t="s">
        <v>1268</v>
      </c>
      <c r="D375" s="507"/>
    </row>
    <row r="376" spans="1:4" ht="20.399999999999999" x14ac:dyDescent="0.3">
      <c r="A376" s="550">
        <v>375</v>
      </c>
      <c r="B376" s="496" t="s">
        <v>1269</v>
      </c>
      <c r="D376" s="507"/>
    </row>
    <row r="377" spans="1:4" ht="20.399999999999999" x14ac:dyDescent="0.3">
      <c r="A377" s="550">
        <v>376</v>
      </c>
      <c r="B377" s="496" t="s">
        <v>1270</v>
      </c>
      <c r="D377" s="507"/>
    </row>
    <row r="378" spans="1:4" x14ac:dyDescent="0.3">
      <c r="A378" s="550">
        <v>377</v>
      </c>
      <c r="B378" s="496" t="s">
        <v>1271</v>
      </c>
      <c r="D378" s="507"/>
    </row>
    <row r="379" spans="1:4" x14ac:dyDescent="0.3">
      <c r="A379" s="550">
        <v>378</v>
      </c>
      <c r="B379" s="496" t="s">
        <v>1272</v>
      </c>
      <c r="D379" s="507"/>
    </row>
    <row r="380" spans="1:4" x14ac:dyDescent="0.3">
      <c r="A380" s="550">
        <v>379</v>
      </c>
      <c r="B380" s="496" t="s">
        <v>1273</v>
      </c>
      <c r="D380" s="507"/>
    </row>
    <row r="381" spans="1:4" x14ac:dyDescent="0.3">
      <c r="A381" s="550">
        <v>380</v>
      </c>
      <c r="B381" s="496" t="s">
        <v>1274</v>
      </c>
      <c r="D381" s="507"/>
    </row>
    <row r="382" spans="1:4" ht="27.6" x14ac:dyDescent="0.3">
      <c r="A382" s="550">
        <v>381</v>
      </c>
      <c r="B382" s="505" t="s">
        <v>1275</v>
      </c>
      <c r="D382" s="507"/>
    </row>
    <row r="383" spans="1:4" ht="20.399999999999999" x14ac:dyDescent="0.3">
      <c r="A383" s="550">
        <v>382</v>
      </c>
      <c r="B383" s="495" t="s">
        <v>1276</v>
      </c>
      <c r="D383" s="507"/>
    </row>
    <row r="384" spans="1:4" x14ac:dyDescent="0.3">
      <c r="A384" s="550">
        <v>383</v>
      </c>
      <c r="B384" s="495" t="s">
        <v>1277</v>
      </c>
      <c r="D384" s="507"/>
    </row>
    <row r="385" spans="1:4" x14ac:dyDescent="0.3">
      <c r="A385" s="550">
        <v>384</v>
      </c>
      <c r="B385" s="495" t="s">
        <v>1278</v>
      </c>
      <c r="D385" s="507"/>
    </row>
    <row r="386" spans="1:4" ht="15.6" x14ac:dyDescent="0.3">
      <c r="A386" s="550">
        <v>385</v>
      </c>
      <c r="B386" s="497" t="s">
        <v>1279</v>
      </c>
      <c r="D386" s="507"/>
    </row>
    <row r="387" spans="1:4" x14ac:dyDescent="0.3">
      <c r="A387" s="550">
        <v>386</v>
      </c>
      <c r="B387" s="505" t="s">
        <v>1280</v>
      </c>
      <c r="D387" s="507"/>
    </row>
    <row r="388" spans="1:4" x14ac:dyDescent="0.3">
      <c r="A388" s="550">
        <v>387</v>
      </c>
      <c r="B388" s="604" t="s">
        <v>1281</v>
      </c>
      <c r="D388" s="507"/>
    </row>
    <row r="389" spans="1:4" x14ac:dyDescent="0.3">
      <c r="A389" s="550">
        <v>388</v>
      </c>
      <c r="B389" s="505" t="s">
        <v>1282</v>
      </c>
      <c r="D389" s="507"/>
    </row>
    <row r="390" spans="1:4" ht="20.399999999999999" x14ac:dyDescent="0.3">
      <c r="A390" s="550">
        <v>389</v>
      </c>
      <c r="B390" s="496" t="s">
        <v>1283</v>
      </c>
      <c r="D390" s="507"/>
    </row>
    <row r="391" spans="1:4" x14ac:dyDescent="0.3">
      <c r="A391" s="550">
        <v>390</v>
      </c>
      <c r="B391" s="496" t="s">
        <v>1284</v>
      </c>
      <c r="D391" s="507"/>
    </row>
    <row r="392" spans="1:4" ht="15.6" x14ac:dyDescent="0.3">
      <c r="A392" s="550">
        <v>391</v>
      </c>
      <c r="B392" s="497" t="s">
        <v>1285</v>
      </c>
      <c r="D392" s="507"/>
    </row>
    <row r="393" spans="1:4" x14ac:dyDescent="0.3">
      <c r="A393" s="550">
        <v>392</v>
      </c>
      <c r="B393" s="499" t="s">
        <v>1286</v>
      </c>
      <c r="D393" s="507"/>
    </row>
    <row r="394" spans="1:4" ht="20.399999999999999" x14ac:dyDescent="0.3">
      <c r="A394" s="550">
        <v>393</v>
      </c>
      <c r="B394" s="496" t="s">
        <v>1287</v>
      </c>
      <c r="D394" s="507"/>
    </row>
    <row r="395" spans="1:4" ht="20.399999999999999" x14ac:dyDescent="0.3">
      <c r="A395" s="550">
        <v>394</v>
      </c>
      <c r="B395" s="495" t="s">
        <v>1288</v>
      </c>
      <c r="D395" s="507"/>
    </row>
    <row r="396" spans="1:4" ht="30.6" x14ac:dyDescent="0.3">
      <c r="A396" s="550">
        <v>395</v>
      </c>
      <c r="B396" s="495" t="s">
        <v>1289</v>
      </c>
      <c r="D396" s="507"/>
    </row>
    <row r="397" spans="1:4" ht="20.399999999999999" x14ac:dyDescent="0.3">
      <c r="A397" s="550">
        <v>396</v>
      </c>
      <c r="B397" s="496" t="s">
        <v>1290</v>
      </c>
      <c r="D397" s="507"/>
    </row>
    <row r="398" spans="1:4" ht="40.799999999999997" x14ac:dyDescent="0.3">
      <c r="A398" s="550">
        <v>397</v>
      </c>
      <c r="B398" s="496" t="s">
        <v>1291</v>
      </c>
      <c r="D398" s="507"/>
    </row>
    <row r="399" spans="1:4" ht="27.6" x14ac:dyDescent="0.3">
      <c r="A399" s="550">
        <v>398</v>
      </c>
      <c r="B399" s="505" t="s">
        <v>1292</v>
      </c>
      <c r="D399" s="507"/>
    </row>
    <row r="400" spans="1:4" x14ac:dyDescent="0.3">
      <c r="A400" s="550">
        <v>399</v>
      </c>
      <c r="B400" s="499" t="s">
        <v>1293</v>
      </c>
      <c r="D400" s="507"/>
    </row>
    <row r="401" spans="1:4" x14ac:dyDescent="0.3">
      <c r="A401" s="550">
        <v>400</v>
      </c>
      <c r="B401" s="496" t="s">
        <v>1294</v>
      </c>
      <c r="D401" s="507"/>
    </row>
    <row r="402" spans="1:4" x14ac:dyDescent="0.3">
      <c r="A402" s="550">
        <v>401</v>
      </c>
      <c r="B402" s="604" t="s">
        <v>1295</v>
      </c>
      <c r="D402" s="507"/>
    </row>
    <row r="403" spans="1:4" x14ac:dyDescent="0.3">
      <c r="A403" s="550">
        <v>402</v>
      </c>
      <c r="B403" s="499" t="s">
        <v>1296</v>
      </c>
      <c r="D403" s="507"/>
    </row>
    <row r="404" spans="1:4" x14ac:dyDescent="0.3">
      <c r="A404" s="550">
        <v>403</v>
      </c>
      <c r="B404" s="496" t="s">
        <v>1297</v>
      </c>
      <c r="D404" s="507"/>
    </row>
    <row r="405" spans="1:4" x14ac:dyDescent="0.3">
      <c r="A405" s="550">
        <v>404</v>
      </c>
      <c r="B405" s="499" t="s">
        <v>1298</v>
      </c>
      <c r="D405" s="507"/>
    </row>
    <row r="406" spans="1:4" x14ac:dyDescent="0.3">
      <c r="A406" s="550">
        <v>405</v>
      </c>
      <c r="B406" s="496" t="s">
        <v>1299</v>
      </c>
      <c r="D406" s="507"/>
    </row>
    <row r="407" spans="1:4" x14ac:dyDescent="0.3">
      <c r="A407" s="550">
        <v>406</v>
      </c>
      <c r="B407" s="604" t="s">
        <v>1300</v>
      </c>
      <c r="D407" s="507"/>
    </row>
    <row r="408" spans="1:4" x14ac:dyDescent="0.3">
      <c r="A408" s="550">
        <v>407</v>
      </c>
      <c r="B408" s="499" t="s">
        <v>1301</v>
      </c>
      <c r="D408" s="507"/>
    </row>
    <row r="409" spans="1:4" x14ac:dyDescent="0.3">
      <c r="A409" s="550">
        <v>408</v>
      </c>
      <c r="B409" s="496" t="s">
        <v>1302</v>
      </c>
      <c r="D409" s="507"/>
    </row>
    <row r="410" spans="1:4" x14ac:dyDescent="0.3">
      <c r="A410" s="550">
        <v>409</v>
      </c>
      <c r="B410" s="604" t="s">
        <v>1303</v>
      </c>
      <c r="D410" s="507"/>
    </row>
    <row r="411" spans="1:4" x14ac:dyDescent="0.3">
      <c r="A411" s="550">
        <v>410</v>
      </c>
      <c r="B411" s="604" t="s">
        <v>1304</v>
      </c>
      <c r="D411" s="507"/>
    </row>
    <row r="412" spans="1:4" x14ac:dyDescent="0.3">
      <c r="A412" s="550">
        <v>411</v>
      </c>
      <c r="B412" s="604" t="s">
        <v>528</v>
      </c>
      <c r="D412" s="507"/>
    </row>
    <row r="413" spans="1:4" x14ac:dyDescent="0.3">
      <c r="A413" s="550">
        <v>412</v>
      </c>
      <c r="B413" s="499" t="s">
        <v>1305</v>
      </c>
      <c r="D413" s="507"/>
    </row>
    <row r="414" spans="1:4" x14ac:dyDescent="0.3">
      <c r="A414" s="550">
        <v>413</v>
      </c>
      <c r="B414" s="525" t="s">
        <v>1306</v>
      </c>
      <c r="D414" s="507"/>
    </row>
    <row r="415" spans="1:4" x14ac:dyDescent="0.3">
      <c r="A415" s="550">
        <v>414</v>
      </c>
      <c r="B415" s="525" t="s">
        <v>1307</v>
      </c>
      <c r="D415" s="507"/>
    </row>
    <row r="416" spans="1:4" x14ac:dyDescent="0.3">
      <c r="A416" s="550">
        <v>415</v>
      </c>
      <c r="B416" s="499" t="s">
        <v>1308</v>
      </c>
      <c r="D416" s="507"/>
    </row>
    <row r="417" spans="1:4" x14ac:dyDescent="0.3">
      <c r="A417" s="550">
        <v>416</v>
      </c>
      <c r="B417" s="496" t="s">
        <v>1309</v>
      </c>
      <c r="D417" s="507"/>
    </row>
    <row r="418" spans="1:4" ht="40.799999999999997" x14ac:dyDescent="0.3">
      <c r="A418" s="550">
        <v>417</v>
      </c>
      <c r="B418" s="496" t="s">
        <v>1310</v>
      </c>
      <c r="D418" s="507"/>
    </row>
    <row r="419" spans="1:4" x14ac:dyDescent="0.3">
      <c r="A419" s="550">
        <v>418</v>
      </c>
      <c r="B419" s="604" t="s">
        <v>1311</v>
      </c>
      <c r="D419" s="507"/>
    </row>
    <row r="420" spans="1:4" x14ac:dyDescent="0.3">
      <c r="A420" s="550">
        <v>419</v>
      </c>
      <c r="B420" s="604" t="s">
        <v>1312</v>
      </c>
      <c r="D420" s="507"/>
    </row>
    <row r="421" spans="1:4" x14ac:dyDescent="0.3">
      <c r="A421" s="550">
        <v>420</v>
      </c>
      <c r="B421" s="499" t="s">
        <v>1313</v>
      </c>
      <c r="D421" s="507"/>
    </row>
    <row r="422" spans="1:4" ht="20.399999999999999" x14ac:dyDescent="0.3">
      <c r="A422" s="550">
        <v>421</v>
      </c>
      <c r="B422" s="496" t="s">
        <v>1314</v>
      </c>
      <c r="D422" s="507"/>
    </row>
    <row r="423" spans="1:4" ht="40.799999999999997" x14ac:dyDescent="0.3">
      <c r="A423" s="550">
        <v>422</v>
      </c>
      <c r="B423" s="496" t="s">
        <v>1315</v>
      </c>
      <c r="D423" s="507"/>
    </row>
    <row r="424" spans="1:4" x14ac:dyDescent="0.3">
      <c r="A424" s="550">
        <v>423</v>
      </c>
      <c r="B424" s="1" t="s">
        <v>1316</v>
      </c>
      <c r="D424" s="507"/>
    </row>
    <row r="425" spans="1:4" x14ac:dyDescent="0.3">
      <c r="A425" s="550">
        <v>424</v>
      </c>
      <c r="B425" s="496" t="s">
        <v>1317</v>
      </c>
      <c r="D425" s="507"/>
    </row>
    <row r="426" spans="1:4" x14ac:dyDescent="0.3">
      <c r="A426" s="550">
        <v>425</v>
      </c>
      <c r="B426" s="499" t="s">
        <v>1318</v>
      </c>
      <c r="D426" s="507"/>
    </row>
    <row r="427" spans="1:4" ht="20.399999999999999" x14ac:dyDescent="0.3">
      <c r="A427" s="550">
        <v>426</v>
      </c>
      <c r="B427" s="496" t="s">
        <v>1319</v>
      </c>
      <c r="D427" s="507"/>
    </row>
    <row r="428" spans="1:4" ht="20.399999999999999" x14ac:dyDescent="0.3">
      <c r="A428" s="550">
        <v>427</v>
      </c>
      <c r="B428" s="496" t="s">
        <v>1320</v>
      </c>
      <c r="D428" s="507"/>
    </row>
    <row r="429" spans="1:4" ht="20.399999999999999" x14ac:dyDescent="0.3">
      <c r="A429" s="550">
        <v>428</v>
      </c>
      <c r="B429" s="496" t="s">
        <v>1321</v>
      </c>
      <c r="D429" s="507"/>
    </row>
    <row r="430" spans="1:4" x14ac:dyDescent="0.3">
      <c r="A430" s="550">
        <v>429</v>
      </c>
      <c r="B430" s="604" t="s">
        <v>1322</v>
      </c>
      <c r="D430" s="507"/>
    </row>
    <row r="431" spans="1:4" x14ac:dyDescent="0.3">
      <c r="A431" s="550">
        <v>430</v>
      </c>
      <c r="B431" s="604" t="s">
        <v>1323</v>
      </c>
      <c r="D431" s="507"/>
    </row>
    <row r="432" spans="1:4" x14ac:dyDescent="0.3">
      <c r="A432" s="550">
        <v>431</v>
      </c>
      <c r="B432" s="499" t="s">
        <v>1324</v>
      </c>
      <c r="D432" s="507"/>
    </row>
    <row r="433" spans="1:4" ht="20.399999999999999" x14ac:dyDescent="0.3">
      <c r="A433" s="550">
        <v>432</v>
      </c>
      <c r="B433" s="496" t="s">
        <v>1325</v>
      </c>
      <c r="D433" s="507"/>
    </row>
    <row r="434" spans="1:4" x14ac:dyDescent="0.3">
      <c r="A434" s="550">
        <v>433</v>
      </c>
      <c r="B434" s="604" t="s">
        <v>1326</v>
      </c>
      <c r="D434" s="507"/>
    </row>
    <row r="435" spans="1:4" x14ac:dyDescent="0.3">
      <c r="A435" s="550">
        <v>434</v>
      </c>
      <c r="B435" s="604" t="s">
        <v>1327</v>
      </c>
      <c r="D435" s="507"/>
    </row>
    <row r="436" spans="1:4" ht="15.6" x14ac:dyDescent="0.3">
      <c r="A436" s="550">
        <v>435</v>
      </c>
      <c r="B436" s="497" t="s">
        <v>1328</v>
      </c>
      <c r="D436" s="507"/>
    </row>
    <row r="437" spans="1:4" ht="26.4" x14ac:dyDescent="0.3">
      <c r="A437" s="550">
        <v>436</v>
      </c>
      <c r="B437" s="499" t="s">
        <v>1329</v>
      </c>
      <c r="D437" s="507"/>
    </row>
    <row r="438" spans="1:4" ht="20.399999999999999" x14ac:dyDescent="0.3">
      <c r="A438" s="550">
        <v>437</v>
      </c>
      <c r="B438" s="496" t="s">
        <v>1330</v>
      </c>
      <c r="D438" s="507"/>
    </row>
    <row r="439" spans="1:4" ht="20.399999999999999" x14ac:dyDescent="0.3">
      <c r="A439" s="550">
        <v>438</v>
      </c>
      <c r="B439" s="496" t="s">
        <v>1331</v>
      </c>
      <c r="D439" s="507"/>
    </row>
    <row r="440" spans="1:4" ht="20.399999999999999" x14ac:dyDescent="0.3">
      <c r="A440" s="550">
        <v>439</v>
      </c>
      <c r="B440" s="496" t="s">
        <v>1332</v>
      </c>
      <c r="D440" s="507"/>
    </row>
    <row r="441" spans="1:4" x14ac:dyDescent="0.3">
      <c r="A441" s="550">
        <v>440</v>
      </c>
      <c r="B441" s="496" t="s">
        <v>1333</v>
      </c>
      <c r="D441" s="507"/>
    </row>
    <row r="442" spans="1:4" ht="20.399999999999999" x14ac:dyDescent="0.3">
      <c r="A442" s="550">
        <v>441</v>
      </c>
      <c r="B442" s="496" t="s">
        <v>1334</v>
      </c>
      <c r="D442" s="507"/>
    </row>
    <row r="443" spans="1:4" ht="20.399999999999999" x14ac:dyDescent="0.3">
      <c r="A443" s="550">
        <v>442</v>
      </c>
      <c r="B443" s="496" t="s">
        <v>1335</v>
      </c>
      <c r="D443" s="507"/>
    </row>
    <row r="444" spans="1:4" x14ac:dyDescent="0.3">
      <c r="A444" s="550">
        <v>443</v>
      </c>
      <c r="B444" s="496" t="s">
        <v>1336</v>
      </c>
      <c r="D444" s="507"/>
    </row>
    <row r="445" spans="1:4" ht="20.399999999999999" x14ac:dyDescent="0.3">
      <c r="A445" s="550">
        <v>444</v>
      </c>
      <c r="B445" s="496" t="s">
        <v>1337</v>
      </c>
      <c r="D445" s="507"/>
    </row>
    <row r="446" spans="1:4" x14ac:dyDescent="0.3">
      <c r="A446" s="550">
        <v>445</v>
      </c>
      <c r="B446" s="496" t="s">
        <v>1338</v>
      </c>
      <c r="D446" s="507"/>
    </row>
    <row r="447" spans="1:4" ht="20.399999999999999" x14ac:dyDescent="0.3">
      <c r="A447" s="550">
        <v>446</v>
      </c>
      <c r="B447" s="496" t="s">
        <v>1339</v>
      </c>
      <c r="D447" s="507"/>
    </row>
    <row r="448" spans="1:4" ht="27.6" x14ac:dyDescent="0.3">
      <c r="A448" s="550">
        <v>447</v>
      </c>
      <c r="B448" s="505" t="s">
        <v>1340</v>
      </c>
      <c r="D448" s="507"/>
    </row>
    <row r="449" spans="1:4" x14ac:dyDescent="0.3">
      <c r="A449" s="550">
        <v>448</v>
      </c>
      <c r="B449" s="499" t="s">
        <v>1341</v>
      </c>
      <c r="D449" s="507"/>
    </row>
    <row r="450" spans="1:4" x14ac:dyDescent="0.3">
      <c r="A450" s="550">
        <v>449</v>
      </c>
      <c r="B450" s="496" t="s">
        <v>1342</v>
      </c>
      <c r="D450" s="507"/>
    </row>
    <row r="451" spans="1:4" x14ac:dyDescent="0.3">
      <c r="A451" s="550">
        <v>450</v>
      </c>
      <c r="B451" s="496" t="s">
        <v>1343</v>
      </c>
      <c r="D451" s="507"/>
    </row>
    <row r="452" spans="1:4" x14ac:dyDescent="0.3">
      <c r="A452" s="550">
        <v>451</v>
      </c>
      <c r="B452" s="499" t="s">
        <v>1344</v>
      </c>
      <c r="D452" s="507"/>
    </row>
    <row r="453" spans="1:4" x14ac:dyDescent="0.3">
      <c r="A453" s="550">
        <v>452</v>
      </c>
      <c r="B453" s="499" t="s">
        <v>1345</v>
      </c>
      <c r="D453" s="507"/>
    </row>
    <row r="454" spans="1:4" ht="20.399999999999999" x14ac:dyDescent="0.3">
      <c r="A454" s="550">
        <v>453</v>
      </c>
      <c r="B454" s="496" t="s">
        <v>1346</v>
      </c>
      <c r="D454" s="507"/>
    </row>
    <row r="455" spans="1:4" ht="20.399999999999999" x14ac:dyDescent="0.3">
      <c r="A455" s="550">
        <v>454</v>
      </c>
      <c r="B455" s="515" t="s">
        <v>1347</v>
      </c>
      <c r="D455" s="507"/>
    </row>
    <row r="456" spans="1:4" ht="26.4" x14ac:dyDescent="0.3">
      <c r="A456" s="550">
        <v>455</v>
      </c>
      <c r="B456" s="499" t="s">
        <v>1348</v>
      </c>
      <c r="D456" s="507"/>
    </row>
    <row r="457" spans="1:4" x14ac:dyDescent="0.3">
      <c r="A457" s="550">
        <v>456</v>
      </c>
      <c r="B457" s="496" t="s">
        <v>1349</v>
      </c>
      <c r="D457" s="507"/>
    </row>
    <row r="458" spans="1:4" x14ac:dyDescent="0.3">
      <c r="A458" s="550">
        <v>457</v>
      </c>
      <c r="B458" s="1125" t="s">
        <v>1350</v>
      </c>
      <c r="D458" s="507"/>
    </row>
    <row r="459" spans="1:4" x14ac:dyDescent="0.3">
      <c r="A459" s="550">
        <v>458</v>
      </c>
      <c r="B459" s="499" t="s">
        <v>1351</v>
      </c>
      <c r="D459" s="507"/>
    </row>
    <row r="460" spans="1:4" ht="20.399999999999999" x14ac:dyDescent="0.3">
      <c r="A460" s="550">
        <v>459</v>
      </c>
      <c r="B460" s="496" t="s">
        <v>1352</v>
      </c>
      <c r="D460" s="507"/>
    </row>
    <row r="461" spans="1:4" x14ac:dyDescent="0.3">
      <c r="A461" s="550">
        <v>460</v>
      </c>
      <c r="B461" s="496" t="s">
        <v>1353</v>
      </c>
      <c r="D461" s="507"/>
    </row>
    <row r="462" spans="1:4" x14ac:dyDescent="0.3">
      <c r="A462" s="550">
        <v>461</v>
      </c>
      <c r="B462" s="502" t="s">
        <v>1354</v>
      </c>
      <c r="D462" s="507"/>
    </row>
    <row r="463" spans="1:4" x14ac:dyDescent="0.3">
      <c r="A463" s="550">
        <v>462</v>
      </c>
      <c r="B463" s="1125" t="s">
        <v>1355</v>
      </c>
      <c r="D463" s="507"/>
    </row>
    <row r="464" spans="1:4" ht="26.4" x14ac:dyDescent="0.3">
      <c r="A464" s="550">
        <v>463</v>
      </c>
      <c r="B464" s="499" t="s">
        <v>1356</v>
      </c>
      <c r="D464" s="507"/>
    </row>
    <row r="465" spans="1:4" ht="20.399999999999999" x14ac:dyDescent="0.3">
      <c r="A465" s="550">
        <v>464</v>
      </c>
      <c r="B465" s="496" t="s">
        <v>1357</v>
      </c>
      <c r="D465" s="507"/>
    </row>
    <row r="466" spans="1:4" ht="20.399999999999999" x14ac:dyDescent="0.3">
      <c r="A466" s="550">
        <v>465</v>
      </c>
      <c r="B466" s="496" t="s">
        <v>1358</v>
      </c>
      <c r="D466" s="507"/>
    </row>
    <row r="467" spans="1:4" x14ac:dyDescent="0.3">
      <c r="A467" s="550">
        <v>466</v>
      </c>
      <c r="B467" s="502" t="s">
        <v>1359</v>
      </c>
      <c r="D467" s="507"/>
    </row>
    <row r="468" spans="1:4" x14ac:dyDescent="0.3">
      <c r="A468" s="550">
        <v>467</v>
      </c>
      <c r="B468" s="499" t="s">
        <v>1360</v>
      </c>
      <c r="D468" s="507"/>
    </row>
    <row r="469" spans="1:4" ht="20.399999999999999" x14ac:dyDescent="0.3">
      <c r="A469" s="550">
        <v>468</v>
      </c>
      <c r="B469" s="496" t="s">
        <v>1361</v>
      </c>
      <c r="D469" s="507"/>
    </row>
    <row r="470" spans="1:4" x14ac:dyDescent="0.3">
      <c r="A470" s="550">
        <v>469</v>
      </c>
      <c r="B470" s="1125" t="s">
        <v>1362</v>
      </c>
      <c r="D470" s="507"/>
    </row>
    <row r="471" spans="1:4" x14ac:dyDescent="0.3">
      <c r="A471" s="550">
        <v>470</v>
      </c>
      <c r="B471" s="499" t="s">
        <v>1363</v>
      </c>
      <c r="D471" s="507"/>
    </row>
    <row r="472" spans="1:4" x14ac:dyDescent="0.3">
      <c r="A472" s="550">
        <v>471</v>
      </c>
      <c r="B472" s="613" t="s">
        <v>1364</v>
      </c>
      <c r="D472" s="507"/>
    </row>
    <row r="473" spans="1:4" x14ac:dyDescent="0.3">
      <c r="A473" s="550">
        <v>472</v>
      </c>
      <c r="B473" s="1126" t="s">
        <v>1365</v>
      </c>
      <c r="D473" s="507"/>
    </row>
    <row r="474" spans="1:4" x14ac:dyDescent="0.3">
      <c r="A474" s="550">
        <v>473</v>
      </c>
      <c r="B474" s="1126" t="s">
        <v>1366</v>
      </c>
      <c r="D474" s="507"/>
    </row>
    <row r="475" spans="1:4" x14ac:dyDescent="0.3">
      <c r="A475" s="550">
        <v>474</v>
      </c>
      <c r="B475" s="526" t="s">
        <v>1367</v>
      </c>
      <c r="D475" s="507"/>
    </row>
    <row r="476" spans="1:4" ht="26.4" x14ac:dyDescent="0.3">
      <c r="A476" s="550">
        <v>475</v>
      </c>
      <c r="B476" s="499" t="s">
        <v>1368</v>
      </c>
      <c r="D476" s="507"/>
    </row>
    <row r="477" spans="1:4" ht="20.399999999999999" x14ac:dyDescent="0.3">
      <c r="A477" s="550">
        <v>476</v>
      </c>
      <c r="B477" s="496" t="s">
        <v>1369</v>
      </c>
      <c r="D477" s="507"/>
    </row>
    <row r="478" spans="1:4" x14ac:dyDescent="0.3">
      <c r="A478" s="550">
        <v>477</v>
      </c>
      <c r="B478" s="502" t="s">
        <v>1370</v>
      </c>
      <c r="D478" s="507"/>
    </row>
    <row r="479" spans="1:4" ht="26.4" x14ac:dyDescent="0.3">
      <c r="A479" s="550">
        <v>478</v>
      </c>
      <c r="B479" s="499" t="s">
        <v>1371</v>
      </c>
      <c r="D479" s="507"/>
    </row>
    <row r="480" spans="1:4" ht="20.399999999999999" x14ac:dyDescent="0.3">
      <c r="A480" s="550">
        <v>479</v>
      </c>
      <c r="B480" s="495" t="s">
        <v>1372</v>
      </c>
      <c r="D480" s="507"/>
    </row>
    <row r="481" spans="1:4" x14ac:dyDescent="0.3">
      <c r="A481" s="550">
        <v>480</v>
      </c>
      <c r="B481" s="496" t="s">
        <v>1373</v>
      </c>
      <c r="D481" s="507"/>
    </row>
    <row r="482" spans="1:4" ht="15" thickBot="1" x14ac:dyDescent="0.35">
      <c r="A482" s="550">
        <v>481</v>
      </c>
      <c r="B482" s="1125" t="s">
        <v>1374</v>
      </c>
      <c r="D482" s="507"/>
    </row>
    <row r="483" spans="1:4" ht="26.4" x14ac:dyDescent="0.3">
      <c r="A483" s="550">
        <v>482</v>
      </c>
      <c r="B483" s="527" t="s">
        <v>1375</v>
      </c>
      <c r="D483" s="507"/>
    </row>
    <row r="484" spans="1:4" x14ac:dyDescent="0.3">
      <c r="A484" s="550">
        <v>483</v>
      </c>
      <c r="B484" s="1" t="s">
        <v>1376</v>
      </c>
      <c r="D484" s="507"/>
    </row>
    <row r="485" spans="1:4" x14ac:dyDescent="0.3">
      <c r="A485" s="550">
        <v>484</v>
      </c>
      <c r="B485" s="1" t="s">
        <v>1377</v>
      </c>
      <c r="D485" s="507"/>
    </row>
    <row r="486" spans="1:4" x14ac:dyDescent="0.3">
      <c r="A486" s="550">
        <v>485</v>
      </c>
      <c r="B486" s="1" t="s">
        <v>1378</v>
      </c>
      <c r="D486" s="507"/>
    </row>
    <row r="487" spans="1:4" x14ac:dyDescent="0.3">
      <c r="A487" s="550">
        <v>486</v>
      </c>
      <c r="B487" s="1" t="s">
        <v>1379</v>
      </c>
      <c r="D487" s="507"/>
    </row>
    <row r="488" spans="1:4" ht="34.799999999999997" x14ac:dyDescent="0.3">
      <c r="A488" s="550">
        <v>487</v>
      </c>
      <c r="B488" s="498" t="s">
        <v>1380</v>
      </c>
      <c r="D488" s="507"/>
    </row>
    <row r="489" spans="1:4" ht="15.6" x14ac:dyDescent="0.3">
      <c r="A489" s="550">
        <v>488</v>
      </c>
      <c r="B489" s="497" t="s">
        <v>1381</v>
      </c>
      <c r="D489" s="507"/>
    </row>
    <row r="490" spans="1:4" x14ac:dyDescent="0.3">
      <c r="A490" s="550">
        <v>489</v>
      </c>
      <c r="B490" s="505" t="s">
        <v>1382</v>
      </c>
      <c r="D490" s="507"/>
    </row>
    <row r="491" spans="1:4" ht="26.4" x14ac:dyDescent="0.3">
      <c r="A491" s="550">
        <v>490</v>
      </c>
      <c r="B491" s="499" t="s">
        <v>1383</v>
      </c>
      <c r="D491" s="507"/>
    </row>
    <row r="492" spans="1:4" x14ac:dyDescent="0.3">
      <c r="A492" s="550">
        <v>491</v>
      </c>
      <c r="B492" s="499" t="s">
        <v>1384</v>
      </c>
      <c r="D492" s="507"/>
    </row>
    <row r="493" spans="1:4" ht="20.399999999999999" x14ac:dyDescent="0.3">
      <c r="A493" s="550">
        <v>492</v>
      </c>
      <c r="B493" s="496" t="s">
        <v>1385</v>
      </c>
      <c r="D493" s="507"/>
    </row>
    <row r="494" spans="1:4" ht="20.399999999999999" x14ac:dyDescent="0.3">
      <c r="A494" s="550">
        <v>493</v>
      </c>
      <c r="B494" s="496" t="s">
        <v>1386</v>
      </c>
      <c r="D494" s="507"/>
    </row>
    <row r="495" spans="1:4" x14ac:dyDescent="0.3">
      <c r="A495" s="550">
        <v>494</v>
      </c>
      <c r="B495" s="499" t="s">
        <v>1387</v>
      </c>
      <c r="D495" s="507"/>
    </row>
    <row r="496" spans="1:4" ht="20.399999999999999" x14ac:dyDescent="0.3">
      <c r="A496" s="550">
        <v>495</v>
      </c>
      <c r="B496" s="496" t="s">
        <v>1388</v>
      </c>
      <c r="D496" s="507"/>
    </row>
    <row r="497" spans="1:4" ht="20.399999999999999" x14ac:dyDescent="0.3">
      <c r="A497" s="550">
        <v>496</v>
      </c>
      <c r="B497" s="496" t="s">
        <v>1389</v>
      </c>
      <c r="D497" s="507"/>
    </row>
    <row r="498" spans="1:4" x14ac:dyDescent="0.3">
      <c r="A498" s="550">
        <v>497</v>
      </c>
      <c r="B498" s="496" t="s">
        <v>1390</v>
      </c>
      <c r="D498" s="507"/>
    </row>
    <row r="499" spans="1:4" x14ac:dyDescent="0.3">
      <c r="A499" s="550">
        <v>498</v>
      </c>
      <c r="B499" s="496" t="s">
        <v>1391</v>
      </c>
      <c r="D499" s="507"/>
    </row>
    <row r="500" spans="1:4" x14ac:dyDescent="0.3">
      <c r="A500" s="550">
        <v>499</v>
      </c>
      <c r="B500" s="496" t="s">
        <v>1392</v>
      </c>
      <c r="D500" s="507"/>
    </row>
    <row r="501" spans="1:4" x14ac:dyDescent="0.3">
      <c r="A501" s="550">
        <v>500</v>
      </c>
      <c r="B501" s="1" t="s">
        <v>1393</v>
      </c>
      <c r="D501" s="507"/>
    </row>
    <row r="502" spans="1:4" ht="20.399999999999999" x14ac:dyDescent="0.3">
      <c r="A502" s="550">
        <v>501</v>
      </c>
      <c r="B502" s="495" t="s">
        <v>1394</v>
      </c>
      <c r="D502" s="507"/>
    </row>
    <row r="503" spans="1:4" ht="20.399999999999999" x14ac:dyDescent="0.3">
      <c r="A503" s="550">
        <v>502</v>
      </c>
      <c r="B503" s="496" t="s">
        <v>1395</v>
      </c>
      <c r="D503" s="507"/>
    </row>
    <row r="504" spans="1:4" ht="20.399999999999999" x14ac:dyDescent="0.3">
      <c r="A504" s="550">
        <v>503</v>
      </c>
      <c r="B504" s="496" t="s">
        <v>1396</v>
      </c>
      <c r="D504" s="507"/>
    </row>
    <row r="505" spans="1:4" x14ac:dyDescent="0.3">
      <c r="A505" s="550">
        <v>504</v>
      </c>
      <c r="B505" s="499" t="s">
        <v>1397</v>
      </c>
      <c r="D505" s="507"/>
    </row>
    <row r="506" spans="1:4" x14ac:dyDescent="0.3">
      <c r="A506" s="550">
        <v>505</v>
      </c>
      <c r="B506" s="563" t="s">
        <v>1398</v>
      </c>
      <c r="D506" s="507"/>
    </row>
    <row r="507" spans="1:4" x14ac:dyDescent="0.3">
      <c r="A507" s="550">
        <v>506</v>
      </c>
      <c r="B507" s="563" t="s">
        <v>1399</v>
      </c>
      <c r="D507" s="507"/>
    </row>
    <row r="508" spans="1:4" x14ac:dyDescent="0.3">
      <c r="A508" s="550">
        <v>507</v>
      </c>
      <c r="B508" s="615" t="s">
        <v>1400</v>
      </c>
      <c r="D508" s="507"/>
    </row>
    <row r="509" spans="1:4" x14ac:dyDescent="0.3">
      <c r="A509" s="550">
        <v>508</v>
      </c>
      <c r="B509" s="496" t="s">
        <v>1401</v>
      </c>
      <c r="D509" s="507"/>
    </row>
    <row r="510" spans="1:4" x14ac:dyDescent="0.3">
      <c r="A510" s="550">
        <v>509</v>
      </c>
      <c r="B510" s="505" t="s">
        <v>1402</v>
      </c>
      <c r="D510" s="507"/>
    </row>
    <row r="511" spans="1:4" x14ac:dyDescent="0.3">
      <c r="A511" s="550">
        <v>510</v>
      </c>
      <c r="B511" s="499" t="s">
        <v>1403</v>
      </c>
      <c r="D511" s="507"/>
    </row>
    <row r="512" spans="1:4" ht="20.399999999999999" x14ac:dyDescent="0.3">
      <c r="A512" s="550">
        <v>511</v>
      </c>
      <c r="B512" s="496" t="s">
        <v>1404</v>
      </c>
      <c r="D512" s="507"/>
    </row>
    <row r="513" spans="1:4" ht="20.399999999999999" x14ac:dyDescent="0.3">
      <c r="A513" s="550">
        <v>512</v>
      </c>
      <c r="B513" s="496" t="s">
        <v>1405</v>
      </c>
      <c r="D513" s="507"/>
    </row>
    <row r="514" spans="1:4" ht="26.4" x14ac:dyDescent="0.3">
      <c r="A514" s="550">
        <v>513</v>
      </c>
      <c r="B514" s="499" t="s">
        <v>1406</v>
      </c>
      <c r="D514" s="507"/>
    </row>
    <row r="515" spans="1:4" ht="20.399999999999999" x14ac:dyDescent="0.3">
      <c r="A515" s="550">
        <v>514</v>
      </c>
      <c r="B515" s="495" t="s">
        <v>1407</v>
      </c>
      <c r="D515" s="507"/>
    </row>
    <row r="516" spans="1:4" x14ac:dyDescent="0.3">
      <c r="A516" s="550">
        <v>515</v>
      </c>
      <c r="B516" s="495" t="s">
        <v>1408</v>
      </c>
      <c r="D516" s="507"/>
    </row>
    <row r="517" spans="1:4" ht="40.799999999999997" x14ac:dyDescent="0.3">
      <c r="A517" s="550">
        <v>516</v>
      </c>
      <c r="B517" s="496" t="s">
        <v>1409</v>
      </c>
      <c r="D517" s="507"/>
    </row>
    <row r="518" spans="1:4" x14ac:dyDescent="0.3">
      <c r="A518" s="550">
        <v>517</v>
      </c>
      <c r="B518" s="496" t="s">
        <v>1410</v>
      </c>
      <c r="D518" s="507"/>
    </row>
    <row r="519" spans="1:4" ht="30.6" x14ac:dyDescent="0.3">
      <c r="A519" s="550">
        <v>518</v>
      </c>
      <c r="B519" s="496" t="s">
        <v>1411</v>
      </c>
      <c r="D519" s="507"/>
    </row>
    <row r="520" spans="1:4" x14ac:dyDescent="0.3">
      <c r="A520" s="550">
        <v>519</v>
      </c>
      <c r="B520" s="18" t="s">
        <v>1412</v>
      </c>
      <c r="D520" s="507"/>
    </row>
    <row r="521" spans="1:4" x14ac:dyDescent="0.3">
      <c r="A521" s="550">
        <v>520</v>
      </c>
      <c r="B521" s="495" t="s">
        <v>1413</v>
      </c>
      <c r="D521" s="507"/>
    </row>
    <row r="522" spans="1:4" x14ac:dyDescent="0.3">
      <c r="A522" s="550">
        <v>521</v>
      </c>
      <c r="B522" s="496" t="s">
        <v>1414</v>
      </c>
      <c r="D522" s="507"/>
    </row>
    <row r="523" spans="1:4" ht="20.399999999999999" x14ac:dyDescent="0.3">
      <c r="A523" s="550">
        <v>522</v>
      </c>
      <c r="B523" s="496" t="s">
        <v>1415</v>
      </c>
      <c r="D523" s="507"/>
    </row>
    <row r="524" spans="1:4" ht="30.6" x14ac:dyDescent="0.3">
      <c r="A524" s="550">
        <v>523</v>
      </c>
      <c r="B524" s="496" t="s">
        <v>1416</v>
      </c>
      <c r="D524" s="507"/>
    </row>
    <row r="525" spans="1:4" ht="51" x14ac:dyDescent="0.3">
      <c r="A525" s="550">
        <v>524</v>
      </c>
      <c r="B525" s="496" t="s">
        <v>1417</v>
      </c>
      <c r="D525" s="507"/>
    </row>
    <row r="526" spans="1:4" ht="30.6" x14ac:dyDescent="0.3">
      <c r="A526" s="550">
        <v>525</v>
      </c>
      <c r="B526" s="496" t="s">
        <v>1418</v>
      </c>
      <c r="D526" s="507"/>
    </row>
    <row r="527" spans="1:4" x14ac:dyDescent="0.3">
      <c r="A527" s="550">
        <v>526</v>
      </c>
      <c r="B527" s="496" t="s">
        <v>1419</v>
      </c>
      <c r="D527" s="507"/>
    </row>
    <row r="528" spans="1:4" x14ac:dyDescent="0.3">
      <c r="A528" s="550">
        <v>527</v>
      </c>
      <c r="B528" s="18" t="s">
        <v>1420</v>
      </c>
      <c r="D528" s="507"/>
    </row>
    <row r="529" spans="1:4" x14ac:dyDescent="0.3">
      <c r="A529" s="550">
        <v>528</v>
      </c>
      <c r="B529" s="505" t="s">
        <v>1421</v>
      </c>
      <c r="D529" s="507"/>
    </row>
    <row r="530" spans="1:4" x14ac:dyDescent="0.3">
      <c r="A530" s="550">
        <v>529</v>
      </c>
      <c r="B530" s="499" t="s">
        <v>1422</v>
      </c>
      <c r="D530" s="507"/>
    </row>
    <row r="531" spans="1:4" ht="20.399999999999999" x14ac:dyDescent="0.3">
      <c r="A531" s="550">
        <v>530</v>
      </c>
      <c r="B531" s="496" t="s">
        <v>1423</v>
      </c>
      <c r="D531" s="507"/>
    </row>
    <row r="532" spans="1:4" x14ac:dyDescent="0.3">
      <c r="A532" s="550">
        <v>531</v>
      </c>
      <c r="B532" s="1125" t="s">
        <v>1424</v>
      </c>
      <c r="D532" s="507"/>
    </row>
    <row r="533" spans="1:4" x14ac:dyDescent="0.3">
      <c r="A533" s="550">
        <v>532</v>
      </c>
      <c r="B533" s="499" t="s">
        <v>1425</v>
      </c>
      <c r="D533" s="507"/>
    </row>
    <row r="534" spans="1:4" ht="20.399999999999999" x14ac:dyDescent="0.3">
      <c r="A534" s="550">
        <v>533</v>
      </c>
      <c r="B534" s="496" t="s">
        <v>1426</v>
      </c>
      <c r="D534" s="507"/>
    </row>
    <row r="535" spans="1:4" x14ac:dyDescent="0.3">
      <c r="A535" s="550">
        <v>534</v>
      </c>
      <c r="B535" s="502" t="s">
        <v>1427</v>
      </c>
      <c r="D535" s="507"/>
    </row>
    <row r="536" spans="1:4" x14ac:dyDescent="0.3">
      <c r="A536" s="550">
        <v>535</v>
      </c>
      <c r="B536" s="1125" t="s">
        <v>1428</v>
      </c>
      <c r="D536" s="507"/>
    </row>
    <row r="537" spans="1:4" ht="26.4" x14ac:dyDescent="0.3">
      <c r="A537" s="550">
        <v>536</v>
      </c>
      <c r="B537" s="499" t="s">
        <v>1429</v>
      </c>
      <c r="D537" s="507"/>
    </row>
    <row r="538" spans="1:4" ht="20.399999999999999" x14ac:dyDescent="0.3">
      <c r="A538" s="550">
        <v>537</v>
      </c>
      <c r="B538" s="496" t="s">
        <v>1430</v>
      </c>
      <c r="D538" s="507"/>
    </row>
    <row r="539" spans="1:4" ht="20.399999999999999" x14ac:dyDescent="0.3">
      <c r="A539" s="550">
        <v>538</v>
      </c>
      <c r="B539" s="496" t="s">
        <v>1431</v>
      </c>
      <c r="D539" s="507"/>
    </row>
    <row r="540" spans="1:4" x14ac:dyDescent="0.3">
      <c r="A540" s="550">
        <v>539</v>
      </c>
      <c r="B540" s="499" t="s">
        <v>1432</v>
      </c>
      <c r="D540" s="507"/>
    </row>
    <row r="541" spans="1:4" ht="30.6" x14ac:dyDescent="0.3">
      <c r="A541" s="550">
        <v>540</v>
      </c>
      <c r="B541" s="496" t="s">
        <v>1433</v>
      </c>
      <c r="D541" s="507"/>
    </row>
    <row r="542" spans="1:4" x14ac:dyDescent="0.3">
      <c r="A542" s="550">
        <v>541</v>
      </c>
      <c r="B542" s="604" t="s">
        <v>1434</v>
      </c>
      <c r="D542" s="507"/>
    </row>
    <row r="543" spans="1:4" x14ac:dyDescent="0.3">
      <c r="A543" s="550">
        <v>542</v>
      </c>
      <c r="B543" s="499" t="s">
        <v>1435</v>
      </c>
      <c r="D543" s="507"/>
    </row>
    <row r="544" spans="1:4" x14ac:dyDescent="0.3">
      <c r="A544" s="550">
        <v>543</v>
      </c>
      <c r="B544" s="1125" t="s">
        <v>1436</v>
      </c>
      <c r="D544" s="507"/>
    </row>
    <row r="545" spans="1:4" x14ac:dyDescent="0.3">
      <c r="A545" s="550">
        <v>544</v>
      </c>
      <c r="B545" s="499" t="s">
        <v>1437</v>
      </c>
      <c r="D545" s="507"/>
    </row>
    <row r="546" spans="1:4" x14ac:dyDescent="0.3">
      <c r="A546" s="550">
        <v>545</v>
      </c>
      <c r="B546" s="496" t="s">
        <v>1438</v>
      </c>
      <c r="D546" s="507"/>
    </row>
    <row r="547" spans="1:4" x14ac:dyDescent="0.3">
      <c r="A547" s="550">
        <v>546</v>
      </c>
      <c r="B547" s="496" t="s">
        <v>1439</v>
      </c>
      <c r="D547" s="507"/>
    </row>
    <row r="548" spans="1:4" x14ac:dyDescent="0.3">
      <c r="A548" s="550">
        <v>547</v>
      </c>
      <c r="B548" s="1125" t="s">
        <v>1440</v>
      </c>
      <c r="D548" s="507"/>
    </row>
    <row r="549" spans="1:4" x14ac:dyDescent="0.3">
      <c r="A549" s="550">
        <v>548</v>
      </c>
      <c r="B549" s="505" t="s">
        <v>1441</v>
      </c>
      <c r="D549" s="507"/>
    </row>
    <row r="550" spans="1:4" ht="20.399999999999999" x14ac:dyDescent="0.3">
      <c r="A550" s="550">
        <v>549</v>
      </c>
      <c r="B550" s="496" t="s">
        <v>1442</v>
      </c>
      <c r="D550" s="507"/>
    </row>
    <row r="551" spans="1:4" x14ac:dyDescent="0.3">
      <c r="A551" s="550">
        <v>550</v>
      </c>
      <c r="B551" s="496" t="s">
        <v>1443</v>
      </c>
      <c r="D551" s="507"/>
    </row>
    <row r="552" spans="1:4" ht="20.399999999999999" x14ac:dyDescent="0.3">
      <c r="A552" s="550">
        <v>551</v>
      </c>
      <c r="B552" s="496" t="s">
        <v>1444</v>
      </c>
      <c r="D552" s="507"/>
    </row>
    <row r="553" spans="1:4" ht="26.4" x14ac:dyDescent="0.3">
      <c r="A553" s="550">
        <v>552</v>
      </c>
      <c r="B553" s="499" t="s">
        <v>1445</v>
      </c>
      <c r="D553" s="507"/>
    </row>
    <row r="554" spans="1:4" ht="20.399999999999999" x14ac:dyDescent="0.3">
      <c r="A554" s="550">
        <v>553</v>
      </c>
      <c r="B554" s="496" t="s">
        <v>1446</v>
      </c>
      <c r="D554" s="507"/>
    </row>
    <row r="555" spans="1:4" ht="40.799999999999997" x14ac:dyDescent="0.3">
      <c r="A555" s="550">
        <v>554</v>
      </c>
      <c r="B555" s="496" t="s">
        <v>1447</v>
      </c>
      <c r="D555" s="507"/>
    </row>
    <row r="556" spans="1:4" x14ac:dyDescent="0.3">
      <c r="A556" s="550">
        <v>555</v>
      </c>
      <c r="B556" s="1125" t="s">
        <v>1448</v>
      </c>
      <c r="D556" s="507"/>
    </row>
    <row r="557" spans="1:4" x14ac:dyDescent="0.3">
      <c r="A557" s="550">
        <v>556</v>
      </c>
      <c r="B557" s="1125" t="s">
        <v>1449</v>
      </c>
      <c r="D557" s="507"/>
    </row>
    <row r="558" spans="1:4" x14ac:dyDescent="0.3">
      <c r="A558" s="550">
        <v>557</v>
      </c>
      <c r="B558" s="1125" t="s">
        <v>1450</v>
      </c>
      <c r="D558" s="507"/>
    </row>
    <row r="559" spans="1:4" ht="26.4" x14ac:dyDescent="0.3">
      <c r="A559" s="550">
        <v>558</v>
      </c>
      <c r="B559" s="499" t="s">
        <v>1451</v>
      </c>
      <c r="D559" s="507"/>
    </row>
    <row r="560" spans="1:4" ht="30.6" x14ac:dyDescent="0.3">
      <c r="A560" s="550">
        <v>559</v>
      </c>
      <c r="B560" s="496" t="s">
        <v>1452</v>
      </c>
      <c r="D560" s="507"/>
    </row>
    <row r="561" spans="1:4" x14ac:dyDescent="0.3">
      <c r="A561" s="550">
        <v>560</v>
      </c>
      <c r="B561" s="496" t="s">
        <v>1453</v>
      </c>
      <c r="D561" s="507"/>
    </row>
    <row r="562" spans="1:4" x14ac:dyDescent="0.3">
      <c r="A562" s="550">
        <v>561</v>
      </c>
      <c r="B562" s="502" t="s">
        <v>1454</v>
      </c>
      <c r="D562" s="507"/>
    </row>
    <row r="563" spans="1:4" x14ac:dyDescent="0.3">
      <c r="A563" s="550">
        <v>562</v>
      </c>
      <c r="B563" s="499" t="s">
        <v>1455</v>
      </c>
      <c r="D563" s="507"/>
    </row>
    <row r="564" spans="1:4" ht="20.399999999999999" x14ac:dyDescent="0.3">
      <c r="A564" s="550">
        <v>563</v>
      </c>
      <c r="B564" s="495" t="s">
        <v>1456</v>
      </c>
      <c r="D564" s="507"/>
    </row>
    <row r="565" spans="1:4" ht="20.399999999999999" x14ac:dyDescent="0.3">
      <c r="A565" s="550">
        <v>564</v>
      </c>
      <c r="B565" s="495" t="s">
        <v>1457</v>
      </c>
      <c r="D565" s="507"/>
    </row>
    <row r="566" spans="1:4" ht="26.4" x14ac:dyDescent="0.3">
      <c r="A566" s="550">
        <v>565</v>
      </c>
      <c r="B566" s="502" t="s">
        <v>1458</v>
      </c>
      <c r="D566" s="507"/>
    </row>
    <row r="567" spans="1:4" x14ac:dyDescent="0.3">
      <c r="A567" s="550">
        <v>566</v>
      </c>
      <c r="B567" s="604" t="s">
        <v>1459</v>
      </c>
      <c r="D567" s="507"/>
    </row>
    <row r="568" spans="1:4" ht="26.4" x14ac:dyDescent="0.3">
      <c r="A568" s="550">
        <v>567</v>
      </c>
      <c r="B568" s="502" t="s">
        <v>1460</v>
      </c>
      <c r="D568" s="507"/>
    </row>
    <row r="569" spans="1:4" x14ac:dyDescent="0.3">
      <c r="A569" s="550">
        <v>568</v>
      </c>
      <c r="B569" s="604" t="s">
        <v>1461</v>
      </c>
      <c r="D569" s="507"/>
    </row>
    <row r="570" spans="1:4" x14ac:dyDescent="0.3">
      <c r="A570" s="550">
        <v>569</v>
      </c>
      <c r="B570" s="499" t="s">
        <v>1462</v>
      </c>
      <c r="D570" s="507"/>
    </row>
    <row r="571" spans="1:4" x14ac:dyDescent="0.3">
      <c r="A571" s="550">
        <v>570</v>
      </c>
      <c r="B571" s="496" t="s">
        <v>1463</v>
      </c>
      <c r="D571" s="507"/>
    </row>
    <row r="572" spans="1:4" x14ac:dyDescent="0.3">
      <c r="A572" s="550">
        <v>571</v>
      </c>
      <c r="B572" s="1125" t="s">
        <v>1464</v>
      </c>
      <c r="D572" s="507"/>
    </row>
    <row r="573" spans="1:4" x14ac:dyDescent="0.3">
      <c r="A573" s="550">
        <v>572</v>
      </c>
      <c r="B573" s="505" t="s">
        <v>1465</v>
      </c>
      <c r="D573" s="507"/>
    </row>
    <row r="574" spans="1:4" ht="26.4" x14ac:dyDescent="0.3">
      <c r="A574" s="550">
        <v>573</v>
      </c>
      <c r="B574" s="499" t="s">
        <v>1466</v>
      </c>
      <c r="D574" s="507"/>
    </row>
    <row r="575" spans="1:4" x14ac:dyDescent="0.3">
      <c r="A575" s="550">
        <v>574</v>
      </c>
      <c r="B575" s="604" t="s">
        <v>1467</v>
      </c>
      <c r="D575" s="507"/>
    </row>
    <row r="576" spans="1:4" ht="20.399999999999999" x14ac:dyDescent="0.3">
      <c r="A576" s="550">
        <v>575</v>
      </c>
      <c r="B576" s="496" t="s">
        <v>1468</v>
      </c>
      <c r="D576" s="507"/>
    </row>
    <row r="577" spans="1:4" ht="20.399999999999999" x14ac:dyDescent="0.3">
      <c r="A577" s="550">
        <v>576</v>
      </c>
      <c r="B577" s="515" t="s">
        <v>1469</v>
      </c>
      <c r="D577" s="507"/>
    </row>
    <row r="578" spans="1:4" x14ac:dyDescent="0.3">
      <c r="A578" s="550">
        <v>577</v>
      </c>
      <c r="B578" s="518" t="s">
        <v>1470</v>
      </c>
      <c r="D578" s="507"/>
    </row>
    <row r="579" spans="1:4" x14ac:dyDescent="0.3">
      <c r="A579" s="550">
        <v>578</v>
      </c>
      <c r="B579" s="519" t="s">
        <v>1471</v>
      </c>
      <c r="D579" s="507"/>
    </row>
    <row r="580" spans="1:4" x14ac:dyDescent="0.3">
      <c r="A580" s="550">
        <v>579</v>
      </c>
      <c r="B580" s="499" t="s">
        <v>1472</v>
      </c>
      <c r="D580" s="507"/>
    </row>
    <row r="581" spans="1:4" x14ac:dyDescent="0.3">
      <c r="A581" s="550">
        <v>580</v>
      </c>
      <c r="B581" s="564" t="s">
        <v>1473</v>
      </c>
      <c r="D581" s="507"/>
    </row>
    <row r="582" spans="1:4" ht="26.4" x14ac:dyDescent="0.3">
      <c r="A582" s="550">
        <v>581</v>
      </c>
      <c r="B582" s="499" t="s">
        <v>1474</v>
      </c>
      <c r="D582" s="507"/>
    </row>
    <row r="583" spans="1:4" x14ac:dyDescent="0.3">
      <c r="A583" s="550">
        <v>582</v>
      </c>
      <c r="B583" s="515" t="s">
        <v>1475</v>
      </c>
      <c r="D583" s="507"/>
    </row>
    <row r="584" spans="1:4" x14ac:dyDescent="0.3">
      <c r="A584" s="550">
        <v>583</v>
      </c>
      <c r="B584" s="604" t="s">
        <v>1476</v>
      </c>
      <c r="D584" s="507"/>
    </row>
    <row r="585" spans="1:4" ht="26.4" x14ac:dyDescent="0.3">
      <c r="A585" s="550">
        <v>584</v>
      </c>
      <c r="B585" s="499" t="s">
        <v>1477</v>
      </c>
      <c r="D585" s="507"/>
    </row>
    <row r="586" spans="1:4" x14ac:dyDescent="0.3">
      <c r="A586" s="550">
        <v>585</v>
      </c>
      <c r="B586" s="502" t="s">
        <v>1478</v>
      </c>
      <c r="D586" s="507"/>
    </row>
    <row r="587" spans="1:4" x14ac:dyDescent="0.3">
      <c r="A587" s="550">
        <v>586</v>
      </c>
      <c r="B587" s="1125" t="s">
        <v>1479</v>
      </c>
      <c r="D587" s="507"/>
    </row>
    <row r="588" spans="1:4" x14ac:dyDescent="0.3">
      <c r="A588" s="550">
        <v>587</v>
      </c>
      <c r="B588" s="499" t="s">
        <v>1480</v>
      </c>
      <c r="D588" s="507"/>
    </row>
    <row r="589" spans="1:4" ht="20.399999999999999" x14ac:dyDescent="0.3">
      <c r="A589" s="550">
        <v>588</v>
      </c>
      <c r="B589" s="496" t="s">
        <v>1481</v>
      </c>
      <c r="D589" s="507"/>
    </row>
    <row r="590" spans="1:4" ht="20.399999999999999" x14ac:dyDescent="0.3">
      <c r="A590" s="550">
        <v>589</v>
      </c>
      <c r="B590" s="496" t="s">
        <v>1482</v>
      </c>
      <c r="D590" s="507"/>
    </row>
    <row r="591" spans="1:4" x14ac:dyDescent="0.3">
      <c r="A591" s="550">
        <v>590</v>
      </c>
      <c r="B591" s="604" t="s">
        <v>1483</v>
      </c>
      <c r="D591" s="507"/>
    </row>
    <row r="592" spans="1:4" x14ac:dyDescent="0.3">
      <c r="A592" s="550">
        <v>591</v>
      </c>
      <c r="B592" s="604" t="s">
        <v>1484</v>
      </c>
      <c r="D592" s="507"/>
    </row>
    <row r="593" spans="1:4" ht="26.4" x14ac:dyDescent="0.3">
      <c r="A593" s="550">
        <v>592</v>
      </c>
      <c r="B593" s="502" t="s">
        <v>1485</v>
      </c>
      <c r="D593" s="507"/>
    </row>
    <row r="594" spans="1:4" x14ac:dyDescent="0.3">
      <c r="A594" s="550">
        <v>593</v>
      </c>
      <c r="B594" s="604" t="s">
        <v>1486</v>
      </c>
      <c r="D594" s="507"/>
    </row>
    <row r="595" spans="1:4" ht="26.4" x14ac:dyDescent="0.3">
      <c r="A595" s="550">
        <v>594</v>
      </c>
      <c r="B595" s="499" t="s">
        <v>1487</v>
      </c>
      <c r="D595" s="507"/>
    </row>
    <row r="596" spans="1:4" ht="20.399999999999999" x14ac:dyDescent="0.3">
      <c r="A596" s="550">
        <v>595</v>
      </c>
      <c r="B596" s="495" t="s">
        <v>1488</v>
      </c>
      <c r="D596" s="507"/>
    </row>
    <row r="597" spans="1:4" x14ac:dyDescent="0.3">
      <c r="A597" s="550">
        <v>596</v>
      </c>
      <c r="B597" s="495" t="s">
        <v>1489</v>
      </c>
      <c r="D597" s="507"/>
    </row>
    <row r="598" spans="1:4" x14ac:dyDescent="0.3">
      <c r="A598" s="550">
        <v>597</v>
      </c>
      <c r="B598" s="604" t="s">
        <v>1490</v>
      </c>
      <c r="D598" s="507"/>
    </row>
    <row r="599" spans="1:4" x14ac:dyDescent="0.3">
      <c r="A599" s="550">
        <v>598</v>
      </c>
      <c r="B599" s="499" t="s">
        <v>1491</v>
      </c>
      <c r="D599" s="507"/>
    </row>
    <row r="600" spans="1:4" ht="20.399999999999999" x14ac:dyDescent="0.3">
      <c r="A600" s="550">
        <v>599</v>
      </c>
      <c r="B600" s="496" t="s">
        <v>1492</v>
      </c>
      <c r="D600" s="507"/>
    </row>
    <row r="601" spans="1:4" x14ac:dyDescent="0.3">
      <c r="A601" s="550">
        <v>600</v>
      </c>
      <c r="B601" s="499" t="s">
        <v>1493</v>
      </c>
      <c r="D601" s="507"/>
    </row>
    <row r="602" spans="1:4" ht="20.399999999999999" x14ac:dyDescent="0.3">
      <c r="A602" s="550">
        <v>601</v>
      </c>
      <c r="B602" s="496" t="s">
        <v>1494</v>
      </c>
      <c r="D602" s="507"/>
    </row>
    <row r="603" spans="1:4" ht="30.6" x14ac:dyDescent="0.3">
      <c r="A603" s="550">
        <v>602</v>
      </c>
      <c r="B603" s="496" t="s">
        <v>1495</v>
      </c>
      <c r="D603" s="507"/>
    </row>
    <row r="604" spans="1:4" ht="21" thickBot="1" x14ac:dyDescent="0.35">
      <c r="A604" s="550">
        <v>603</v>
      </c>
      <c r="B604" s="495" t="s">
        <v>1496</v>
      </c>
      <c r="D604" s="507"/>
    </row>
    <row r="605" spans="1:4" x14ac:dyDescent="0.3">
      <c r="A605" s="550">
        <v>604</v>
      </c>
      <c r="B605" s="565" t="s">
        <v>1497</v>
      </c>
      <c r="D605" s="507"/>
    </row>
    <row r="606" spans="1:4" ht="15.6" x14ac:dyDescent="0.3">
      <c r="A606" s="550">
        <v>605</v>
      </c>
      <c r="B606" s="497" t="s">
        <v>1498</v>
      </c>
      <c r="D606" s="507"/>
    </row>
    <row r="607" spans="1:4" x14ac:dyDescent="0.3">
      <c r="A607" s="550">
        <v>606</v>
      </c>
      <c r="B607" s="505" t="s">
        <v>1499</v>
      </c>
      <c r="D607" s="507"/>
    </row>
    <row r="608" spans="1:4" ht="20.399999999999999" x14ac:dyDescent="0.3">
      <c r="A608" s="550">
        <v>607</v>
      </c>
      <c r="B608" s="495" t="s">
        <v>1500</v>
      </c>
      <c r="D608" s="507"/>
    </row>
    <row r="609" spans="1:4" x14ac:dyDescent="0.3">
      <c r="A609" s="550">
        <v>608</v>
      </c>
      <c r="B609" s="495" t="s">
        <v>1501</v>
      </c>
      <c r="D609" s="507"/>
    </row>
    <row r="610" spans="1:4" ht="26.4" x14ac:dyDescent="0.3">
      <c r="A610" s="550">
        <v>609</v>
      </c>
      <c r="B610" s="499" t="s">
        <v>1502</v>
      </c>
      <c r="D610" s="507"/>
    </row>
    <row r="611" spans="1:4" ht="20.399999999999999" x14ac:dyDescent="0.3">
      <c r="A611" s="550">
        <v>610</v>
      </c>
      <c r="B611" s="496" t="s">
        <v>1503</v>
      </c>
      <c r="D611" s="507"/>
    </row>
    <row r="612" spans="1:4" ht="26.4" x14ac:dyDescent="0.3">
      <c r="A612" s="550">
        <v>611</v>
      </c>
      <c r="B612" s="499" t="s">
        <v>1504</v>
      </c>
      <c r="D612" s="507"/>
    </row>
    <row r="613" spans="1:4" ht="20.399999999999999" x14ac:dyDescent="0.3">
      <c r="A613" s="550">
        <v>612</v>
      </c>
      <c r="B613" s="496" t="s">
        <v>1505</v>
      </c>
      <c r="D613" s="507"/>
    </row>
    <row r="614" spans="1:4" x14ac:dyDescent="0.3">
      <c r="A614" s="550">
        <v>613</v>
      </c>
      <c r="B614" s="502" t="s">
        <v>1506</v>
      </c>
      <c r="D614" s="507"/>
    </row>
    <row r="615" spans="1:4" ht="26.4" x14ac:dyDescent="0.3">
      <c r="A615" s="550">
        <v>614</v>
      </c>
      <c r="B615" s="499" t="s">
        <v>1507</v>
      </c>
      <c r="D615" s="507"/>
    </row>
    <row r="616" spans="1:4" x14ac:dyDescent="0.3">
      <c r="A616" s="550">
        <v>615</v>
      </c>
      <c r="B616" s="1" t="s">
        <v>1508</v>
      </c>
      <c r="D616" s="507"/>
    </row>
    <row r="617" spans="1:4" ht="20.399999999999999" x14ac:dyDescent="0.3">
      <c r="A617" s="550">
        <v>616</v>
      </c>
      <c r="B617" s="496" t="s">
        <v>1509</v>
      </c>
      <c r="D617" s="507"/>
    </row>
    <row r="618" spans="1:4" x14ac:dyDescent="0.3">
      <c r="A618" s="550">
        <v>617</v>
      </c>
      <c r="B618" s="502" t="s">
        <v>1510</v>
      </c>
      <c r="D618" s="507"/>
    </row>
    <row r="619" spans="1:4" x14ac:dyDescent="0.3">
      <c r="A619" s="550">
        <v>618</v>
      </c>
      <c r="B619" s="566" t="s">
        <v>1511</v>
      </c>
      <c r="D619" s="507"/>
    </row>
    <row r="620" spans="1:4" x14ac:dyDescent="0.3">
      <c r="A620" s="550">
        <v>619</v>
      </c>
      <c r="B620" s="567" t="s">
        <v>1512</v>
      </c>
      <c r="D620" s="507"/>
    </row>
    <row r="621" spans="1:4" x14ac:dyDescent="0.3">
      <c r="A621" s="550">
        <v>620</v>
      </c>
      <c r="B621" s="499" t="s">
        <v>1513</v>
      </c>
      <c r="D621" s="507"/>
    </row>
    <row r="622" spans="1:4" x14ac:dyDescent="0.3">
      <c r="A622" s="550">
        <v>621</v>
      </c>
      <c r="B622" s="604" t="s">
        <v>1514</v>
      </c>
      <c r="D622" s="507"/>
    </row>
    <row r="623" spans="1:4" x14ac:dyDescent="0.3">
      <c r="A623" s="550">
        <v>622</v>
      </c>
      <c r="B623" s="499" t="s">
        <v>1515</v>
      </c>
      <c r="D623" s="507"/>
    </row>
    <row r="624" spans="1:4" x14ac:dyDescent="0.3">
      <c r="A624" s="550">
        <v>623</v>
      </c>
      <c r="B624" s="496" t="s">
        <v>1516</v>
      </c>
      <c r="D624" s="507"/>
    </row>
    <row r="625" spans="1:4" x14ac:dyDescent="0.3">
      <c r="A625" s="550">
        <v>624</v>
      </c>
      <c r="B625" s="499" t="s">
        <v>1517</v>
      </c>
      <c r="D625" s="507"/>
    </row>
    <row r="626" spans="1:4" x14ac:dyDescent="0.3">
      <c r="A626" s="550">
        <v>625</v>
      </c>
      <c r="B626" s="499" t="s">
        <v>1518</v>
      </c>
      <c r="D626" s="507"/>
    </row>
    <row r="627" spans="1:4" x14ac:dyDescent="0.3">
      <c r="A627" s="550">
        <v>626</v>
      </c>
      <c r="B627" s="604" t="s">
        <v>1519</v>
      </c>
      <c r="D627" s="507"/>
    </row>
    <row r="628" spans="1:4" x14ac:dyDescent="0.3">
      <c r="A628" s="550">
        <v>627</v>
      </c>
      <c r="B628" s="499" t="s">
        <v>1520</v>
      </c>
      <c r="D628" s="507"/>
    </row>
    <row r="629" spans="1:4" ht="20.399999999999999" x14ac:dyDescent="0.3">
      <c r="A629" s="550">
        <v>628</v>
      </c>
      <c r="B629" s="496" t="s">
        <v>1521</v>
      </c>
      <c r="D629" s="507"/>
    </row>
    <row r="630" spans="1:4" x14ac:dyDescent="0.3">
      <c r="A630" s="550">
        <v>629</v>
      </c>
      <c r="B630" s="502" t="s">
        <v>1522</v>
      </c>
      <c r="D630" s="507"/>
    </row>
    <row r="631" spans="1:4" x14ac:dyDescent="0.3">
      <c r="A631" s="550">
        <v>630</v>
      </c>
      <c r="B631" s="499" t="s">
        <v>1523</v>
      </c>
      <c r="D631" s="507"/>
    </row>
    <row r="632" spans="1:4" ht="20.399999999999999" x14ac:dyDescent="0.3">
      <c r="A632" s="550">
        <v>631</v>
      </c>
      <c r="B632" s="496" t="s">
        <v>1524</v>
      </c>
      <c r="D632" s="507"/>
    </row>
    <row r="633" spans="1:4" x14ac:dyDescent="0.3">
      <c r="A633" s="550">
        <v>632</v>
      </c>
      <c r="B633" s="499" t="s">
        <v>1525</v>
      </c>
      <c r="D633" s="507"/>
    </row>
    <row r="634" spans="1:4" x14ac:dyDescent="0.3">
      <c r="A634" s="550">
        <v>633</v>
      </c>
      <c r="B634" s="520" t="s">
        <v>1526</v>
      </c>
      <c r="D634" s="507"/>
    </row>
    <row r="635" spans="1:4" x14ac:dyDescent="0.3">
      <c r="A635" s="550">
        <v>634</v>
      </c>
      <c r="B635" s="499" t="s">
        <v>1527</v>
      </c>
      <c r="D635" s="507"/>
    </row>
    <row r="636" spans="1:4" x14ac:dyDescent="0.3">
      <c r="A636" s="550">
        <v>635</v>
      </c>
      <c r="B636" s="604" t="s">
        <v>1528</v>
      </c>
      <c r="D636" s="507"/>
    </row>
    <row r="637" spans="1:4" x14ac:dyDescent="0.3">
      <c r="A637" s="550">
        <v>636</v>
      </c>
      <c r="B637" s="499" t="s">
        <v>1529</v>
      </c>
      <c r="D637" s="507"/>
    </row>
    <row r="638" spans="1:4" x14ac:dyDescent="0.3">
      <c r="A638" s="550">
        <v>637</v>
      </c>
      <c r="B638" s="496" t="s">
        <v>1530</v>
      </c>
      <c r="D638" s="507"/>
    </row>
    <row r="639" spans="1:4" ht="20.399999999999999" x14ac:dyDescent="0.3">
      <c r="A639" s="550">
        <v>638</v>
      </c>
      <c r="B639" s="496" t="s">
        <v>1531</v>
      </c>
      <c r="D639" s="507"/>
    </row>
    <row r="640" spans="1:4" x14ac:dyDescent="0.3">
      <c r="A640" s="550">
        <v>639</v>
      </c>
      <c r="B640" s="615" t="s">
        <v>1532</v>
      </c>
      <c r="D640" s="507"/>
    </row>
    <row r="641" spans="1:4" x14ac:dyDescent="0.3">
      <c r="A641" s="550">
        <v>640</v>
      </c>
      <c r="B641" s="499" t="s">
        <v>1533</v>
      </c>
      <c r="D641" s="507"/>
    </row>
    <row r="642" spans="1:4" ht="20.399999999999999" x14ac:dyDescent="0.3">
      <c r="A642" s="550">
        <v>641</v>
      </c>
      <c r="B642" s="496" t="s">
        <v>1534</v>
      </c>
      <c r="D642" s="507"/>
    </row>
    <row r="643" spans="1:4" x14ac:dyDescent="0.3">
      <c r="A643" s="550">
        <v>642</v>
      </c>
      <c r="B643" s="604" t="s">
        <v>1535</v>
      </c>
      <c r="D643" s="507"/>
    </row>
    <row r="644" spans="1:4" x14ac:dyDescent="0.3">
      <c r="A644" s="550">
        <v>643</v>
      </c>
      <c r="B644" s="604" t="s">
        <v>1536</v>
      </c>
      <c r="D644" s="507"/>
    </row>
    <row r="645" spans="1:4" x14ac:dyDescent="0.3">
      <c r="A645" s="550">
        <v>644</v>
      </c>
      <c r="B645" s="505" t="s">
        <v>1537</v>
      </c>
      <c r="D645" s="507"/>
    </row>
    <row r="646" spans="1:4" x14ac:dyDescent="0.3">
      <c r="A646" s="550">
        <v>645</v>
      </c>
      <c r="B646" s="499" t="s">
        <v>1538</v>
      </c>
      <c r="D646" s="507"/>
    </row>
    <row r="647" spans="1:4" ht="30.6" x14ac:dyDescent="0.3">
      <c r="A647" s="550">
        <v>646</v>
      </c>
      <c r="B647" s="496" t="s">
        <v>1539</v>
      </c>
      <c r="D647" s="507"/>
    </row>
    <row r="648" spans="1:4" x14ac:dyDescent="0.3">
      <c r="A648" s="550">
        <v>647</v>
      </c>
      <c r="B648" s="499" t="s">
        <v>1540</v>
      </c>
      <c r="D648" s="507"/>
    </row>
    <row r="649" spans="1:4" ht="20.399999999999999" x14ac:dyDescent="0.3">
      <c r="A649" s="550">
        <v>648</v>
      </c>
      <c r="B649" s="496" t="s">
        <v>1541</v>
      </c>
      <c r="D649" s="507"/>
    </row>
    <row r="650" spans="1:4" x14ac:dyDescent="0.3">
      <c r="A650" s="550">
        <v>649</v>
      </c>
      <c r="B650" s="1125" t="s">
        <v>574</v>
      </c>
      <c r="D650" s="507"/>
    </row>
    <row r="651" spans="1:4" x14ac:dyDescent="0.3">
      <c r="A651" s="550">
        <v>650</v>
      </c>
      <c r="B651" s="1125" t="s">
        <v>1542</v>
      </c>
      <c r="D651" s="507"/>
    </row>
    <row r="652" spans="1:4" x14ac:dyDescent="0.3">
      <c r="A652" s="550">
        <v>651</v>
      </c>
      <c r="B652" s="502" t="s">
        <v>1543</v>
      </c>
      <c r="D652" s="507"/>
    </row>
    <row r="653" spans="1:4" x14ac:dyDescent="0.3">
      <c r="A653" s="550">
        <v>652</v>
      </c>
      <c r="B653" s="1125" t="s">
        <v>1544</v>
      </c>
      <c r="D653" s="507"/>
    </row>
    <row r="654" spans="1:4" x14ac:dyDescent="0.3">
      <c r="A654" s="550">
        <v>653</v>
      </c>
      <c r="B654" s="502" t="s">
        <v>1545</v>
      </c>
      <c r="D654" s="507"/>
    </row>
    <row r="655" spans="1:4" x14ac:dyDescent="0.3">
      <c r="A655" s="550">
        <v>654</v>
      </c>
      <c r="B655" s="1125" t="s">
        <v>1546</v>
      </c>
      <c r="D655" s="507"/>
    </row>
    <row r="656" spans="1:4" x14ac:dyDescent="0.3">
      <c r="A656" s="550">
        <v>655</v>
      </c>
      <c r="B656" s="502" t="s">
        <v>1547</v>
      </c>
      <c r="D656" s="507"/>
    </row>
    <row r="657" spans="1:4" x14ac:dyDescent="0.3">
      <c r="A657" s="550">
        <v>656</v>
      </c>
      <c r="B657" s="1125" t="s">
        <v>1548</v>
      </c>
      <c r="D657" s="507"/>
    </row>
    <row r="658" spans="1:4" x14ac:dyDescent="0.3">
      <c r="A658" s="550">
        <v>657</v>
      </c>
      <c r="B658" s="502" t="s">
        <v>1549</v>
      </c>
      <c r="D658" s="507"/>
    </row>
    <row r="659" spans="1:4" x14ac:dyDescent="0.3">
      <c r="A659" s="550">
        <v>658</v>
      </c>
      <c r="B659" s="1125" t="s">
        <v>1550</v>
      </c>
      <c r="D659" s="507"/>
    </row>
    <row r="660" spans="1:4" ht="26.4" x14ac:dyDescent="0.3">
      <c r="A660" s="550">
        <v>659</v>
      </c>
      <c r="B660" s="502" t="s">
        <v>1551</v>
      </c>
      <c r="D660" s="507"/>
    </row>
    <row r="661" spans="1:4" x14ac:dyDescent="0.3">
      <c r="A661" s="550">
        <v>660</v>
      </c>
      <c r="B661" s="1125" t="s">
        <v>1552</v>
      </c>
      <c r="D661" s="507"/>
    </row>
    <row r="662" spans="1:4" ht="15" thickBot="1" x14ac:dyDescent="0.35">
      <c r="A662" s="550">
        <v>661</v>
      </c>
      <c r="B662" s="604" t="s">
        <v>1553</v>
      </c>
      <c r="D662" s="507"/>
    </row>
    <row r="663" spans="1:4" ht="26.4" x14ac:dyDescent="0.3">
      <c r="A663" s="550">
        <v>662</v>
      </c>
      <c r="B663" s="527" t="s">
        <v>1554</v>
      </c>
      <c r="D663" s="507"/>
    </row>
    <row r="664" spans="1:4" ht="34.799999999999997" x14ac:dyDescent="0.3">
      <c r="A664" s="550">
        <v>663</v>
      </c>
      <c r="B664" s="498" t="s">
        <v>1555</v>
      </c>
      <c r="D664" s="507"/>
    </row>
    <row r="665" spans="1:4" ht="26.4" x14ac:dyDescent="0.3">
      <c r="A665" s="550">
        <v>664</v>
      </c>
      <c r="B665" s="609" t="s">
        <v>1556</v>
      </c>
      <c r="D665" s="507"/>
    </row>
    <row r="666" spans="1:4" ht="15.6" x14ac:dyDescent="0.3">
      <c r="A666" s="550">
        <v>665</v>
      </c>
      <c r="B666" s="497" t="s">
        <v>1557</v>
      </c>
      <c r="D666" s="507"/>
    </row>
    <row r="667" spans="1:4" x14ac:dyDescent="0.3">
      <c r="A667" s="550">
        <v>666</v>
      </c>
      <c r="B667" s="603" t="s">
        <v>1558</v>
      </c>
      <c r="D667" s="507"/>
    </row>
    <row r="668" spans="1:4" x14ac:dyDescent="0.3">
      <c r="A668" s="550">
        <v>667</v>
      </c>
      <c r="B668" s="603" t="s">
        <v>1559</v>
      </c>
      <c r="D668" s="507"/>
    </row>
    <row r="669" spans="1:4" x14ac:dyDescent="0.3">
      <c r="A669" s="550">
        <v>668</v>
      </c>
      <c r="B669" s="603" t="s">
        <v>1560</v>
      </c>
      <c r="D669" s="507"/>
    </row>
    <row r="670" spans="1:4" x14ac:dyDescent="0.3">
      <c r="A670" s="550">
        <v>669</v>
      </c>
      <c r="B670" s="499" t="s">
        <v>1561</v>
      </c>
      <c r="D670" s="507"/>
    </row>
    <row r="671" spans="1:4" ht="20.399999999999999" x14ac:dyDescent="0.3">
      <c r="A671" s="550">
        <v>670</v>
      </c>
      <c r="B671" s="496" t="s">
        <v>1562</v>
      </c>
      <c r="D671" s="507"/>
    </row>
    <row r="672" spans="1:4" ht="20.399999999999999" x14ac:dyDescent="0.3">
      <c r="A672" s="550">
        <v>671</v>
      </c>
      <c r="B672" s="496" t="s">
        <v>1563</v>
      </c>
      <c r="D672" s="507"/>
    </row>
    <row r="673" spans="1:4" ht="20.399999999999999" x14ac:dyDescent="0.3">
      <c r="A673" s="550">
        <v>672</v>
      </c>
      <c r="B673" s="496" t="s">
        <v>1564</v>
      </c>
      <c r="D673" s="507"/>
    </row>
    <row r="674" spans="1:4" ht="40.799999999999997" x14ac:dyDescent="0.3">
      <c r="A674" s="550">
        <v>673</v>
      </c>
      <c r="B674" s="496" t="s">
        <v>1565</v>
      </c>
      <c r="D674" s="507"/>
    </row>
    <row r="675" spans="1:4" ht="30.6" x14ac:dyDescent="0.3">
      <c r="A675" s="550">
        <v>674</v>
      </c>
      <c r="B675" s="496" t="s">
        <v>1566</v>
      </c>
      <c r="D675" s="507"/>
    </row>
    <row r="676" spans="1:4" x14ac:dyDescent="0.3">
      <c r="A676" s="550">
        <v>675</v>
      </c>
      <c r="B676" s="502" t="s">
        <v>1567</v>
      </c>
      <c r="D676" s="507"/>
    </row>
    <row r="677" spans="1:4" x14ac:dyDescent="0.3">
      <c r="A677" s="550">
        <v>676</v>
      </c>
      <c r="B677" s="1127" t="s">
        <v>1568</v>
      </c>
      <c r="D677" s="507"/>
    </row>
    <row r="678" spans="1:4" x14ac:dyDescent="0.3">
      <c r="A678" s="550">
        <v>677</v>
      </c>
      <c r="B678" s="1127" t="s">
        <v>1569</v>
      </c>
      <c r="D678" s="507"/>
    </row>
    <row r="679" spans="1:4" x14ac:dyDescent="0.3">
      <c r="A679" s="550">
        <v>678</v>
      </c>
      <c r="B679" s="499" t="s">
        <v>1570</v>
      </c>
      <c r="D679" s="507"/>
    </row>
    <row r="680" spans="1:4" ht="20.399999999999999" x14ac:dyDescent="0.3">
      <c r="A680" s="550">
        <v>679</v>
      </c>
      <c r="B680" s="496" t="s">
        <v>1571</v>
      </c>
      <c r="D680" s="507"/>
    </row>
    <row r="681" spans="1:4" x14ac:dyDescent="0.3">
      <c r="A681" s="550">
        <v>680</v>
      </c>
      <c r="B681" s="505" t="s">
        <v>1572</v>
      </c>
      <c r="D681" s="507"/>
    </row>
    <row r="682" spans="1:4" x14ac:dyDescent="0.3">
      <c r="A682" s="550">
        <v>681</v>
      </c>
      <c r="B682" s="499" t="s">
        <v>1573</v>
      </c>
      <c r="D682" s="507"/>
    </row>
    <row r="683" spans="1:4" ht="20.399999999999999" x14ac:dyDescent="0.3">
      <c r="A683" s="550">
        <v>682</v>
      </c>
      <c r="B683" s="496" t="s">
        <v>1574</v>
      </c>
      <c r="D683" s="507"/>
    </row>
    <row r="684" spans="1:4" ht="20.399999999999999" x14ac:dyDescent="0.3">
      <c r="A684" s="550">
        <v>683</v>
      </c>
      <c r="B684" s="496" t="s">
        <v>1575</v>
      </c>
      <c r="D684" s="507"/>
    </row>
    <row r="685" spans="1:4" ht="30.6" x14ac:dyDescent="0.3">
      <c r="A685" s="550">
        <v>684</v>
      </c>
      <c r="B685" s="496" t="s">
        <v>1576</v>
      </c>
      <c r="D685" s="507"/>
    </row>
    <row r="686" spans="1:4" x14ac:dyDescent="0.3">
      <c r="A686" s="550">
        <v>685</v>
      </c>
      <c r="B686" s="502" t="s">
        <v>1577</v>
      </c>
      <c r="D686" s="507"/>
    </row>
    <row r="687" spans="1:4" x14ac:dyDescent="0.3">
      <c r="A687" s="550">
        <v>686</v>
      </c>
      <c r="B687" s="518" t="s">
        <v>527</v>
      </c>
      <c r="D687" s="507"/>
    </row>
    <row r="688" spans="1:4" x14ac:dyDescent="0.3">
      <c r="A688" s="550">
        <v>687</v>
      </c>
      <c r="B688" s="520" t="s">
        <v>1578</v>
      </c>
      <c r="D688" s="507"/>
    </row>
    <row r="689" spans="1:4" x14ac:dyDescent="0.3">
      <c r="A689" s="550">
        <v>688</v>
      </c>
      <c r="B689" s="615" t="s">
        <v>1579</v>
      </c>
      <c r="D689" s="507"/>
    </row>
    <row r="690" spans="1:4" x14ac:dyDescent="0.3">
      <c r="A690" s="550">
        <v>689</v>
      </c>
      <c r="B690" s="518" t="s">
        <v>1580</v>
      </c>
      <c r="D690" s="507"/>
    </row>
    <row r="691" spans="1:4" x14ac:dyDescent="0.3">
      <c r="A691" s="550">
        <v>690</v>
      </c>
      <c r="B691" s="519" t="s">
        <v>1581</v>
      </c>
      <c r="D691" s="507"/>
    </row>
    <row r="692" spans="1:4" x14ac:dyDescent="0.3">
      <c r="A692" s="550">
        <v>691</v>
      </c>
      <c r="B692" s="499" t="s">
        <v>1582</v>
      </c>
      <c r="D692" s="507"/>
    </row>
    <row r="693" spans="1:4" ht="20.399999999999999" x14ac:dyDescent="0.3">
      <c r="A693" s="550">
        <v>692</v>
      </c>
      <c r="B693" s="496" t="s">
        <v>1583</v>
      </c>
      <c r="D693" s="507"/>
    </row>
    <row r="694" spans="1:4" ht="20.399999999999999" x14ac:dyDescent="0.3">
      <c r="A694" s="550">
        <v>693</v>
      </c>
      <c r="B694" s="496" t="s">
        <v>1584</v>
      </c>
      <c r="D694" s="507"/>
    </row>
    <row r="695" spans="1:4" ht="20.399999999999999" x14ac:dyDescent="0.3">
      <c r="A695" s="550">
        <v>694</v>
      </c>
      <c r="B695" s="496" t="s">
        <v>1585</v>
      </c>
      <c r="D695" s="507"/>
    </row>
    <row r="696" spans="1:4" ht="20.399999999999999" x14ac:dyDescent="0.3">
      <c r="A696" s="550">
        <v>695</v>
      </c>
      <c r="B696" s="496" t="s">
        <v>1586</v>
      </c>
      <c r="D696" s="507"/>
    </row>
    <row r="697" spans="1:4" x14ac:dyDescent="0.3">
      <c r="A697" s="550">
        <v>696</v>
      </c>
      <c r="B697" s="1125" t="s">
        <v>1587</v>
      </c>
      <c r="D697" s="507"/>
    </row>
    <row r="698" spans="1:4" x14ac:dyDescent="0.3">
      <c r="A698" s="550">
        <v>697</v>
      </c>
      <c r="B698" s="518" t="s">
        <v>1588</v>
      </c>
      <c r="D698" s="507"/>
    </row>
    <row r="699" spans="1:4" x14ac:dyDescent="0.3">
      <c r="A699" s="550">
        <v>698</v>
      </c>
      <c r="B699" s="519" t="s">
        <v>1589</v>
      </c>
      <c r="D699" s="507"/>
    </row>
    <row r="700" spans="1:4" x14ac:dyDescent="0.3">
      <c r="A700" s="550">
        <v>699</v>
      </c>
      <c r="B700" s="505" t="s">
        <v>1590</v>
      </c>
      <c r="D700" s="507"/>
    </row>
    <row r="701" spans="1:4" x14ac:dyDescent="0.3">
      <c r="A701" s="550">
        <v>700</v>
      </c>
      <c r="B701" s="499" t="s">
        <v>1591</v>
      </c>
      <c r="D701" s="507"/>
    </row>
    <row r="702" spans="1:4" ht="40.799999999999997" x14ac:dyDescent="0.3">
      <c r="A702" s="550">
        <v>701</v>
      </c>
      <c r="B702" s="496" t="s">
        <v>1592</v>
      </c>
      <c r="D702" s="507"/>
    </row>
    <row r="703" spans="1:4" ht="30.6" x14ac:dyDescent="0.3">
      <c r="A703" s="550">
        <v>702</v>
      </c>
      <c r="B703" s="496" t="s">
        <v>1593</v>
      </c>
      <c r="D703" s="507"/>
    </row>
    <row r="704" spans="1:4" x14ac:dyDescent="0.3">
      <c r="A704" s="550">
        <v>703</v>
      </c>
      <c r="B704" s="496" t="s">
        <v>1594</v>
      </c>
      <c r="D704" s="507"/>
    </row>
    <row r="705" spans="1:4" x14ac:dyDescent="0.3">
      <c r="A705" s="550">
        <v>704</v>
      </c>
      <c r="B705" s="1" t="s">
        <v>1595</v>
      </c>
      <c r="D705" s="507"/>
    </row>
    <row r="706" spans="1:4" ht="26.4" x14ac:dyDescent="0.3">
      <c r="A706" s="550">
        <v>705</v>
      </c>
      <c r="B706" s="499" t="s">
        <v>1596</v>
      </c>
      <c r="D706" s="507"/>
    </row>
    <row r="707" spans="1:4" x14ac:dyDescent="0.3">
      <c r="A707" s="550">
        <v>706</v>
      </c>
      <c r="B707" s="500" t="s">
        <v>1597</v>
      </c>
      <c r="D707" s="507"/>
    </row>
    <row r="708" spans="1:4" x14ac:dyDescent="0.3">
      <c r="A708" s="550">
        <v>707</v>
      </c>
      <c r="B708" s="1111" t="s">
        <v>1598</v>
      </c>
      <c r="D708" s="507"/>
    </row>
    <row r="709" spans="1:4" ht="27.6" x14ac:dyDescent="0.3">
      <c r="A709" s="550">
        <v>708</v>
      </c>
      <c r="B709" s="528" t="s">
        <v>1599</v>
      </c>
      <c r="D709" s="507"/>
    </row>
    <row r="710" spans="1:4" ht="52.8" x14ac:dyDescent="0.3">
      <c r="A710" s="550">
        <v>709</v>
      </c>
      <c r="B710" s="609" t="s">
        <v>411</v>
      </c>
      <c r="D710" s="507"/>
    </row>
    <row r="711" spans="1:4" ht="52.8" x14ac:dyDescent="0.3">
      <c r="A711" s="550">
        <v>710</v>
      </c>
      <c r="B711" s="609" t="s">
        <v>1600</v>
      </c>
      <c r="D711" s="507"/>
    </row>
    <row r="712" spans="1:4" x14ac:dyDescent="0.3">
      <c r="A712" s="550">
        <v>711</v>
      </c>
      <c r="B712" s="609" t="s">
        <v>1601</v>
      </c>
      <c r="D712" s="507"/>
    </row>
    <row r="713" spans="1:4" x14ac:dyDescent="0.3">
      <c r="A713" s="550">
        <v>712</v>
      </c>
      <c r="B713" t="s">
        <v>1602</v>
      </c>
      <c r="D713" s="507"/>
    </row>
    <row r="714" spans="1:4" x14ac:dyDescent="0.3">
      <c r="A714" s="550">
        <v>713</v>
      </c>
      <c r="B714" s="1" t="s">
        <v>1603</v>
      </c>
      <c r="D714" s="507"/>
    </row>
    <row r="715" spans="1:4" ht="26.4" x14ac:dyDescent="0.3">
      <c r="A715" s="550">
        <v>714</v>
      </c>
      <c r="B715" s="606" t="s">
        <v>1604</v>
      </c>
      <c r="D715" s="507"/>
    </row>
    <row r="716" spans="1:4" ht="20.399999999999999" x14ac:dyDescent="0.3">
      <c r="A716" s="550">
        <v>715</v>
      </c>
      <c r="B716" s="529" t="s">
        <v>1605</v>
      </c>
      <c r="D716" s="507"/>
    </row>
    <row r="717" spans="1:4" ht="20.399999999999999" x14ac:dyDescent="0.3">
      <c r="A717" s="550">
        <v>716</v>
      </c>
      <c r="B717" s="608" t="s">
        <v>1606</v>
      </c>
      <c r="D717" s="507"/>
    </row>
    <row r="718" spans="1:4" ht="30.6" x14ac:dyDescent="0.3">
      <c r="A718" s="550">
        <v>717</v>
      </c>
      <c r="B718" s="610" t="s">
        <v>1607</v>
      </c>
      <c r="D718" s="507"/>
    </row>
    <row r="719" spans="1:4" ht="40.799999999999997" x14ac:dyDescent="0.3">
      <c r="A719" s="550">
        <v>718</v>
      </c>
      <c r="B719" s="610" t="s">
        <v>1608</v>
      </c>
      <c r="D719" s="507"/>
    </row>
    <row r="720" spans="1:4" ht="20.399999999999999" x14ac:dyDescent="0.3">
      <c r="A720" s="550">
        <v>719</v>
      </c>
      <c r="B720" s="610" t="s">
        <v>1609</v>
      </c>
      <c r="D720" s="507"/>
    </row>
    <row r="721" spans="1:4" ht="40.799999999999997" x14ac:dyDescent="0.3">
      <c r="A721" s="550">
        <v>720</v>
      </c>
      <c r="B721" s="610" t="s">
        <v>1610</v>
      </c>
      <c r="D721" s="507"/>
    </row>
    <row r="722" spans="1:4" ht="30.6" x14ac:dyDescent="0.3">
      <c r="A722" s="550">
        <v>721</v>
      </c>
      <c r="B722" s="610" t="s">
        <v>1611</v>
      </c>
      <c r="D722" s="507"/>
    </row>
    <row r="723" spans="1:4" ht="30.6" x14ac:dyDescent="0.3">
      <c r="A723" s="550">
        <v>722</v>
      </c>
      <c r="B723" s="610" t="s">
        <v>1612</v>
      </c>
      <c r="D723" s="507"/>
    </row>
    <row r="724" spans="1:4" ht="20.399999999999999" x14ac:dyDescent="0.3">
      <c r="A724" s="550">
        <v>723</v>
      </c>
      <c r="B724" s="610" t="s">
        <v>1613</v>
      </c>
      <c r="D724" s="507"/>
    </row>
    <row r="725" spans="1:4" x14ac:dyDescent="0.3">
      <c r="A725" s="550">
        <v>724</v>
      </c>
      <c r="B725" s="530" t="s">
        <v>1614</v>
      </c>
      <c r="D725" s="507"/>
    </row>
    <row r="726" spans="1:4" x14ac:dyDescent="0.3">
      <c r="A726" s="550">
        <v>725</v>
      </c>
      <c r="B726" s="606" t="s">
        <v>1615</v>
      </c>
      <c r="D726" s="507"/>
    </row>
    <row r="727" spans="1:4" ht="40.799999999999997" x14ac:dyDescent="0.3">
      <c r="A727" s="550">
        <v>726</v>
      </c>
      <c r="B727" s="610" t="s">
        <v>1616</v>
      </c>
      <c r="D727" s="507"/>
    </row>
    <row r="728" spans="1:4" ht="30.6" x14ac:dyDescent="0.3">
      <c r="A728" s="550">
        <v>727</v>
      </c>
      <c r="B728" s="610" t="s">
        <v>1617</v>
      </c>
      <c r="D728" s="507"/>
    </row>
    <row r="729" spans="1:4" ht="20.399999999999999" x14ac:dyDescent="0.3">
      <c r="A729" s="550">
        <v>728</v>
      </c>
      <c r="B729" s="610" t="s">
        <v>1618</v>
      </c>
      <c r="D729" s="507"/>
    </row>
    <row r="730" spans="1:4" ht="20.399999999999999" x14ac:dyDescent="0.3">
      <c r="A730" s="550">
        <v>729</v>
      </c>
      <c r="B730" s="529" t="s">
        <v>1619</v>
      </c>
      <c r="D730" s="507"/>
    </row>
    <row r="731" spans="1:4" x14ac:dyDescent="0.3">
      <c r="A731" s="550">
        <v>730</v>
      </c>
      <c r="B731" s="531" t="s">
        <v>1620</v>
      </c>
      <c r="D731" s="507"/>
    </row>
    <row r="732" spans="1:4" x14ac:dyDescent="0.3">
      <c r="A732" s="550">
        <v>731</v>
      </c>
      <c r="B732" s="532" t="s">
        <v>1621</v>
      </c>
      <c r="D732" s="507"/>
    </row>
    <row r="733" spans="1:4" ht="26.4" x14ac:dyDescent="0.3">
      <c r="A733" s="550">
        <v>732</v>
      </c>
      <c r="B733" s="606" t="s">
        <v>1622</v>
      </c>
      <c r="D733" s="507"/>
    </row>
    <row r="734" spans="1:4" ht="30.6" x14ac:dyDescent="0.3">
      <c r="A734" s="550">
        <v>733</v>
      </c>
      <c r="B734" s="529" t="s">
        <v>1623</v>
      </c>
      <c r="D734" s="507"/>
    </row>
    <row r="735" spans="1:4" ht="20.399999999999999" x14ac:dyDescent="0.3">
      <c r="A735" s="550">
        <v>734</v>
      </c>
      <c r="B735" s="610" t="s">
        <v>1624</v>
      </c>
      <c r="D735" s="507"/>
    </row>
    <row r="736" spans="1:4" ht="40.799999999999997" x14ac:dyDescent="0.3">
      <c r="A736" s="550">
        <v>735</v>
      </c>
      <c r="B736" s="610" t="s">
        <v>1625</v>
      </c>
      <c r="D736" s="507"/>
    </row>
    <row r="737" spans="1:4" ht="71.400000000000006" x14ac:dyDescent="0.3">
      <c r="A737" s="550">
        <v>736</v>
      </c>
      <c r="B737" s="610" t="s">
        <v>1626</v>
      </c>
      <c r="D737" s="507"/>
    </row>
    <row r="738" spans="1:4" ht="20.399999999999999" x14ac:dyDescent="0.3">
      <c r="A738" s="550">
        <v>737</v>
      </c>
      <c r="B738" s="610" t="s">
        <v>1627</v>
      </c>
      <c r="D738" s="507"/>
    </row>
    <row r="739" spans="1:4" x14ac:dyDescent="0.3">
      <c r="A739" s="550">
        <v>738</v>
      </c>
      <c r="B739" s="605" t="s">
        <v>1628</v>
      </c>
      <c r="D739" s="507"/>
    </row>
    <row r="740" spans="1:4" ht="20.399999999999999" x14ac:dyDescent="0.3">
      <c r="A740" s="550">
        <v>739</v>
      </c>
      <c r="B740" s="610" t="s">
        <v>1629</v>
      </c>
      <c r="D740" s="507"/>
    </row>
    <row r="741" spans="1:4" x14ac:dyDescent="0.3">
      <c r="A741" s="550">
        <v>740</v>
      </c>
      <c r="B741" s="606" t="s">
        <v>1630</v>
      </c>
      <c r="D741" s="507"/>
    </row>
    <row r="742" spans="1:4" x14ac:dyDescent="0.3">
      <c r="A742" s="550">
        <v>741</v>
      </c>
      <c r="B742" s="530" t="s">
        <v>1631</v>
      </c>
      <c r="D742" s="507"/>
    </row>
    <row r="743" spans="1:4" x14ac:dyDescent="0.3">
      <c r="A743" s="550">
        <v>742</v>
      </c>
      <c r="B743" s="533" t="s">
        <v>1632</v>
      </c>
      <c r="D743" s="507"/>
    </row>
    <row r="744" spans="1:4" x14ac:dyDescent="0.3">
      <c r="A744" s="550">
        <v>743</v>
      </c>
      <c r="B744" s="1128" t="s">
        <v>1633</v>
      </c>
      <c r="D744" s="507"/>
    </row>
    <row r="745" spans="1:4" x14ac:dyDescent="0.3">
      <c r="A745" s="550">
        <v>744</v>
      </c>
      <c r="B745" s="1128" t="s">
        <v>1634</v>
      </c>
      <c r="D745" s="507"/>
    </row>
    <row r="746" spans="1:4" x14ac:dyDescent="0.3">
      <c r="A746" s="550">
        <v>745</v>
      </c>
      <c r="B746" s="1129" t="s">
        <v>1635</v>
      </c>
      <c r="D746" s="507"/>
    </row>
    <row r="747" spans="1:4" x14ac:dyDescent="0.3">
      <c r="A747" s="550">
        <v>746</v>
      </c>
      <c r="B747" s="533" t="s">
        <v>1636</v>
      </c>
      <c r="D747" s="507"/>
    </row>
    <row r="748" spans="1:4" x14ac:dyDescent="0.3">
      <c r="A748" s="550">
        <v>747</v>
      </c>
      <c r="B748" s="534" t="s">
        <v>1637</v>
      </c>
      <c r="D748" s="507"/>
    </row>
    <row r="749" spans="1:4" x14ac:dyDescent="0.3">
      <c r="A749" s="550">
        <v>748</v>
      </c>
      <c r="B749" s="1129" t="s">
        <v>1638</v>
      </c>
      <c r="D749" s="507"/>
    </row>
    <row r="750" spans="1:4" x14ac:dyDescent="0.3">
      <c r="A750" s="550">
        <v>749</v>
      </c>
      <c r="B750" s="1130" t="s">
        <v>1639</v>
      </c>
      <c r="D750" s="507"/>
    </row>
    <row r="751" spans="1:4" x14ac:dyDescent="0.3">
      <c r="A751" s="550">
        <v>750</v>
      </c>
      <c r="B751" s="606" t="s">
        <v>1640</v>
      </c>
      <c r="D751" s="507"/>
    </row>
    <row r="752" spans="1:4" x14ac:dyDescent="0.3">
      <c r="A752" s="550">
        <v>751</v>
      </c>
      <c r="B752" s="530" t="s">
        <v>1641</v>
      </c>
      <c r="D752" s="507"/>
    </row>
    <row r="753" spans="1:4" x14ac:dyDescent="0.3">
      <c r="A753" s="550">
        <v>752</v>
      </c>
      <c r="B753" s="606" t="s">
        <v>1642</v>
      </c>
      <c r="D753" s="507"/>
    </row>
    <row r="754" spans="1:4" ht="30.6" x14ac:dyDescent="0.3">
      <c r="A754" s="550">
        <v>753</v>
      </c>
      <c r="B754" s="610" t="s">
        <v>1643</v>
      </c>
      <c r="D754" s="507"/>
    </row>
    <row r="755" spans="1:4" ht="20.399999999999999" x14ac:dyDescent="0.3">
      <c r="A755" s="550">
        <v>754</v>
      </c>
      <c r="B755" s="610" t="s">
        <v>1644</v>
      </c>
      <c r="D755" s="507"/>
    </row>
    <row r="756" spans="1:4" x14ac:dyDescent="0.3">
      <c r="A756" s="550">
        <v>755</v>
      </c>
      <c r="B756" s="531" t="s">
        <v>1645</v>
      </c>
      <c r="D756" s="507"/>
    </row>
    <row r="757" spans="1:4" x14ac:dyDescent="0.3">
      <c r="A757" s="550">
        <v>756</v>
      </c>
      <c r="B757" s="606" t="s">
        <v>1646</v>
      </c>
      <c r="D757" s="507"/>
    </row>
    <row r="758" spans="1:4" ht="20.399999999999999" x14ac:dyDescent="0.3">
      <c r="A758" s="550">
        <v>757</v>
      </c>
      <c r="B758" s="529" t="s">
        <v>1647</v>
      </c>
      <c r="D758" s="507"/>
    </row>
    <row r="759" spans="1:4" ht="40.799999999999997" x14ac:dyDescent="0.3">
      <c r="A759" s="550">
        <v>758</v>
      </c>
      <c r="B759" s="610" t="s">
        <v>1648</v>
      </c>
      <c r="D759" s="507"/>
    </row>
    <row r="760" spans="1:4" ht="40.799999999999997" x14ac:dyDescent="0.3">
      <c r="A760" s="550">
        <v>759</v>
      </c>
      <c r="B760" s="610" t="s">
        <v>1649</v>
      </c>
      <c r="D760" s="507"/>
    </row>
    <row r="761" spans="1:4" ht="30.6" x14ac:dyDescent="0.3">
      <c r="A761" s="550">
        <v>760</v>
      </c>
      <c r="B761" s="610" t="s">
        <v>1650</v>
      </c>
      <c r="D761" s="507"/>
    </row>
    <row r="762" spans="1:4" x14ac:dyDescent="0.3">
      <c r="A762" s="550">
        <v>761</v>
      </c>
      <c r="B762" s="1" t="s">
        <v>1651</v>
      </c>
      <c r="D762" s="507"/>
    </row>
    <row r="763" spans="1:4" x14ac:dyDescent="0.3">
      <c r="A763" s="550">
        <v>762</v>
      </c>
      <c r="B763" s="530" t="s">
        <v>1652</v>
      </c>
      <c r="D763" s="507"/>
    </row>
    <row r="764" spans="1:4" x14ac:dyDescent="0.3">
      <c r="A764" s="550">
        <v>763</v>
      </c>
      <c r="B764" s="531" t="s">
        <v>1653</v>
      </c>
      <c r="D764" s="507"/>
    </row>
    <row r="765" spans="1:4" x14ac:dyDescent="0.3">
      <c r="A765" s="550">
        <v>764</v>
      </c>
      <c r="B765" s="531" t="s">
        <v>1654</v>
      </c>
      <c r="D765" s="507"/>
    </row>
    <row r="766" spans="1:4" x14ac:dyDescent="0.3">
      <c r="A766" s="550">
        <v>765</v>
      </c>
      <c r="B766" s="530" t="s">
        <v>1655</v>
      </c>
      <c r="D766" s="507"/>
    </row>
    <row r="767" spans="1:4" x14ac:dyDescent="0.3">
      <c r="A767" s="550">
        <v>766</v>
      </c>
      <c r="B767" s="531" t="s">
        <v>1656</v>
      </c>
      <c r="D767" s="507"/>
    </row>
    <row r="768" spans="1:4" x14ac:dyDescent="0.3">
      <c r="A768" s="550">
        <v>767</v>
      </c>
      <c r="B768" s="531" t="s">
        <v>1657</v>
      </c>
      <c r="D768" s="507"/>
    </row>
    <row r="769" spans="1:4" x14ac:dyDescent="0.3">
      <c r="A769" s="550">
        <v>768</v>
      </c>
      <c r="B769" s="530" t="s">
        <v>1658</v>
      </c>
      <c r="D769" s="507"/>
    </row>
    <row r="770" spans="1:4" x14ac:dyDescent="0.3">
      <c r="A770" s="550">
        <v>769</v>
      </c>
      <c r="B770" s="531" t="s">
        <v>1659</v>
      </c>
      <c r="D770" s="507"/>
    </row>
    <row r="771" spans="1:4" x14ac:dyDescent="0.3">
      <c r="A771" s="550">
        <v>770</v>
      </c>
      <c r="B771" s="531" t="s">
        <v>1660</v>
      </c>
      <c r="D771" s="507"/>
    </row>
    <row r="772" spans="1:4" x14ac:dyDescent="0.3">
      <c r="A772" s="550">
        <v>771</v>
      </c>
      <c r="B772" s="606" t="s">
        <v>1661</v>
      </c>
      <c r="D772" s="507"/>
    </row>
    <row r="773" spans="1:4" x14ac:dyDescent="0.3">
      <c r="A773" s="550">
        <v>772</v>
      </c>
      <c r="B773" s="607" t="s">
        <v>1662</v>
      </c>
      <c r="D773" s="507"/>
    </row>
    <row r="774" spans="1:4" ht="20.399999999999999" x14ac:dyDescent="0.3">
      <c r="A774" s="550">
        <v>773</v>
      </c>
      <c r="B774" s="610" t="s">
        <v>1663</v>
      </c>
      <c r="D774" s="507"/>
    </row>
    <row r="775" spans="1:4" x14ac:dyDescent="0.3">
      <c r="A775" s="550">
        <v>774</v>
      </c>
      <c r="B775" s="606" t="s">
        <v>1664</v>
      </c>
      <c r="D775" s="507"/>
    </row>
    <row r="776" spans="1:4" ht="20.399999999999999" x14ac:dyDescent="0.3">
      <c r="A776" s="550">
        <v>775</v>
      </c>
      <c r="B776" s="610" t="s">
        <v>1665</v>
      </c>
      <c r="D776" s="507"/>
    </row>
    <row r="777" spans="1:4" x14ac:dyDescent="0.3">
      <c r="A777" s="550">
        <v>776</v>
      </c>
      <c r="B777" s="533" t="s">
        <v>1666</v>
      </c>
      <c r="D777" s="507"/>
    </row>
    <row r="778" spans="1:4" x14ac:dyDescent="0.3">
      <c r="A778" s="550">
        <v>777</v>
      </c>
      <c r="B778" s="531" t="s">
        <v>1667</v>
      </c>
      <c r="D778" s="507"/>
    </row>
    <row r="779" spans="1:4" x14ac:dyDescent="0.3">
      <c r="A779" s="550">
        <v>778</v>
      </c>
      <c r="B779" s="531" t="s">
        <v>1668</v>
      </c>
      <c r="D779" s="507"/>
    </row>
    <row r="780" spans="1:4" x14ac:dyDescent="0.3">
      <c r="A780" s="550">
        <v>779</v>
      </c>
      <c r="B780" s="606" t="s">
        <v>1669</v>
      </c>
      <c r="D780" s="507"/>
    </row>
    <row r="781" spans="1:4" ht="40.799999999999997" x14ac:dyDescent="0.3">
      <c r="A781" s="550">
        <v>780</v>
      </c>
      <c r="B781" s="610" t="s">
        <v>1670</v>
      </c>
      <c r="D781" s="507"/>
    </row>
    <row r="782" spans="1:4" x14ac:dyDescent="0.3">
      <c r="A782" s="550">
        <v>781</v>
      </c>
      <c r="B782" s="533" t="s">
        <v>1671</v>
      </c>
      <c r="D782" s="507"/>
    </row>
    <row r="783" spans="1:4" x14ac:dyDescent="0.3">
      <c r="A783" s="550">
        <v>782</v>
      </c>
      <c r="B783" s="531" t="s">
        <v>1672</v>
      </c>
      <c r="D783" s="507"/>
    </row>
    <row r="784" spans="1:4" x14ac:dyDescent="0.3">
      <c r="A784" s="550">
        <v>783</v>
      </c>
      <c r="B784" s="531" t="s">
        <v>1673</v>
      </c>
      <c r="D784" s="507"/>
    </row>
    <row r="785" spans="1:4" x14ac:dyDescent="0.3">
      <c r="A785" s="550">
        <v>784</v>
      </c>
      <c r="B785" s="606" t="s">
        <v>1674</v>
      </c>
      <c r="D785" s="507"/>
    </row>
    <row r="786" spans="1:4" ht="20.399999999999999" x14ac:dyDescent="0.3">
      <c r="A786" s="550">
        <v>785</v>
      </c>
      <c r="B786" s="610" t="s">
        <v>1675</v>
      </c>
      <c r="D786" s="507"/>
    </row>
    <row r="787" spans="1:4" ht="20.399999999999999" x14ac:dyDescent="0.3">
      <c r="A787" s="550">
        <v>786</v>
      </c>
      <c r="B787" s="610" t="s">
        <v>1676</v>
      </c>
      <c r="D787" s="507"/>
    </row>
    <row r="788" spans="1:4" ht="20.399999999999999" x14ac:dyDescent="0.3">
      <c r="A788" s="550">
        <v>787</v>
      </c>
      <c r="B788" s="529" t="s">
        <v>1677</v>
      </c>
      <c r="D788" s="507"/>
    </row>
    <row r="789" spans="1:4" x14ac:dyDescent="0.3">
      <c r="A789" s="550">
        <v>788</v>
      </c>
      <c r="B789" s="533" t="s">
        <v>1678</v>
      </c>
      <c r="D789" s="507"/>
    </row>
    <row r="790" spans="1:4" x14ac:dyDescent="0.3">
      <c r="A790" s="550">
        <v>789</v>
      </c>
      <c r="B790" s="531" t="s">
        <v>1679</v>
      </c>
      <c r="D790" s="507"/>
    </row>
    <row r="791" spans="1:4" x14ac:dyDescent="0.3">
      <c r="A791" s="550">
        <v>790</v>
      </c>
      <c r="B791" s="531" t="s">
        <v>1680</v>
      </c>
      <c r="D791" s="507"/>
    </row>
    <row r="792" spans="1:4" x14ac:dyDescent="0.3">
      <c r="A792" s="550">
        <v>791</v>
      </c>
      <c r="B792" s="606" t="s">
        <v>1681</v>
      </c>
      <c r="D792" s="507"/>
    </row>
    <row r="793" spans="1:4" ht="20.399999999999999" x14ac:dyDescent="0.3">
      <c r="A793" s="550">
        <v>792</v>
      </c>
      <c r="B793" s="529" t="s">
        <v>1682</v>
      </c>
      <c r="D793" s="507"/>
    </row>
    <row r="794" spans="1:4" ht="30.6" x14ac:dyDescent="0.3">
      <c r="A794" s="550">
        <v>793</v>
      </c>
      <c r="B794" s="610" t="s">
        <v>1683</v>
      </c>
      <c r="D794" s="507"/>
    </row>
    <row r="795" spans="1:4" x14ac:dyDescent="0.3">
      <c r="A795" s="550">
        <v>794</v>
      </c>
      <c r="B795" s="533" t="s">
        <v>1684</v>
      </c>
      <c r="D795" s="507"/>
    </row>
    <row r="796" spans="1:4" x14ac:dyDescent="0.3">
      <c r="A796" s="550">
        <v>795</v>
      </c>
      <c r="B796" s="531" t="s">
        <v>1685</v>
      </c>
      <c r="D796" s="507"/>
    </row>
    <row r="797" spans="1:4" x14ac:dyDescent="0.3">
      <c r="A797" s="550">
        <v>796</v>
      </c>
      <c r="B797" s="531" t="s">
        <v>1686</v>
      </c>
      <c r="D797" s="507"/>
    </row>
    <row r="798" spans="1:4" x14ac:dyDescent="0.3">
      <c r="A798" s="550">
        <v>797</v>
      </c>
      <c r="B798" s="606" t="s">
        <v>1687</v>
      </c>
      <c r="D798" s="507"/>
    </row>
    <row r="799" spans="1:4" ht="30.6" x14ac:dyDescent="0.3">
      <c r="A799" s="550">
        <v>798</v>
      </c>
      <c r="B799" s="610" t="s">
        <v>1688</v>
      </c>
      <c r="D799" s="507"/>
    </row>
    <row r="800" spans="1:4" x14ac:dyDescent="0.3">
      <c r="A800" s="550">
        <v>799</v>
      </c>
      <c r="B800" s="533" t="s">
        <v>1689</v>
      </c>
      <c r="D800" s="507"/>
    </row>
    <row r="801" spans="1:4" x14ac:dyDescent="0.3">
      <c r="A801" s="550">
        <v>800</v>
      </c>
      <c r="B801" s="531" t="s">
        <v>1690</v>
      </c>
      <c r="D801" s="507"/>
    </row>
    <row r="802" spans="1:4" x14ac:dyDescent="0.3">
      <c r="A802" s="550">
        <v>801</v>
      </c>
      <c r="B802" s="531" t="s">
        <v>1691</v>
      </c>
      <c r="D802" s="507"/>
    </row>
    <row r="803" spans="1:4" ht="20.399999999999999" x14ac:dyDescent="0.3">
      <c r="A803" s="550">
        <v>802</v>
      </c>
      <c r="B803" s="529" t="s">
        <v>1692</v>
      </c>
      <c r="D803" s="507"/>
    </row>
    <row r="804" spans="1:4" ht="30.6" x14ac:dyDescent="0.3">
      <c r="A804" s="550">
        <v>803</v>
      </c>
      <c r="B804" s="610" t="s">
        <v>1693</v>
      </c>
      <c r="D804" s="507"/>
    </row>
    <row r="805" spans="1:4" x14ac:dyDescent="0.3">
      <c r="A805" s="550">
        <v>804</v>
      </c>
      <c r="B805" s="531" t="s">
        <v>1694</v>
      </c>
      <c r="D805" s="507"/>
    </row>
    <row r="806" spans="1:4" x14ac:dyDescent="0.3">
      <c r="A806" s="550">
        <v>805</v>
      </c>
      <c r="B806" s="606" t="s">
        <v>1695</v>
      </c>
      <c r="D806" s="507"/>
    </row>
    <row r="807" spans="1:4" ht="30.6" x14ac:dyDescent="0.3">
      <c r="A807" s="550">
        <v>806</v>
      </c>
      <c r="B807" s="610" t="s">
        <v>1696</v>
      </c>
      <c r="D807" s="507"/>
    </row>
    <row r="808" spans="1:4" ht="20.399999999999999" x14ac:dyDescent="0.3">
      <c r="A808" s="550">
        <v>807</v>
      </c>
      <c r="B808" s="610" t="s">
        <v>1697</v>
      </c>
      <c r="D808" s="507"/>
    </row>
    <row r="809" spans="1:4" x14ac:dyDescent="0.3">
      <c r="A809" s="550">
        <v>808</v>
      </c>
      <c r="B809" s="529" t="s">
        <v>1698</v>
      </c>
      <c r="D809" s="507"/>
    </row>
    <row r="810" spans="1:4" x14ac:dyDescent="0.3">
      <c r="A810" s="550">
        <v>809</v>
      </c>
      <c r="B810" s="606" t="s">
        <v>1699</v>
      </c>
      <c r="D810" s="507"/>
    </row>
    <row r="811" spans="1:4" ht="30.6" x14ac:dyDescent="0.3">
      <c r="A811" s="550">
        <v>810</v>
      </c>
      <c r="B811" s="610" t="s">
        <v>1700</v>
      </c>
      <c r="D811" s="507"/>
    </row>
    <row r="812" spans="1:4" x14ac:dyDescent="0.3">
      <c r="A812" s="550">
        <v>811</v>
      </c>
      <c r="B812" s="529" t="s">
        <v>1701</v>
      </c>
      <c r="D812" s="507"/>
    </row>
    <row r="813" spans="1:4" x14ac:dyDescent="0.3">
      <c r="A813" s="550">
        <v>812</v>
      </c>
      <c r="B813" s="605" t="s">
        <v>1702</v>
      </c>
      <c r="D813" s="507"/>
    </row>
    <row r="814" spans="1:4" x14ac:dyDescent="0.3">
      <c r="A814" s="550">
        <v>813</v>
      </c>
      <c r="B814" s="530" t="s">
        <v>1703</v>
      </c>
      <c r="D814" s="507"/>
    </row>
    <row r="815" spans="1:4" x14ac:dyDescent="0.3">
      <c r="A815" s="550">
        <v>814</v>
      </c>
      <c r="B815" s="530" t="s">
        <v>1704</v>
      </c>
      <c r="D815" s="507"/>
    </row>
    <row r="816" spans="1:4" x14ac:dyDescent="0.3">
      <c r="A816" s="550">
        <v>815</v>
      </c>
      <c r="B816" s="605" t="s">
        <v>1705</v>
      </c>
      <c r="D816" s="507"/>
    </row>
    <row r="817" spans="1:4" ht="20.399999999999999" x14ac:dyDescent="0.3">
      <c r="A817" s="550">
        <v>816</v>
      </c>
      <c r="B817" s="610" t="s">
        <v>1706</v>
      </c>
      <c r="D817" s="507"/>
    </row>
    <row r="818" spans="1:4" x14ac:dyDescent="0.3">
      <c r="A818" s="550">
        <v>817</v>
      </c>
      <c r="B818" s="519" t="s">
        <v>1707</v>
      </c>
      <c r="D818" s="507"/>
    </row>
    <row r="819" spans="1:4" x14ac:dyDescent="0.3">
      <c r="A819" s="550">
        <v>818</v>
      </c>
      <c r="B819" s="1" t="s">
        <v>1708</v>
      </c>
      <c r="D819" s="507"/>
    </row>
    <row r="820" spans="1:4" ht="15" thickBot="1" x14ac:dyDescent="0.35">
      <c r="A820" s="550">
        <v>819</v>
      </c>
      <c r="B820" s="531" t="s">
        <v>1709</v>
      </c>
      <c r="D820" s="507"/>
    </row>
    <row r="821" spans="1:4" ht="26.4" x14ac:dyDescent="0.3">
      <c r="A821" s="550">
        <v>820</v>
      </c>
      <c r="B821" s="527" t="s">
        <v>1710</v>
      </c>
      <c r="D821" s="507"/>
    </row>
    <row r="822" spans="1:4" ht="34.799999999999997" x14ac:dyDescent="0.3">
      <c r="A822" s="550">
        <v>821</v>
      </c>
      <c r="B822" s="498" t="s">
        <v>1711</v>
      </c>
      <c r="D822" s="507"/>
    </row>
    <row r="823" spans="1:4" ht="26.4" x14ac:dyDescent="0.3">
      <c r="A823" s="550">
        <v>822</v>
      </c>
      <c r="B823" s="609" t="s">
        <v>1712</v>
      </c>
      <c r="D823" s="507"/>
    </row>
    <row r="824" spans="1:4" ht="20.399999999999999" x14ac:dyDescent="0.3">
      <c r="A824" s="550">
        <v>823</v>
      </c>
      <c r="B824" s="496" t="s">
        <v>1713</v>
      </c>
      <c r="D824" s="507"/>
    </row>
    <row r="825" spans="1:4" x14ac:dyDescent="0.3">
      <c r="A825" s="550">
        <v>824</v>
      </c>
      <c r="B825" s="603" t="s">
        <v>1714</v>
      </c>
      <c r="D825" s="507"/>
    </row>
    <row r="826" spans="1:4" x14ac:dyDescent="0.3">
      <c r="A826" s="550">
        <v>825</v>
      </c>
      <c r="B826" s="603" t="s">
        <v>1715</v>
      </c>
      <c r="D826" s="507"/>
    </row>
    <row r="827" spans="1:4" x14ac:dyDescent="0.3">
      <c r="A827" s="550">
        <v>826</v>
      </c>
      <c r="B827" s="1" t="s">
        <v>1716</v>
      </c>
      <c r="D827" s="507"/>
    </row>
    <row r="828" spans="1:4" ht="40.799999999999997" x14ac:dyDescent="0.3">
      <c r="A828" s="550">
        <v>827</v>
      </c>
      <c r="B828" s="496" t="s">
        <v>1717</v>
      </c>
      <c r="D828" s="507"/>
    </row>
    <row r="829" spans="1:4" x14ac:dyDescent="0.3">
      <c r="A829" s="550">
        <v>828</v>
      </c>
      <c r="B829" s="502" t="s">
        <v>1718</v>
      </c>
      <c r="D829" s="507"/>
    </row>
    <row r="830" spans="1:4" ht="26.4" x14ac:dyDescent="0.3">
      <c r="A830" s="550">
        <v>829</v>
      </c>
      <c r="B830" s="499" t="s">
        <v>1719</v>
      </c>
      <c r="D830" s="507"/>
    </row>
    <row r="831" spans="1:4" ht="20.399999999999999" x14ac:dyDescent="0.3">
      <c r="A831" s="550">
        <v>830</v>
      </c>
      <c r="B831" s="496" t="s">
        <v>1720</v>
      </c>
      <c r="D831" s="507"/>
    </row>
    <row r="832" spans="1:4" ht="20.399999999999999" x14ac:dyDescent="0.3">
      <c r="A832" s="550">
        <v>831</v>
      </c>
      <c r="B832" s="496" t="s">
        <v>1721</v>
      </c>
      <c r="D832" s="507"/>
    </row>
    <row r="833" spans="1:4" x14ac:dyDescent="0.3">
      <c r="A833" s="550">
        <v>832</v>
      </c>
      <c r="B833" s="496" t="s">
        <v>1722</v>
      </c>
      <c r="D833" s="507"/>
    </row>
    <row r="834" spans="1:4" ht="20.399999999999999" x14ac:dyDescent="0.3">
      <c r="A834" s="550">
        <v>833</v>
      </c>
      <c r="B834" s="496" t="s">
        <v>1723</v>
      </c>
      <c r="D834" s="507"/>
    </row>
    <row r="835" spans="1:4" ht="20.399999999999999" x14ac:dyDescent="0.3">
      <c r="A835" s="550">
        <v>834</v>
      </c>
      <c r="B835" s="496" t="s">
        <v>1724</v>
      </c>
      <c r="D835" s="507"/>
    </row>
    <row r="836" spans="1:4" ht="20.399999999999999" x14ac:dyDescent="0.3">
      <c r="A836" s="550">
        <v>835</v>
      </c>
      <c r="B836" s="496" t="s">
        <v>1725</v>
      </c>
      <c r="D836" s="507"/>
    </row>
    <row r="837" spans="1:4" x14ac:dyDescent="0.3">
      <c r="A837" s="550">
        <v>836</v>
      </c>
      <c r="B837" s="500" t="s">
        <v>1726</v>
      </c>
      <c r="D837" s="507"/>
    </row>
    <row r="838" spans="1:4" x14ac:dyDescent="0.3">
      <c r="A838" s="550">
        <v>837</v>
      </c>
      <c r="B838" s="500" t="s">
        <v>1727</v>
      </c>
      <c r="D838" s="507"/>
    </row>
    <row r="839" spans="1:4" x14ac:dyDescent="0.3">
      <c r="A839" s="550">
        <v>838</v>
      </c>
      <c r="B839" s="500" t="s">
        <v>1728</v>
      </c>
      <c r="D839" s="507"/>
    </row>
    <row r="840" spans="1:4" x14ac:dyDescent="0.3">
      <c r="A840" s="550">
        <v>839</v>
      </c>
      <c r="B840" s="499" t="s">
        <v>1729</v>
      </c>
      <c r="D840" s="507"/>
    </row>
    <row r="841" spans="1:4" x14ac:dyDescent="0.3">
      <c r="A841" s="550">
        <v>840</v>
      </c>
      <c r="B841" s="606" t="s">
        <v>1730</v>
      </c>
      <c r="D841" s="507"/>
    </row>
    <row r="842" spans="1:4" x14ac:dyDescent="0.3">
      <c r="A842" s="550">
        <v>841</v>
      </c>
      <c r="B842" s="608" t="s">
        <v>1731</v>
      </c>
      <c r="D842" s="507"/>
    </row>
    <row r="843" spans="1:4" ht="30.6" x14ac:dyDescent="0.3">
      <c r="A843" s="550">
        <v>842</v>
      </c>
      <c r="B843" s="610" t="s">
        <v>1732</v>
      </c>
      <c r="D843" s="507"/>
    </row>
    <row r="844" spans="1:4" ht="40.799999999999997" x14ac:dyDescent="0.3">
      <c r="A844" s="550">
        <v>843</v>
      </c>
      <c r="B844" s="610" t="s">
        <v>1733</v>
      </c>
      <c r="D844" s="507"/>
    </row>
    <row r="845" spans="1:4" ht="20.399999999999999" x14ac:dyDescent="0.3">
      <c r="A845" s="550">
        <v>844</v>
      </c>
      <c r="B845" s="610" t="s">
        <v>1734</v>
      </c>
      <c r="D845" s="507"/>
    </row>
    <row r="846" spans="1:4" ht="40.799999999999997" x14ac:dyDescent="0.3">
      <c r="A846" s="550">
        <v>845</v>
      </c>
      <c r="B846" s="610" t="s">
        <v>1735</v>
      </c>
      <c r="D846" s="507"/>
    </row>
    <row r="847" spans="1:4" ht="30.6" x14ac:dyDescent="0.3">
      <c r="A847" s="550">
        <v>846</v>
      </c>
      <c r="B847" s="610" t="s">
        <v>1736</v>
      </c>
      <c r="D847" s="507"/>
    </row>
    <row r="848" spans="1:4" ht="20.399999999999999" x14ac:dyDescent="0.3">
      <c r="A848" s="550">
        <v>847</v>
      </c>
      <c r="B848" s="610" t="s">
        <v>1737</v>
      </c>
      <c r="D848" s="507"/>
    </row>
    <row r="849" spans="1:4" ht="40.799999999999997" x14ac:dyDescent="0.3">
      <c r="A849" s="550">
        <v>848</v>
      </c>
      <c r="B849" s="610" t="s">
        <v>1738</v>
      </c>
      <c r="D849" s="507"/>
    </row>
    <row r="850" spans="1:4" ht="20.399999999999999" x14ac:dyDescent="0.3">
      <c r="A850" s="550">
        <v>849</v>
      </c>
      <c r="B850" s="610" t="s">
        <v>1739</v>
      </c>
      <c r="D850" s="507"/>
    </row>
    <row r="851" spans="1:4" x14ac:dyDescent="0.3">
      <c r="A851" s="550">
        <v>850</v>
      </c>
      <c r="B851" s="610" t="s">
        <v>1740</v>
      </c>
      <c r="D851" s="507"/>
    </row>
    <row r="852" spans="1:4" x14ac:dyDescent="0.3">
      <c r="A852" s="550">
        <v>851</v>
      </c>
      <c r="B852" s="531" t="s">
        <v>1741</v>
      </c>
      <c r="D852" s="507"/>
    </row>
    <row r="853" spans="1:4" x14ac:dyDescent="0.3">
      <c r="A853" s="550">
        <v>852</v>
      </c>
      <c r="B853" s="531" t="s">
        <v>1742</v>
      </c>
      <c r="D853" s="507"/>
    </row>
    <row r="854" spans="1:4" x14ac:dyDescent="0.3">
      <c r="A854" s="550">
        <v>853</v>
      </c>
      <c r="B854" s="531" t="s">
        <v>1743</v>
      </c>
      <c r="D854" s="507"/>
    </row>
    <row r="855" spans="1:4" x14ac:dyDescent="0.3">
      <c r="A855" s="550">
        <v>854</v>
      </c>
      <c r="B855" s="608" t="s">
        <v>1744</v>
      </c>
      <c r="D855" s="507"/>
    </row>
    <row r="856" spans="1:4" ht="30.6" x14ac:dyDescent="0.3">
      <c r="A856" s="550">
        <v>855</v>
      </c>
      <c r="B856" s="608" t="s">
        <v>1745</v>
      </c>
      <c r="D856" s="507"/>
    </row>
    <row r="857" spans="1:4" x14ac:dyDescent="0.3">
      <c r="A857" s="550">
        <v>856</v>
      </c>
      <c r="B857" s="606" t="s">
        <v>1746</v>
      </c>
      <c r="D857" s="507"/>
    </row>
    <row r="858" spans="1:4" x14ac:dyDescent="0.3">
      <c r="A858" s="550">
        <v>857</v>
      </c>
      <c r="B858" s="610" t="s">
        <v>1747</v>
      </c>
      <c r="D858" s="507"/>
    </row>
    <row r="859" spans="1:4" ht="51" x14ac:dyDescent="0.3">
      <c r="A859" s="550">
        <v>858</v>
      </c>
      <c r="B859" s="610" t="s">
        <v>1748</v>
      </c>
      <c r="D859" s="507"/>
    </row>
    <row r="860" spans="1:4" ht="20.399999999999999" x14ac:dyDescent="0.3">
      <c r="A860" s="550">
        <v>859</v>
      </c>
      <c r="B860" s="610" t="s">
        <v>1749</v>
      </c>
      <c r="D860" s="507"/>
    </row>
    <row r="861" spans="1:4" x14ac:dyDescent="0.3">
      <c r="A861" s="550">
        <v>860</v>
      </c>
      <c r="B861" s="610" t="s">
        <v>1750</v>
      </c>
      <c r="D861" s="507"/>
    </row>
    <row r="862" spans="1:4" ht="20.399999999999999" x14ac:dyDescent="0.3">
      <c r="A862" s="550">
        <v>861</v>
      </c>
      <c r="B862" s="610" t="s">
        <v>1751</v>
      </c>
      <c r="D862" s="507"/>
    </row>
    <row r="863" spans="1:4" x14ac:dyDescent="0.3">
      <c r="A863" s="550">
        <v>862</v>
      </c>
      <c r="B863" s="610" t="s">
        <v>1752</v>
      </c>
      <c r="D863" s="507"/>
    </row>
    <row r="864" spans="1:4" ht="20.399999999999999" x14ac:dyDescent="0.3">
      <c r="A864" s="550">
        <v>863</v>
      </c>
      <c r="B864" s="608" t="s">
        <v>1753</v>
      </c>
      <c r="D864" s="507"/>
    </row>
    <row r="865" spans="1:4" ht="20.399999999999999" x14ac:dyDescent="0.3">
      <c r="A865" s="550">
        <v>864</v>
      </c>
      <c r="B865" s="610" t="s">
        <v>1754</v>
      </c>
      <c r="D865" s="507"/>
    </row>
    <row r="866" spans="1:4" x14ac:dyDescent="0.3">
      <c r="A866" s="550">
        <v>865</v>
      </c>
      <c r="B866" s="530" t="s">
        <v>1755</v>
      </c>
      <c r="D866" s="507"/>
    </row>
    <row r="867" spans="1:4" x14ac:dyDescent="0.3">
      <c r="A867" s="550">
        <v>866</v>
      </c>
      <c r="B867" s="530" t="s">
        <v>1756</v>
      </c>
      <c r="D867" s="507"/>
    </row>
    <row r="868" spans="1:4" x14ac:dyDescent="0.3">
      <c r="A868" s="550">
        <v>867</v>
      </c>
      <c r="B868" s="531" t="s">
        <v>1757</v>
      </c>
      <c r="D868" s="507"/>
    </row>
    <row r="869" spans="1:4" x14ac:dyDescent="0.3">
      <c r="A869" s="550">
        <v>868</v>
      </c>
      <c r="B869" s="530" t="s">
        <v>1758</v>
      </c>
      <c r="D869" s="507"/>
    </row>
    <row r="870" spans="1:4" x14ac:dyDescent="0.3">
      <c r="A870" s="550">
        <v>869</v>
      </c>
      <c r="B870" s="531" t="s">
        <v>1759</v>
      </c>
      <c r="D870" s="507"/>
    </row>
    <row r="871" spans="1:4" x14ac:dyDescent="0.3">
      <c r="A871" s="550">
        <v>870</v>
      </c>
      <c r="B871" s="530" t="s">
        <v>1760</v>
      </c>
      <c r="D871" s="507"/>
    </row>
    <row r="872" spans="1:4" x14ac:dyDescent="0.3">
      <c r="A872" s="550">
        <v>871</v>
      </c>
      <c r="B872" s="531" t="s">
        <v>1761</v>
      </c>
      <c r="D872" s="507"/>
    </row>
    <row r="873" spans="1:4" x14ac:dyDescent="0.3">
      <c r="A873" s="550">
        <v>872</v>
      </c>
      <c r="B873" s="530" t="s">
        <v>1762</v>
      </c>
      <c r="D873" s="507"/>
    </row>
    <row r="874" spans="1:4" x14ac:dyDescent="0.3">
      <c r="A874" s="550">
        <v>873</v>
      </c>
      <c r="B874" s="531" t="s">
        <v>1763</v>
      </c>
      <c r="D874" s="507"/>
    </row>
    <row r="875" spans="1:4" x14ac:dyDescent="0.3">
      <c r="A875" s="550">
        <v>874</v>
      </c>
      <c r="B875" s="531" t="s">
        <v>1764</v>
      </c>
      <c r="D875" s="507"/>
    </row>
    <row r="876" spans="1:4" x14ac:dyDescent="0.3">
      <c r="A876" s="550">
        <v>875</v>
      </c>
      <c r="B876" s="610" t="s">
        <v>1765</v>
      </c>
      <c r="D876" s="507"/>
    </row>
    <row r="877" spans="1:4" x14ac:dyDescent="0.3">
      <c r="A877" s="550">
        <v>876</v>
      </c>
      <c r="B877" s="610" t="s">
        <v>1766</v>
      </c>
      <c r="D877" s="507"/>
    </row>
    <row r="878" spans="1:4" x14ac:dyDescent="0.3">
      <c r="A878" s="550">
        <v>877</v>
      </c>
      <c r="B878" s="610" t="s">
        <v>1767</v>
      </c>
      <c r="D878" s="507"/>
    </row>
    <row r="879" spans="1:4" x14ac:dyDescent="0.3">
      <c r="A879" s="550">
        <v>878</v>
      </c>
      <c r="B879" s="610" t="s">
        <v>1768</v>
      </c>
      <c r="D879" s="507"/>
    </row>
    <row r="880" spans="1:4" x14ac:dyDescent="0.3">
      <c r="A880" s="550">
        <v>879</v>
      </c>
      <c r="B880" s="500" t="s">
        <v>1769</v>
      </c>
      <c r="D880" s="507"/>
    </row>
    <row r="881" spans="1:4" x14ac:dyDescent="0.3">
      <c r="A881" s="550">
        <v>880</v>
      </c>
      <c r="B881" s="611" t="s">
        <v>1770</v>
      </c>
      <c r="D881" s="507"/>
    </row>
    <row r="882" spans="1:4" x14ac:dyDescent="0.3">
      <c r="A882" s="550">
        <v>881</v>
      </c>
      <c r="B882" s="610" t="s">
        <v>1771</v>
      </c>
      <c r="D882" s="507"/>
    </row>
    <row r="883" spans="1:4" x14ac:dyDescent="0.3">
      <c r="A883" s="550">
        <v>882</v>
      </c>
      <c r="B883" s="531" t="s">
        <v>1772</v>
      </c>
      <c r="D883" s="507"/>
    </row>
    <row r="884" spans="1:4" x14ac:dyDescent="0.3">
      <c r="A884" s="550">
        <v>883</v>
      </c>
      <c r="B884" s="1" t="s">
        <v>1773</v>
      </c>
      <c r="D884" s="507"/>
    </row>
    <row r="885" spans="1:4" x14ac:dyDescent="0.3">
      <c r="A885" s="550">
        <v>884</v>
      </c>
      <c r="B885" s="496" t="s">
        <v>1774</v>
      </c>
      <c r="D885" s="507"/>
    </row>
    <row r="886" spans="1:4" x14ac:dyDescent="0.3">
      <c r="A886" s="550">
        <v>885</v>
      </c>
      <c r="B886" s="501" t="s">
        <v>1775</v>
      </c>
      <c r="D886" s="507"/>
    </row>
    <row r="887" spans="1:4" ht="30.6" x14ac:dyDescent="0.3">
      <c r="A887" s="550">
        <v>886</v>
      </c>
      <c r="B887" s="608" t="s">
        <v>1776</v>
      </c>
      <c r="D887" s="507"/>
    </row>
    <row r="888" spans="1:4" ht="20.399999999999999" x14ac:dyDescent="0.3">
      <c r="A888" s="550">
        <v>887</v>
      </c>
      <c r="B888" s="608" t="s">
        <v>1777</v>
      </c>
      <c r="D888" s="507"/>
    </row>
    <row r="889" spans="1:4" x14ac:dyDescent="0.3">
      <c r="A889" s="550">
        <v>888</v>
      </c>
      <c r="B889" s="610" t="s">
        <v>1778</v>
      </c>
      <c r="D889" s="507"/>
    </row>
    <row r="890" spans="1:4" ht="20.399999999999999" x14ac:dyDescent="0.3">
      <c r="A890" s="550">
        <v>889</v>
      </c>
      <c r="B890" s="610" t="s">
        <v>1779</v>
      </c>
      <c r="D890" s="507"/>
    </row>
    <row r="891" spans="1:4" x14ac:dyDescent="0.3">
      <c r="A891" s="550">
        <v>890</v>
      </c>
      <c r="B891" s="531" t="s">
        <v>1780</v>
      </c>
      <c r="D891" s="507"/>
    </row>
    <row r="892" spans="1:4" x14ac:dyDescent="0.3">
      <c r="A892" s="550">
        <v>891</v>
      </c>
      <c r="B892" s="532" t="s">
        <v>1781</v>
      </c>
      <c r="D892" s="507"/>
    </row>
    <row r="893" spans="1:4" x14ac:dyDescent="0.3">
      <c r="A893" s="550">
        <v>892</v>
      </c>
      <c r="B893" s="531" t="s">
        <v>646</v>
      </c>
      <c r="D893" s="507"/>
    </row>
    <row r="894" spans="1:4" x14ac:dyDescent="0.3">
      <c r="A894" s="550">
        <v>893</v>
      </c>
      <c r="B894" s="610" t="s">
        <v>1782</v>
      </c>
      <c r="D894" s="507"/>
    </row>
    <row r="895" spans="1:4" x14ac:dyDescent="0.3">
      <c r="A895" s="550">
        <v>894</v>
      </c>
      <c r="B895" s="610" t="s">
        <v>1783</v>
      </c>
      <c r="D895" s="507"/>
    </row>
    <row r="896" spans="1:4" x14ac:dyDescent="0.3">
      <c r="A896" s="550">
        <v>895</v>
      </c>
      <c r="B896" s="610" t="s">
        <v>1784</v>
      </c>
      <c r="D896" s="507"/>
    </row>
    <row r="897" spans="1:4" x14ac:dyDescent="0.3">
      <c r="A897" s="550">
        <v>896</v>
      </c>
      <c r="B897" s="1" t="s">
        <v>1785</v>
      </c>
      <c r="D897" s="507"/>
    </row>
    <row r="898" spans="1:4" ht="20.399999999999999" x14ac:dyDescent="0.3">
      <c r="A898" s="550">
        <v>897</v>
      </c>
      <c r="B898" s="496" t="s">
        <v>1786</v>
      </c>
      <c r="D898" s="507"/>
    </row>
    <row r="899" spans="1:4" x14ac:dyDescent="0.3">
      <c r="A899" s="550">
        <v>898</v>
      </c>
      <c r="B899" s="82" t="s">
        <v>1787</v>
      </c>
      <c r="D899" s="507"/>
    </row>
    <row r="900" spans="1:4" ht="15" thickBot="1" x14ac:dyDescent="0.35">
      <c r="A900" s="550">
        <v>899</v>
      </c>
      <c r="B900" s="499" t="s">
        <v>1788</v>
      </c>
      <c r="D900" s="507"/>
    </row>
    <row r="901" spans="1:4" ht="26.4" x14ac:dyDescent="0.3">
      <c r="A901" s="550">
        <v>900</v>
      </c>
      <c r="B901" s="527" t="s">
        <v>1789</v>
      </c>
      <c r="D901" s="507"/>
    </row>
    <row r="902" spans="1:4" ht="34.799999999999997" x14ac:dyDescent="0.3">
      <c r="A902" s="550">
        <v>901</v>
      </c>
      <c r="B902" s="498" t="s">
        <v>12</v>
      </c>
      <c r="D902" s="507"/>
    </row>
    <row r="903" spans="1:4" ht="15.6" x14ac:dyDescent="0.3">
      <c r="A903" s="550">
        <v>902</v>
      </c>
      <c r="B903" s="497" t="s">
        <v>1790</v>
      </c>
      <c r="D903" s="507"/>
    </row>
    <row r="904" spans="1:4" ht="27.6" x14ac:dyDescent="0.3">
      <c r="A904" s="550">
        <v>903</v>
      </c>
      <c r="B904" s="505" t="s">
        <v>1791</v>
      </c>
      <c r="D904" s="507"/>
    </row>
    <row r="905" spans="1:4" ht="20.399999999999999" x14ac:dyDescent="0.3">
      <c r="A905" s="550">
        <v>904</v>
      </c>
      <c r="B905" s="496" t="s">
        <v>1792</v>
      </c>
      <c r="D905" s="507"/>
    </row>
    <row r="906" spans="1:4" ht="20.399999999999999" x14ac:dyDescent="0.3">
      <c r="A906" s="550">
        <v>905</v>
      </c>
      <c r="B906" s="496" t="s">
        <v>1793</v>
      </c>
      <c r="D906" s="507"/>
    </row>
    <row r="907" spans="1:4" ht="20.399999999999999" x14ac:dyDescent="0.3">
      <c r="A907" s="550">
        <v>906</v>
      </c>
      <c r="B907" s="496" t="s">
        <v>1794</v>
      </c>
      <c r="D907" s="507"/>
    </row>
    <row r="908" spans="1:4" x14ac:dyDescent="0.3">
      <c r="A908" s="550">
        <v>907</v>
      </c>
      <c r="B908" s="499" t="s">
        <v>1795</v>
      </c>
      <c r="D908" s="507"/>
    </row>
    <row r="909" spans="1:4" ht="20.399999999999999" x14ac:dyDescent="0.3">
      <c r="A909" s="550">
        <v>908</v>
      </c>
      <c r="B909" s="515" t="s">
        <v>1796</v>
      </c>
      <c r="D909" s="507"/>
    </row>
    <row r="910" spans="1:4" x14ac:dyDescent="0.3">
      <c r="A910" s="550">
        <v>909</v>
      </c>
      <c r="B910" s="499" t="s">
        <v>1797</v>
      </c>
      <c r="D910" s="507"/>
    </row>
    <row r="911" spans="1:4" x14ac:dyDescent="0.3">
      <c r="A911" s="550">
        <v>910</v>
      </c>
      <c r="B911" s="496" t="s">
        <v>1798</v>
      </c>
      <c r="D911" s="507"/>
    </row>
    <row r="912" spans="1:4" x14ac:dyDescent="0.3">
      <c r="A912" s="550">
        <v>911</v>
      </c>
      <c r="B912" s="496" t="s">
        <v>1799</v>
      </c>
      <c r="D912" s="507"/>
    </row>
    <row r="913" spans="1:4" x14ac:dyDescent="0.3">
      <c r="A913" s="550">
        <v>912</v>
      </c>
      <c r="B913" s="496" t="s">
        <v>1800</v>
      </c>
      <c r="D913" s="507"/>
    </row>
    <row r="914" spans="1:4" x14ac:dyDescent="0.3">
      <c r="A914" s="550">
        <v>913</v>
      </c>
      <c r="B914" s="496" t="s">
        <v>1801</v>
      </c>
      <c r="D914" s="507"/>
    </row>
    <row r="915" spans="1:4" x14ac:dyDescent="0.3">
      <c r="A915" s="550">
        <v>914</v>
      </c>
      <c r="B915" s="496" t="s">
        <v>1802</v>
      </c>
      <c r="D915" s="507"/>
    </row>
    <row r="916" spans="1:4" x14ac:dyDescent="0.3">
      <c r="A916" s="550">
        <v>915</v>
      </c>
      <c r="B916" s="496" t="s">
        <v>1803</v>
      </c>
      <c r="D916" s="507"/>
    </row>
    <row r="917" spans="1:4" x14ac:dyDescent="0.3">
      <c r="A917" s="550">
        <v>916</v>
      </c>
      <c r="B917" s="496" t="s">
        <v>1804</v>
      </c>
      <c r="D917" s="507"/>
    </row>
    <row r="918" spans="1:4" ht="20.399999999999999" x14ac:dyDescent="0.3">
      <c r="A918" s="550">
        <v>917</v>
      </c>
      <c r="B918" s="495" t="s">
        <v>1805</v>
      </c>
      <c r="D918" s="507"/>
    </row>
    <row r="919" spans="1:4" x14ac:dyDescent="0.3">
      <c r="A919" s="550">
        <v>918</v>
      </c>
      <c r="B919" s="22" t="s">
        <v>1806</v>
      </c>
      <c r="D919" s="507"/>
    </row>
    <row r="920" spans="1:4" x14ac:dyDescent="0.3">
      <c r="A920" s="550">
        <v>919</v>
      </c>
      <c r="B920" s="22" t="s">
        <v>1807</v>
      </c>
      <c r="D920" s="507"/>
    </row>
    <row r="921" spans="1:4" x14ac:dyDescent="0.3">
      <c r="A921" s="550">
        <v>920</v>
      </c>
      <c r="B921" s="22" t="s">
        <v>1808</v>
      </c>
      <c r="D921" s="507"/>
    </row>
    <row r="922" spans="1:4" x14ac:dyDescent="0.3">
      <c r="A922" s="550">
        <v>921</v>
      </c>
      <c r="B922" s="1125" t="s">
        <v>1809</v>
      </c>
      <c r="D922" s="507"/>
    </row>
    <row r="923" spans="1:4" x14ac:dyDescent="0.3">
      <c r="A923" s="550">
        <v>922</v>
      </c>
      <c r="B923" s="526" t="s">
        <v>1810</v>
      </c>
      <c r="D923" s="507"/>
    </row>
    <row r="924" spans="1:4" x14ac:dyDescent="0.3">
      <c r="A924" s="550">
        <v>923</v>
      </c>
      <c r="B924" s="520" t="s">
        <v>1811</v>
      </c>
      <c r="D924" s="507"/>
    </row>
    <row r="925" spans="1:4" x14ac:dyDescent="0.3">
      <c r="A925" s="550">
        <v>924</v>
      </c>
      <c r="B925" s="520" t="s">
        <v>1812</v>
      </c>
      <c r="D925" s="507"/>
    </row>
    <row r="926" spans="1:4" x14ac:dyDescent="0.3">
      <c r="A926" s="550">
        <v>925</v>
      </c>
      <c r="B926" s="520" t="s">
        <v>1813</v>
      </c>
      <c r="D926" s="507"/>
    </row>
    <row r="927" spans="1:4" x14ac:dyDescent="0.3">
      <c r="A927" s="550">
        <v>926</v>
      </c>
      <c r="B927" s="520" t="s">
        <v>1814</v>
      </c>
      <c r="D927" s="507"/>
    </row>
    <row r="928" spans="1:4" x14ac:dyDescent="0.3">
      <c r="A928" s="550">
        <v>927</v>
      </c>
      <c r="B928" s="520" t="s">
        <v>1815</v>
      </c>
      <c r="D928" s="507"/>
    </row>
    <row r="929" spans="1:4" x14ac:dyDescent="0.3">
      <c r="A929" s="550">
        <v>928</v>
      </c>
      <c r="B929" s="520" t="s">
        <v>1816</v>
      </c>
      <c r="D929" s="507"/>
    </row>
    <row r="930" spans="1:4" x14ac:dyDescent="0.3">
      <c r="A930" s="550">
        <v>929</v>
      </c>
      <c r="B930" s="520" t="s">
        <v>1817</v>
      </c>
      <c r="D930" s="507"/>
    </row>
    <row r="931" spans="1:4" x14ac:dyDescent="0.3">
      <c r="A931" s="550">
        <v>930</v>
      </c>
      <c r="B931" s="520" t="s">
        <v>1818</v>
      </c>
      <c r="D931" s="507"/>
    </row>
    <row r="932" spans="1:4" x14ac:dyDescent="0.3">
      <c r="A932" s="550">
        <v>931</v>
      </c>
      <c r="B932" s="520" t="s">
        <v>1819</v>
      </c>
      <c r="D932" s="507"/>
    </row>
    <row r="933" spans="1:4" x14ac:dyDescent="0.3">
      <c r="A933" s="550">
        <v>932</v>
      </c>
      <c r="B933" s="520" t="s">
        <v>1820</v>
      </c>
      <c r="D933" s="507"/>
    </row>
    <row r="934" spans="1:4" x14ac:dyDescent="0.3">
      <c r="A934" s="550">
        <v>933</v>
      </c>
      <c r="B934" s="520" t="s">
        <v>1821</v>
      </c>
      <c r="D934" s="507"/>
    </row>
    <row r="935" spans="1:4" x14ac:dyDescent="0.3">
      <c r="A935" s="550">
        <v>934</v>
      </c>
      <c r="B935" s="520" t="s">
        <v>1822</v>
      </c>
      <c r="D935" s="507"/>
    </row>
    <row r="936" spans="1:4" x14ac:dyDescent="0.3">
      <c r="A936" s="550">
        <v>935</v>
      </c>
      <c r="B936" s="520" t="s">
        <v>1823</v>
      </c>
      <c r="D936" s="507"/>
    </row>
    <row r="937" spans="1:4" x14ac:dyDescent="0.3">
      <c r="A937" s="550">
        <v>936</v>
      </c>
      <c r="B937" s="520" t="s">
        <v>1824</v>
      </c>
      <c r="D937" s="507"/>
    </row>
    <row r="938" spans="1:4" x14ac:dyDescent="0.3">
      <c r="A938" s="550">
        <v>937</v>
      </c>
      <c r="B938" s="520" t="s">
        <v>1825</v>
      </c>
      <c r="D938" s="507"/>
    </row>
    <row r="939" spans="1:4" x14ac:dyDescent="0.3">
      <c r="A939" s="550">
        <v>938</v>
      </c>
      <c r="B939" s="520" t="s">
        <v>1826</v>
      </c>
      <c r="D939" s="507"/>
    </row>
    <row r="940" spans="1:4" x14ac:dyDescent="0.3">
      <c r="A940" s="550">
        <v>939</v>
      </c>
      <c r="B940" s="520" t="s">
        <v>1827</v>
      </c>
      <c r="D940" s="507"/>
    </row>
    <row r="941" spans="1:4" x14ac:dyDescent="0.3">
      <c r="A941" s="550">
        <v>940</v>
      </c>
      <c r="B941" s="520" t="s">
        <v>1828</v>
      </c>
      <c r="D941" s="507"/>
    </row>
    <row r="942" spans="1:4" x14ac:dyDescent="0.3">
      <c r="A942" s="550">
        <v>941</v>
      </c>
      <c r="B942" s="520" t="s">
        <v>1829</v>
      </c>
      <c r="D942" s="507"/>
    </row>
    <row r="943" spans="1:4" x14ac:dyDescent="0.3">
      <c r="A943" s="550">
        <v>942</v>
      </c>
      <c r="B943" s="520" t="s">
        <v>1830</v>
      </c>
      <c r="D943" s="507"/>
    </row>
    <row r="944" spans="1:4" x14ac:dyDescent="0.3">
      <c r="A944" s="550">
        <v>943</v>
      </c>
      <c r="B944" s="520" t="s">
        <v>1831</v>
      </c>
      <c r="D944" s="507"/>
    </row>
    <row r="945" spans="1:4" x14ac:dyDescent="0.3">
      <c r="A945" s="550">
        <v>944</v>
      </c>
      <c r="B945" s="520" t="s">
        <v>1832</v>
      </c>
      <c r="D945" s="507"/>
    </row>
    <row r="946" spans="1:4" x14ac:dyDescent="0.3">
      <c r="A946" s="550">
        <v>945</v>
      </c>
      <c r="B946" s="520" t="s">
        <v>1833</v>
      </c>
      <c r="D946" s="507"/>
    </row>
    <row r="947" spans="1:4" x14ac:dyDescent="0.3">
      <c r="A947" s="550">
        <v>946</v>
      </c>
      <c r="B947" s="520" t="s">
        <v>1834</v>
      </c>
      <c r="D947" s="507"/>
    </row>
    <row r="948" spans="1:4" x14ac:dyDescent="0.3">
      <c r="A948" s="550">
        <v>947</v>
      </c>
      <c r="B948" s="520" t="s">
        <v>1835</v>
      </c>
      <c r="D948" s="507"/>
    </row>
    <row r="949" spans="1:4" x14ac:dyDescent="0.3">
      <c r="A949" s="550">
        <v>948</v>
      </c>
      <c r="B949" s="520" t="s">
        <v>1836</v>
      </c>
      <c r="D949" s="507"/>
    </row>
    <row r="950" spans="1:4" x14ac:dyDescent="0.3">
      <c r="A950" s="550">
        <v>949</v>
      </c>
      <c r="B950" s="520" t="s">
        <v>1837</v>
      </c>
      <c r="D950" s="507"/>
    </row>
    <row r="951" spans="1:4" x14ac:dyDescent="0.3">
      <c r="A951" s="550">
        <v>950</v>
      </c>
      <c r="B951" s="520" t="s">
        <v>1838</v>
      </c>
      <c r="D951" s="507"/>
    </row>
    <row r="952" spans="1:4" x14ac:dyDescent="0.3">
      <c r="A952" s="550">
        <v>951</v>
      </c>
      <c r="B952" s="520" t="s">
        <v>1839</v>
      </c>
      <c r="D952" s="507"/>
    </row>
    <row r="953" spans="1:4" x14ac:dyDescent="0.3">
      <c r="A953" s="550">
        <v>952</v>
      </c>
      <c r="B953" s="520" t="s">
        <v>1840</v>
      </c>
      <c r="D953" s="507"/>
    </row>
    <row r="954" spans="1:4" x14ac:dyDescent="0.3">
      <c r="A954" s="550">
        <v>953</v>
      </c>
      <c r="B954" s="520" t="s">
        <v>1841</v>
      </c>
      <c r="D954" s="507"/>
    </row>
    <row r="955" spans="1:4" x14ac:dyDescent="0.3">
      <c r="A955" s="550">
        <v>954</v>
      </c>
      <c r="B955" s="520" t="s">
        <v>1842</v>
      </c>
      <c r="D955" s="507"/>
    </row>
    <row r="956" spans="1:4" x14ac:dyDescent="0.3">
      <c r="A956" s="550">
        <v>955</v>
      </c>
      <c r="B956" s="520" t="s">
        <v>1843</v>
      </c>
      <c r="D956" s="507"/>
    </row>
    <row r="957" spans="1:4" x14ac:dyDescent="0.3">
      <c r="A957" s="550">
        <v>956</v>
      </c>
      <c r="B957" s="520" t="s">
        <v>1844</v>
      </c>
      <c r="D957" s="507"/>
    </row>
    <row r="958" spans="1:4" x14ac:dyDescent="0.3">
      <c r="A958" s="550">
        <v>957</v>
      </c>
      <c r="B958" s="520" t="s">
        <v>1845</v>
      </c>
      <c r="D958" s="507"/>
    </row>
    <row r="959" spans="1:4" x14ac:dyDescent="0.3">
      <c r="A959" s="550">
        <v>958</v>
      </c>
      <c r="B959" s="520" t="s">
        <v>1846</v>
      </c>
      <c r="D959" s="507"/>
    </row>
    <row r="960" spans="1:4" x14ac:dyDescent="0.3">
      <c r="A960" s="550">
        <v>959</v>
      </c>
      <c r="B960" s="520" t="s">
        <v>1847</v>
      </c>
      <c r="D960" s="507"/>
    </row>
    <row r="961" spans="1:4" x14ac:dyDescent="0.3">
      <c r="A961" s="550">
        <v>960</v>
      </c>
      <c r="B961" s="520" t="s">
        <v>1848</v>
      </c>
      <c r="D961" s="507"/>
    </row>
    <row r="962" spans="1:4" x14ac:dyDescent="0.3">
      <c r="A962" s="550">
        <v>961</v>
      </c>
      <c r="B962" s="520" t="s">
        <v>1849</v>
      </c>
      <c r="D962" s="507"/>
    </row>
    <row r="963" spans="1:4" x14ac:dyDescent="0.3">
      <c r="A963" s="550">
        <v>962</v>
      </c>
      <c r="B963" s="520" t="s">
        <v>1850</v>
      </c>
      <c r="D963" s="507"/>
    </row>
    <row r="964" spans="1:4" x14ac:dyDescent="0.3">
      <c r="A964" s="550">
        <v>963</v>
      </c>
      <c r="B964" s="520" t="s">
        <v>1851</v>
      </c>
      <c r="D964" s="507"/>
    </row>
    <row r="965" spans="1:4" x14ac:dyDescent="0.3">
      <c r="A965" s="550">
        <v>964</v>
      </c>
      <c r="B965" s="520" t="s">
        <v>1852</v>
      </c>
      <c r="D965" s="507"/>
    </row>
    <row r="966" spans="1:4" x14ac:dyDescent="0.3">
      <c r="A966" s="550">
        <v>965</v>
      </c>
      <c r="B966" s="520" t="s">
        <v>1853</v>
      </c>
      <c r="D966" s="507"/>
    </row>
    <row r="967" spans="1:4" x14ac:dyDescent="0.3">
      <c r="A967" s="550">
        <v>966</v>
      </c>
      <c r="B967" s="520" t="s">
        <v>1854</v>
      </c>
      <c r="D967" s="507"/>
    </row>
    <row r="968" spans="1:4" x14ac:dyDescent="0.3">
      <c r="A968" s="550">
        <v>967</v>
      </c>
      <c r="B968" s="520" t="s">
        <v>1855</v>
      </c>
      <c r="D968" s="507"/>
    </row>
    <row r="969" spans="1:4" x14ac:dyDescent="0.3">
      <c r="A969" s="550">
        <v>968</v>
      </c>
      <c r="B969" s="520" t="s">
        <v>1856</v>
      </c>
      <c r="D969" s="507"/>
    </row>
    <row r="970" spans="1:4" x14ac:dyDescent="0.3">
      <c r="A970" s="550">
        <v>969</v>
      </c>
      <c r="B970" s="520" t="s">
        <v>1857</v>
      </c>
      <c r="D970" s="507"/>
    </row>
    <row r="971" spans="1:4" x14ac:dyDescent="0.3">
      <c r="A971" s="550">
        <v>970</v>
      </c>
      <c r="B971" s="520" t="s">
        <v>1858</v>
      </c>
      <c r="D971" s="507"/>
    </row>
    <row r="972" spans="1:4" x14ac:dyDescent="0.3">
      <c r="A972" s="550">
        <v>971</v>
      </c>
      <c r="B972" s="520" t="s">
        <v>1859</v>
      </c>
      <c r="D972" s="507"/>
    </row>
    <row r="973" spans="1:4" x14ac:dyDescent="0.3">
      <c r="A973" s="550">
        <v>972</v>
      </c>
      <c r="B973" s="520" t="s">
        <v>1860</v>
      </c>
      <c r="D973" s="507"/>
    </row>
    <row r="974" spans="1:4" x14ac:dyDescent="0.3">
      <c r="A974" s="550">
        <v>973</v>
      </c>
      <c r="B974" s="520" t="s">
        <v>1861</v>
      </c>
      <c r="D974" s="507"/>
    </row>
    <row r="975" spans="1:4" x14ac:dyDescent="0.3">
      <c r="A975" s="550">
        <v>974</v>
      </c>
      <c r="B975" s="520" t="s">
        <v>1862</v>
      </c>
      <c r="D975" s="507"/>
    </row>
    <row r="976" spans="1:4" x14ac:dyDescent="0.3">
      <c r="A976" s="550">
        <v>975</v>
      </c>
      <c r="B976" s="520" t="s">
        <v>1863</v>
      </c>
      <c r="D976" s="507"/>
    </row>
    <row r="977" spans="1:4" x14ac:dyDescent="0.3">
      <c r="A977" s="550">
        <v>976</v>
      </c>
      <c r="B977" s="519" t="s">
        <v>1864</v>
      </c>
      <c r="D977" s="507"/>
    </row>
    <row r="978" spans="1:4" x14ac:dyDescent="0.3">
      <c r="A978" s="550">
        <v>977</v>
      </c>
      <c r="B978" s="499" t="s">
        <v>1865</v>
      </c>
      <c r="D978" s="507"/>
    </row>
    <row r="979" spans="1:4" ht="20.399999999999999" x14ac:dyDescent="0.3">
      <c r="A979" s="550">
        <v>978</v>
      </c>
      <c r="B979" s="496" t="s">
        <v>1866</v>
      </c>
      <c r="D979" s="507"/>
    </row>
    <row r="980" spans="1:4" ht="20.399999999999999" x14ac:dyDescent="0.3">
      <c r="A980" s="550">
        <v>979</v>
      </c>
      <c r="B980" s="495" t="s">
        <v>1867</v>
      </c>
      <c r="D980" s="507"/>
    </row>
    <row r="981" spans="1:4" ht="20.399999999999999" x14ac:dyDescent="0.3">
      <c r="A981" s="550">
        <v>980</v>
      </c>
      <c r="B981" s="495" t="s">
        <v>1868</v>
      </c>
      <c r="D981" s="507"/>
    </row>
    <row r="982" spans="1:4" ht="20.399999999999999" x14ac:dyDescent="0.3">
      <c r="A982" s="550">
        <v>981</v>
      </c>
      <c r="B982" s="496" t="s">
        <v>1869</v>
      </c>
      <c r="D982" s="507"/>
    </row>
    <row r="983" spans="1:4" x14ac:dyDescent="0.3">
      <c r="A983" s="550">
        <v>982</v>
      </c>
      <c r="B983" s="604" t="s">
        <v>1870</v>
      </c>
      <c r="D983" s="507"/>
    </row>
    <row r="984" spans="1:4" ht="15.6" x14ac:dyDescent="0.3">
      <c r="A984" s="550">
        <v>983</v>
      </c>
      <c r="B984" s="497" t="s">
        <v>1871</v>
      </c>
      <c r="D984" s="507"/>
    </row>
    <row r="985" spans="1:4" ht="27.6" x14ac:dyDescent="0.3">
      <c r="A985" s="550">
        <v>984</v>
      </c>
      <c r="B985" s="505" t="s">
        <v>1872</v>
      </c>
      <c r="D985" s="507"/>
    </row>
    <row r="986" spans="1:4" ht="20.399999999999999" x14ac:dyDescent="0.3">
      <c r="A986" s="550">
        <v>985</v>
      </c>
      <c r="B986" s="496" t="s">
        <v>1873</v>
      </c>
      <c r="D986" s="507"/>
    </row>
    <row r="987" spans="1:4" x14ac:dyDescent="0.3">
      <c r="A987" s="550">
        <v>986</v>
      </c>
      <c r="B987" s="499" t="s">
        <v>1874</v>
      </c>
      <c r="D987" s="507"/>
    </row>
    <row r="988" spans="1:4" ht="20.399999999999999" x14ac:dyDescent="0.3">
      <c r="A988" s="550">
        <v>987</v>
      </c>
      <c r="B988" s="496" t="s">
        <v>1875</v>
      </c>
      <c r="D988" s="507"/>
    </row>
    <row r="989" spans="1:4" x14ac:dyDescent="0.3">
      <c r="A989" s="550">
        <v>988</v>
      </c>
      <c r="B989" s="1125" t="s">
        <v>1876</v>
      </c>
      <c r="D989" s="507"/>
    </row>
    <row r="990" spans="1:4" x14ac:dyDescent="0.3">
      <c r="A990" s="550">
        <v>989</v>
      </c>
      <c r="B990" s="499" t="s">
        <v>1877</v>
      </c>
      <c r="D990" s="507"/>
    </row>
    <row r="991" spans="1:4" x14ac:dyDescent="0.3">
      <c r="A991" s="550">
        <v>990</v>
      </c>
      <c r="B991" s="496" t="s">
        <v>1878</v>
      </c>
      <c r="D991" s="507"/>
    </row>
    <row r="992" spans="1:4" x14ac:dyDescent="0.3">
      <c r="A992" s="550">
        <v>991</v>
      </c>
      <c r="B992" s="496" t="s">
        <v>1879</v>
      </c>
      <c r="D992" s="507"/>
    </row>
    <row r="993" spans="1:4" ht="20.399999999999999" x14ac:dyDescent="0.3">
      <c r="A993" s="550">
        <v>992</v>
      </c>
      <c r="B993" s="496" t="s">
        <v>1880</v>
      </c>
      <c r="D993" s="507"/>
    </row>
    <row r="994" spans="1:4" x14ac:dyDescent="0.3">
      <c r="A994" s="550">
        <v>993</v>
      </c>
      <c r="B994" s="496" t="s">
        <v>1881</v>
      </c>
      <c r="D994" s="507"/>
    </row>
    <row r="995" spans="1:4" ht="20.399999999999999" x14ac:dyDescent="0.3">
      <c r="A995" s="550">
        <v>994</v>
      </c>
      <c r="B995" s="496" t="s">
        <v>1882</v>
      </c>
      <c r="D995" s="507"/>
    </row>
    <row r="996" spans="1:4" x14ac:dyDescent="0.3">
      <c r="A996" s="550">
        <v>995</v>
      </c>
      <c r="B996" s="518" t="s">
        <v>1883</v>
      </c>
      <c r="D996" s="507"/>
    </row>
    <row r="997" spans="1:4" x14ac:dyDescent="0.3">
      <c r="A997" s="550">
        <v>996</v>
      </c>
      <c r="B997" s="519" t="s">
        <v>1884</v>
      </c>
      <c r="D997" s="507"/>
    </row>
    <row r="998" spans="1:4" x14ac:dyDescent="0.3">
      <c r="A998" s="550">
        <v>997</v>
      </c>
      <c r="B998" s="499" t="s">
        <v>1885</v>
      </c>
      <c r="D998" s="507"/>
    </row>
    <row r="999" spans="1:4" ht="20.399999999999999" x14ac:dyDescent="0.3">
      <c r="A999" s="550">
        <v>998</v>
      </c>
      <c r="B999" s="496" t="s">
        <v>1886</v>
      </c>
      <c r="D999" s="507"/>
    </row>
    <row r="1000" spans="1:4" x14ac:dyDescent="0.3">
      <c r="A1000" s="550">
        <v>999</v>
      </c>
      <c r="B1000" s="1125" t="s">
        <v>1887</v>
      </c>
      <c r="D1000" s="507"/>
    </row>
    <row r="1001" spans="1:4" ht="15.6" x14ac:dyDescent="0.3">
      <c r="A1001" s="550">
        <v>1000</v>
      </c>
      <c r="B1001" s="497" t="s">
        <v>1888</v>
      </c>
      <c r="D1001" s="507"/>
    </row>
    <row r="1002" spans="1:4" ht="27.6" x14ac:dyDescent="0.3">
      <c r="A1002" s="550">
        <v>1001</v>
      </c>
      <c r="B1002" s="505" t="s">
        <v>1889</v>
      </c>
      <c r="D1002" s="507"/>
    </row>
    <row r="1003" spans="1:4" ht="20.399999999999999" x14ac:dyDescent="0.3">
      <c r="A1003" s="550">
        <v>1002</v>
      </c>
      <c r="B1003" s="496" t="s">
        <v>1890</v>
      </c>
      <c r="D1003" s="507"/>
    </row>
    <row r="1004" spans="1:4" x14ac:dyDescent="0.3">
      <c r="A1004" s="550">
        <v>1003</v>
      </c>
      <c r="B1004" s="499" t="s">
        <v>1891</v>
      </c>
      <c r="D1004" s="507"/>
    </row>
    <row r="1005" spans="1:4" ht="20.399999999999999" x14ac:dyDescent="0.3">
      <c r="A1005" s="550">
        <v>1004</v>
      </c>
      <c r="B1005" s="496" t="s">
        <v>1892</v>
      </c>
      <c r="D1005" s="507"/>
    </row>
    <row r="1006" spans="1:4" x14ac:dyDescent="0.3">
      <c r="A1006" s="550">
        <v>1005</v>
      </c>
      <c r="B1006" s="1125" t="s">
        <v>1893</v>
      </c>
      <c r="D1006" s="507"/>
    </row>
    <row r="1007" spans="1:4" x14ac:dyDescent="0.3">
      <c r="A1007" s="550">
        <v>1006</v>
      </c>
      <c r="B1007" s="496" t="s">
        <v>1894</v>
      </c>
      <c r="D1007" s="507"/>
    </row>
    <row r="1008" spans="1:4" x14ac:dyDescent="0.3">
      <c r="A1008" s="550">
        <v>1007</v>
      </c>
      <c r="B1008" s="496" t="s">
        <v>1895</v>
      </c>
      <c r="D1008" s="507"/>
    </row>
    <row r="1009" spans="1:4" ht="20.399999999999999" x14ac:dyDescent="0.3">
      <c r="A1009" s="550">
        <v>1008</v>
      </c>
      <c r="B1009" s="496" t="s">
        <v>1896</v>
      </c>
      <c r="D1009" s="507"/>
    </row>
    <row r="1010" spans="1:4" x14ac:dyDescent="0.3">
      <c r="A1010" s="550">
        <v>1009</v>
      </c>
      <c r="B1010" s="496" t="s">
        <v>1897</v>
      </c>
      <c r="D1010" s="507"/>
    </row>
    <row r="1011" spans="1:4" ht="20.399999999999999" x14ac:dyDescent="0.3">
      <c r="A1011" s="550">
        <v>1010</v>
      </c>
      <c r="B1011" s="496" t="s">
        <v>1898</v>
      </c>
      <c r="D1011" s="507"/>
    </row>
    <row r="1012" spans="1:4" x14ac:dyDescent="0.3">
      <c r="A1012" s="550">
        <v>1011</v>
      </c>
      <c r="B1012" s="499" t="s">
        <v>1899</v>
      </c>
      <c r="D1012" s="507"/>
    </row>
    <row r="1013" spans="1:4" ht="20.399999999999999" x14ac:dyDescent="0.3">
      <c r="A1013" s="550">
        <v>1012</v>
      </c>
      <c r="B1013" s="496" t="s">
        <v>1900</v>
      </c>
      <c r="D1013" s="507"/>
    </row>
    <row r="1014" spans="1:4" x14ac:dyDescent="0.3">
      <c r="A1014" s="550">
        <v>1013</v>
      </c>
      <c r="B1014" s="1125" t="s">
        <v>1901</v>
      </c>
      <c r="D1014" s="507"/>
    </row>
    <row r="1015" spans="1:4" ht="15.6" x14ac:dyDescent="0.3">
      <c r="A1015" s="550">
        <v>1014</v>
      </c>
      <c r="B1015" s="497" t="s">
        <v>1902</v>
      </c>
      <c r="D1015" s="507"/>
    </row>
    <row r="1016" spans="1:4" ht="27.6" x14ac:dyDescent="0.3">
      <c r="A1016" s="550">
        <v>1015</v>
      </c>
      <c r="B1016" s="505" t="s">
        <v>1903</v>
      </c>
      <c r="D1016" s="507"/>
    </row>
    <row r="1017" spans="1:4" ht="20.399999999999999" x14ac:dyDescent="0.3">
      <c r="A1017" s="550">
        <v>1016</v>
      </c>
      <c r="B1017" s="496" t="s">
        <v>1904</v>
      </c>
      <c r="D1017" s="507"/>
    </row>
    <row r="1018" spans="1:4" x14ac:dyDescent="0.3">
      <c r="A1018" s="550">
        <v>1017</v>
      </c>
      <c r="B1018" s="499" t="s">
        <v>1905</v>
      </c>
      <c r="D1018" s="507"/>
    </row>
    <row r="1019" spans="1:4" x14ac:dyDescent="0.3">
      <c r="A1019" s="550">
        <v>1018</v>
      </c>
      <c r="B1019" s="496" t="s">
        <v>1906</v>
      </c>
      <c r="D1019" s="507"/>
    </row>
    <row r="1020" spans="1:4" x14ac:dyDescent="0.3">
      <c r="A1020" s="550">
        <v>1019</v>
      </c>
      <c r="B1020" s="1125" t="s">
        <v>1907</v>
      </c>
      <c r="D1020" s="507"/>
    </row>
    <row r="1021" spans="1:4" x14ac:dyDescent="0.3">
      <c r="A1021" s="550">
        <v>1020</v>
      </c>
      <c r="B1021" s="499" t="s">
        <v>1908</v>
      </c>
      <c r="D1021" s="507"/>
    </row>
    <row r="1022" spans="1:4" x14ac:dyDescent="0.3">
      <c r="A1022" s="550">
        <v>1021</v>
      </c>
      <c r="B1022" s="496" t="s">
        <v>1909</v>
      </c>
      <c r="D1022" s="507"/>
    </row>
    <row r="1023" spans="1:4" ht="20.399999999999999" x14ac:dyDescent="0.3">
      <c r="A1023" s="550">
        <v>1022</v>
      </c>
      <c r="B1023" s="496" t="s">
        <v>1910</v>
      </c>
      <c r="D1023" s="507"/>
    </row>
    <row r="1024" spans="1:4" ht="20.399999999999999" x14ac:dyDescent="0.3">
      <c r="A1024" s="550">
        <v>1023</v>
      </c>
      <c r="B1024" s="496" t="s">
        <v>1911</v>
      </c>
      <c r="D1024" s="507"/>
    </row>
    <row r="1025" spans="1:4" ht="20.399999999999999" x14ac:dyDescent="0.3">
      <c r="A1025" s="550">
        <v>1024</v>
      </c>
      <c r="B1025" s="496" t="s">
        <v>1912</v>
      </c>
      <c r="D1025" s="507"/>
    </row>
    <row r="1026" spans="1:4" x14ac:dyDescent="0.3">
      <c r="A1026" s="550">
        <v>1025</v>
      </c>
      <c r="B1026" s="502" t="s">
        <v>1913</v>
      </c>
      <c r="D1026" s="507"/>
    </row>
    <row r="1027" spans="1:4" x14ac:dyDescent="0.3">
      <c r="A1027" s="550">
        <v>1026</v>
      </c>
      <c r="B1027" s="518" t="s">
        <v>1914</v>
      </c>
      <c r="D1027" s="507"/>
    </row>
    <row r="1028" spans="1:4" x14ac:dyDescent="0.3">
      <c r="A1028" s="550">
        <v>1027</v>
      </c>
      <c r="B1028" s="520" t="s">
        <v>1915</v>
      </c>
      <c r="D1028" s="507"/>
    </row>
    <row r="1029" spans="1:4" x14ac:dyDescent="0.3">
      <c r="A1029" s="550">
        <v>1028</v>
      </c>
      <c r="B1029" s="519" t="s">
        <v>1916</v>
      </c>
      <c r="D1029" s="507"/>
    </row>
    <row r="1030" spans="1:4" x14ac:dyDescent="0.3">
      <c r="A1030" s="550">
        <v>1029</v>
      </c>
      <c r="B1030" s="499" t="s">
        <v>1917</v>
      </c>
      <c r="D1030" s="507"/>
    </row>
    <row r="1031" spans="1:4" ht="20.399999999999999" x14ac:dyDescent="0.3">
      <c r="A1031" s="550">
        <v>1030</v>
      </c>
      <c r="B1031" s="496" t="s">
        <v>1918</v>
      </c>
      <c r="D1031" s="507"/>
    </row>
    <row r="1032" spans="1:4" x14ac:dyDescent="0.3">
      <c r="A1032" s="550">
        <v>1031</v>
      </c>
      <c r="B1032" s="1125" t="s">
        <v>1919</v>
      </c>
      <c r="D1032" s="507"/>
    </row>
    <row r="1033" spans="1:4" ht="27.6" x14ac:dyDescent="0.3">
      <c r="A1033" s="550">
        <v>1032</v>
      </c>
      <c r="B1033" s="505" t="s">
        <v>1920</v>
      </c>
      <c r="D1033" s="507"/>
    </row>
    <row r="1034" spans="1:4" ht="20.399999999999999" x14ac:dyDescent="0.3">
      <c r="A1034" s="550">
        <v>1033</v>
      </c>
      <c r="B1034" s="496" t="s">
        <v>1921</v>
      </c>
      <c r="D1034" s="507"/>
    </row>
    <row r="1035" spans="1:4" ht="20.399999999999999" x14ac:dyDescent="0.3">
      <c r="A1035" s="550">
        <v>1034</v>
      </c>
      <c r="B1035" s="496" t="s">
        <v>1922</v>
      </c>
      <c r="D1035" s="507"/>
    </row>
    <row r="1036" spans="1:4" ht="20.399999999999999" x14ac:dyDescent="0.3">
      <c r="A1036" s="550">
        <v>1035</v>
      </c>
      <c r="B1036" s="496" t="s">
        <v>1923</v>
      </c>
      <c r="D1036" s="507"/>
    </row>
    <row r="1037" spans="1:4" x14ac:dyDescent="0.3">
      <c r="A1037" s="550">
        <v>1036</v>
      </c>
      <c r="B1037" s="499" t="s">
        <v>1924</v>
      </c>
      <c r="D1037" s="507"/>
    </row>
    <row r="1038" spans="1:4" ht="20.399999999999999" x14ac:dyDescent="0.3">
      <c r="A1038" s="550">
        <v>1037</v>
      </c>
      <c r="B1038" s="496" t="s">
        <v>1925</v>
      </c>
      <c r="D1038" s="507"/>
    </row>
    <row r="1039" spans="1:4" x14ac:dyDescent="0.3">
      <c r="A1039" s="550">
        <v>1038</v>
      </c>
      <c r="B1039" s="502" t="s">
        <v>1926</v>
      </c>
      <c r="D1039" s="507"/>
    </row>
    <row r="1040" spans="1:4" ht="26.4" x14ac:dyDescent="0.3">
      <c r="A1040" s="550">
        <v>1039</v>
      </c>
      <c r="B1040" s="502" t="s">
        <v>1927</v>
      </c>
      <c r="D1040" s="507"/>
    </row>
    <row r="1041" spans="1:4" ht="26.4" x14ac:dyDescent="0.3">
      <c r="A1041" s="550">
        <v>1040</v>
      </c>
      <c r="B1041" s="499" t="s">
        <v>1928</v>
      </c>
      <c r="D1041" s="507"/>
    </row>
    <row r="1042" spans="1:4" x14ac:dyDescent="0.3">
      <c r="A1042" s="550">
        <v>1041</v>
      </c>
      <c r="B1042" s="496" t="s">
        <v>1929</v>
      </c>
      <c r="D1042" s="507"/>
    </row>
    <row r="1043" spans="1:4" x14ac:dyDescent="0.3">
      <c r="A1043" s="550">
        <v>1042</v>
      </c>
      <c r="B1043" s="1125" t="s">
        <v>1930</v>
      </c>
      <c r="D1043" s="507"/>
    </row>
    <row r="1044" spans="1:4" ht="15.6" x14ac:dyDescent="0.3">
      <c r="A1044" s="550">
        <v>1043</v>
      </c>
      <c r="B1044" s="497" t="s">
        <v>1931</v>
      </c>
      <c r="D1044" s="507"/>
    </row>
    <row r="1045" spans="1:4" ht="27.6" x14ac:dyDescent="0.3">
      <c r="A1045" s="550">
        <v>1044</v>
      </c>
      <c r="B1045" s="505" t="s">
        <v>1932</v>
      </c>
      <c r="D1045" s="507"/>
    </row>
    <row r="1046" spans="1:4" ht="20.399999999999999" x14ac:dyDescent="0.3">
      <c r="A1046" s="550">
        <v>1045</v>
      </c>
      <c r="B1046" s="496" t="s">
        <v>1933</v>
      </c>
      <c r="D1046" s="507"/>
    </row>
    <row r="1047" spans="1:4" ht="20.399999999999999" x14ac:dyDescent="0.3">
      <c r="A1047" s="550">
        <v>1046</v>
      </c>
      <c r="B1047" s="496" t="s">
        <v>1934</v>
      </c>
      <c r="D1047" s="507"/>
    </row>
    <row r="1048" spans="1:4" x14ac:dyDescent="0.3">
      <c r="A1048" s="550">
        <v>1047</v>
      </c>
      <c r="B1048" s="496" t="s">
        <v>1935</v>
      </c>
      <c r="D1048" s="507"/>
    </row>
    <row r="1049" spans="1:4" x14ac:dyDescent="0.3">
      <c r="A1049" s="550">
        <v>1048</v>
      </c>
      <c r="B1049" s="520" t="s">
        <v>1936</v>
      </c>
      <c r="D1049" s="507"/>
    </row>
    <row r="1050" spans="1:4" x14ac:dyDescent="0.3">
      <c r="A1050" s="550">
        <v>1049</v>
      </c>
      <c r="B1050" s="499" t="s">
        <v>1937</v>
      </c>
      <c r="D1050" s="507"/>
    </row>
    <row r="1051" spans="1:4" ht="20.399999999999999" x14ac:dyDescent="0.3">
      <c r="A1051" s="550">
        <v>1050</v>
      </c>
      <c r="B1051" s="496" t="s">
        <v>1938</v>
      </c>
      <c r="D1051" s="507"/>
    </row>
    <row r="1052" spans="1:4" ht="20.399999999999999" x14ac:dyDescent="0.3">
      <c r="A1052" s="550">
        <v>1051</v>
      </c>
      <c r="B1052" s="495" t="s">
        <v>1939</v>
      </c>
      <c r="D1052" s="507"/>
    </row>
    <row r="1053" spans="1:4" ht="20.399999999999999" x14ac:dyDescent="0.3">
      <c r="A1053" s="550">
        <v>1052</v>
      </c>
      <c r="B1053" s="495" t="s">
        <v>1940</v>
      </c>
      <c r="D1053" s="507"/>
    </row>
    <row r="1054" spans="1:4" x14ac:dyDescent="0.3">
      <c r="A1054" s="550">
        <v>1053</v>
      </c>
      <c r="B1054" s="604" t="s">
        <v>1941</v>
      </c>
      <c r="D1054" s="507"/>
    </row>
    <row r="1055" spans="1:4" ht="27.6" x14ac:dyDescent="0.3">
      <c r="A1055" s="550">
        <v>1054</v>
      </c>
      <c r="B1055" s="505" t="s">
        <v>1942</v>
      </c>
      <c r="D1055" s="507"/>
    </row>
    <row r="1056" spans="1:4" ht="20.399999999999999" x14ac:dyDescent="0.3">
      <c r="A1056" s="550">
        <v>1055</v>
      </c>
      <c r="B1056" s="496" t="s">
        <v>1943</v>
      </c>
      <c r="D1056" s="507"/>
    </row>
    <row r="1057" spans="1:4" x14ac:dyDescent="0.3">
      <c r="A1057" s="550">
        <v>1056</v>
      </c>
      <c r="B1057" s="495" t="s">
        <v>1944</v>
      </c>
      <c r="D1057" s="507"/>
    </row>
    <row r="1058" spans="1:4" x14ac:dyDescent="0.3">
      <c r="A1058" s="550">
        <v>1057</v>
      </c>
      <c r="B1058" s="499" t="s">
        <v>1945</v>
      </c>
      <c r="D1058" s="507"/>
    </row>
    <row r="1059" spans="1:4" ht="20.399999999999999" x14ac:dyDescent="0.3">
      <c r="A1059" s="550">
        <v>1058</v>
      </c>
      <c r="B1059" s="496" t="s">
        <v>1946</v>
      </c>
      <c r="D1059" s="507"/>
    </row>
    <row r="1060" spans="1:4" ht="20.399999999999999" x14ac:dyDescent="0.3">
      <c r="A1060" s="550">
        <v>1059</v>
      </c>
      <c r="B1060" s="495" t="s">
        <v>1947</v>
      </c>
      <c r="D1060" s="507"/>
    </row>
    <row r="1061" spans="1:4" x14ac:dyDescent="0.3">
      <c r="A1061" s="550">
        <v>1060</v>
      </c>
      <c r="B1061" s="1125" t="s">
        <v>1948</v>
      </c>
      <c r="D1061" s="507"/>
    </row>
    <row r="1062" spans="1:4" x14ac:dyDescent="0.3">
      <c r="A1062" s="550">
        <v>1061</v>
      </c>
      <c r="B1062" s="499" t="s">
        <v>1949</v>
      </c>
      <c r="D1062" s="507"/>
    </row>
    <row r="1063" spans="1:4" ht="20.399999999999999" x14ac:dyDescent="0.3">
      <c r="A1063" s="550">
        <v>1062</v>
      </c>
      <c r="B1063" s="496" t="s">
        <v>1950</v>
      </c>
      <c r="D1063" s="507"/>
    </row>
    <row r="1064" spans="1:4" x14ac:dyDescent="0.3">
      <c r="A1064" s="550">
        <v>1063</v>
      </c>
      <c r="B1064" s="496" t="s">
        <v>1951</v>
      </c>
      <c r="D1064" s="507"/>
    </row>
    <row r="1065" spans="1:4" x14ac:dyDescent="0.3">
      <c r="A1065" s="550">
        <v>1064</v>
      </c>
      <c r="B1065" s="1125" t="s">
        <v>1952</v>
      </c>
      <c r="D1065" s="507"/>
    </row>
    <row r="1066" spans="1:4" x14ac:dyDescent="0.3">
      <c r="A1066" s="550">
        <v>1065</v>
      </c>
      <c r="B1066" s="499" t="s">
        <v>1953</v>
      </c>
      <c r="D1066" s="507"/>
    </row>
    <row r="1067" spans="1:4" ht="20.399999999999999" x14ac:dyDescent="0.3">
      <c r="A1067" s="550">
        <v>1066</v>
      </c>
      <c r="B1067" s="496" t="s">
        <v>1954</v>
      </c>
      <c r="D1067" s="507"/>
    </row>
    <row r="1068" spans="1:4" x14ac:dyDescent="0.3">
      <c r="A1068" s="550">
        <v>1067</v>
      </c>
      <c r="B1068" s="496" t="s">
        <v>1955</v>
      </c>
      <c r="D1068" s="507"/>
    </row>
    <row r="1069" spans="1:4" x14ac:dyDescent="0.3">
      <c r="A1069" s="550">
        <v>1068</v>
      </c>
      <c r="B1069" s="1125" t="s">
        <v>1956</v>
      </c>
      <c r="D1069" s="507"/>
    </row>
    <row r="1070" spans="1:4" ht="15.6" x14ac:dyDescent="0.3">
      <c r="A1070" s="550">
        <v>1069</v>
      </c>
      <c r="B1070" s="497" t="s">
        <v>1957</v>
      </c>
      <c r="D1070" s="507"/>
    </row>
    <row r="1071" spans="1:4" ht="27.6" x14ac:dyDescent="0.3">
      <c r="A1071" s="550">
        <v>1070</v>
      </c>
      <c r="B1071" s="505" t="s">
        <v>1958</v>
      </c>
      <c r="D1071" s="507"/>
    </row>
    <row r="1072" spans="1:4" ht="20.399999999999999" x14ac:dyDescent="0.3">
      <c r="A1072" s="550">
        <v>1071</v>
      </c>
      <c r="B1072" s="496" t="s">
        <v>1959</v>
      </c>
      <c r="D1072" s="507"/>
    </row>
    <row r="1073" spans="1:4" x14ac:dyDescent="0.3">
      <c r="A1073" s="550">
        <v>1072</v>
      </c>
      <c r="B1073" s="495" t="s">
        <v>1960</v>
      </c>
      <c r="D1073" s="507"/>
    </row>
    <row r="1074" spans="1:4" x14ac:dyDescent="0.3">
      <c r="A1074" s="550">
        <v>1073</v>
      </c>
      <c r="B1074" s="499" t="s">
        <v>1961</v>
      </c>
      <c r="D1074" s="507"/>
    </row>
    <row r="1075" spans="1:4" ht="20.399999999999999" x14ac:dyDescent="0.3">
      <c r="A1075" s="550">
        <v>1074</v>
      </c>
      <c r="B1075" s="496" t="s">
        <v>1962</v>
      </c>
      <c r="D1075" s="507"/>
    </row>
    <row r="1076" spans="1:4" x14ac:dyDescent="0.3">
      <c r="A1076" s="550">
        <v>1075</v>
      </c>
      <c r="B1076" s="1125" t="s">
        <v>1963</v>
      </c>
      <c r="D1076" s="507"/>
    </row>
    <row r="1077" spans="1:4" x14ac:dyDescent="0.3">
      <c r="A1077" s="550">
        <v>1076</v>
      </c>
      <c r="B1077" s="496" t="s">
        <v>1964</v>
      </c>
      <c r="D1077" s="507"/>
    </row>
    <row r="1078" spans="1:4" ht="26.4" x14ac:dyDescent="0.3">
      <c r="A1078" s="550">
        <v>1077</v>
      </c>
      <c r="B1078" s="499" t="s">
        <v>1965</v>
      </c>
      <c r="D1078" s="507"/>
    </row>
    <row r="1079" spans="1:4" ht="20.399999999999999" x14ac:dyDescent="0.3">
      <c r="A1079" s="550">
        <v>1078</v>
      </c>
      <c r="B1079" s="496" t="s">
        <v>1966</v>
      </c>
      <c r="D1079" s="507"/>
    </row>
    <row r="1080" spans="1:4" x14ac:dyDescent="0.3">
      <c r="A1080" s="550">
        <v>1079</v>
      </c>
      <c r="B1080" s="1125" t="s">
        <v>1967</v>
      </c>
      <c r="D1080" s="507"/>
    </row>
    <row r="1081" spans="1:4" ht="15.6" x14ac:dyDescent="0.3">
      <c r="A1081" s="550">
        <v>1080</v>
      </c>
      <c r="B1081" s="497" t="s">
        <v>1968</v>
      </c>
      <c r="D1081" s="507"/>
    </row>
    <row r="1082" spans="1:4" ht="27.6" x14ac:dyDescent="0.3">
      <c r="A1082" s="550">
        <v>1081</v>
      </c>
      <c r="B1082" s="505" t="s">
        <v>1969</v>
      </c>
      <c r="D1082" s="507"/>
    </row>
    <row r="1083" spans="1:4" ht="20.399999999999999" x14ac:dyDescent="0.3">
      <c r="A1083" s="550">
        <v>1082</v>
      </c>
      <c r="B1083" s="496" t="s">
        <v>1970</v>
      </c>
      <c r="D1083" s="507"/>
    </row>
    <row r="1084" spans="1:4" x14ac:dyDescent="0.3">
      <c r="A1084" s="550">
        <v>1083</v>
      </c>
      <c r="B1084" s="499" t="s">
        <v>1971</v>
      </c>
      <c r="D1084" s="507"/>
    </row>
    <row r="1085" spans="1:4" ht="20.399999999999999" x14ac:dyDescent="0.3">
      <c r="A1085" s="550">
        <v>1084</v>
      </c>
      <c r="B1085" s="496" t="s">
        <v>1972</v>
      </c>
      <c r="D1085" s="507"/>
    </row>
    <row r="1086" spans="1:4" ht="20.399999999999999" x14ac:dyDescent="0.3">
      <c r="A1086" s="550">
        <v>1085</v>
      </c>
      <c r="B1086" s="496" t="s">
        <v>1973</v>
      </c>
      <c r="D1086" s="507"/>
    </row>
    <row r="1087" spans="1:4" x14ac:dyDescent="0.3">
      <c r="A1087" s="550">
        <v>1086</v>
      </c>
      <c r="B1087" s="518" t="s">
        <v>1974</v>
      </c>
      <c r="D1087" s="507"/>
    </row>
    <row r="1088" spans="1:4" x14ac:dyDescent="0.3">
      <c r="A1088" s="550">
        <v>1087</v>
      </c>
      <c r="B1088" s="520" t="s">
        <v>1975</v>
      </c>
      <c r="D1088" s="507"/>
    </row>
    <row r="1089" spans="1:4" x14ac:dyDescent="0.3">
      <c r="A1089" s="550">
        <v>1088</v>
      </c>
      <c r="B1089" s="520" t="s">
        <v>1976</v>
      </c>
      <c r="D1089" s="507"/>
    </row>
    <row r="1090" spans="1:4" x14ac:dyDescent="0.3">
      <c r="A1090" s="550">
        <v>1089</v>
      </c>
      <c r="B1090" s="519" t="s">
        <v>1977</v>
      </c>
      <c r="D1090" s="507"/>
    </row>
    <row r="1091" spans="1:4" x14ac:dyDescent="0.3">
      <c r="A1091" s="550">
        <v>1090</v>
      </c>
      <c r="B1091" s="1125" t="s">
        <v>1978</v>
      </c>
      <c r="D1091" s="507"/>
    </row>
    <row r="1092" spans="1:4" ht="26.4" x14ac:dyDescent="0.3">
      <c r="A1092" s="550">
        <v>1091</v>
      </c>
      <c r="B1092" s="499" t="s">
        <v>1979</v>
      </c>
      <c r="D1092" s="507"/>
    </row>
    <row r="1093" spans="1:4" ht="20.399999999999999" x14ac:dyDescent="0.3">
      <c r="A1093" s="550">
        <v>1092</v>
      </c>
      <c r="B1093" s="496" t="s">
        <v>1980</v>
      </c>
      <c r="D1093" s="507"/>
    </row>
    <row r="1094" spans="1:4" x14ac:dyDescent="0.3">
      <c r="A1094" s="550">
        <v>1093</v>
      </c>
      <c r="B1094" s="1125" t="s">
        <v>1981</v>
      </c>
      <c r="D1094" s="507"/>
    </row>
    <row r="1095" spans="1:4" ht="15.6" x14ac:dyDescent="0.3">
      <c r="A1095" s="550">
        <v>1094</v>
      </c>
      <c r="B1095" s="497" t="s">
        <v>1982</v>
      </c>
      <c r="D1095" s="507"/>
    </row>
    <row r="1096" spans="1:4" ht="27.6" x14ac:dyDescent="0.3">
      <c r="A1096" s="550">
        <v>1095</v>
      </c>
      <c r="B1096" s="505" t="s">
        <v>1983</v>
      </c>
      <c r="D1096" s="507"/>
    </row>
    <row r="1097" spans="1:4" ht="20.399999999999999" x14ac:dyDescent="0.3">
      <c r="A1097" s="550">
        <v>1096</v>
      </c>
      <c r="B1097" s="496" t="s">
        <v>1984</v>
      </c>
      <c r="D1097" s="507"/>
    </row>
    <row r="1098" spans="1:4" x14ac:dyDescent="0.3">
      <c r="A1098" s="550">
        <v>1097</v>
      </c>
      <c r="B1098" s="496" t="s">
        <v>1985</v>
      </c>
      <c r="D1098" s="507"/>
    </row>
    <row r="1099" spans="1:4" x14ac:dyDescent="0.3">
      <c r="A1099" s="550">
        <v>1098</v>
      </c>
      <c r="B1099" s="496" t="s">
        <v>1986</v>
      </c>
      <c r="D1099" s="507"/>
    </row>
    <row r="1100" spans="1:4" x14ac:dyDescent="0.3">
      <c r="A1100" s="550">
        <v>1099</v>
      </c>
      <c r="B1100" s="496" t="s">
        <v>1987</v>
      </c>
      <c r="D1100" s="507"/>
    </row>
    <row r="1101" spans="1:4" x14ac:dyDescent="0.3">
      <c r="A1101" s="550">
        <v>1100</v>
      </c>
      <c r="B1101" s="496" t="s">
        <v>1988</v>
      </c>
      <c r="D1101" s="507"/>
    </row>
    <row r="1102" spans="1:4" ht="20.399999999999999" x14ac:dyDescent="0.3">
      <c r="A1102" s="550">
        <v>1101</v>
      </c>
      <c r="B1102" s="496" t="s">
        <v>1989</v>
      </c>
      <c r="D1102" s="507"/>
    </row>
    <row r="1103" spans="1:4" x14ac:dyDescent="0.3">
      <c r="A1103" s="550">
        <v>1102</v>
      </c>
      <c r="B1103" s="499" t="s">
        <v>1990</v>
      </c>
      <c r="D1103" s="507"/>
    </row>
    <row r="1104" spans="1:4" x14ac:dyDescent="0.3">
      <c r="A1104" s="550">
        <v>1103</v>
      </c>
      <c r="B1104" s="496" t="s">
        <v>1991</v>
      </c>
      <c r="D1104" s="507"/>
    </row>
    <row r="1105" spans="1:4" x14ac:dyDescent="0.3">
      <c r="A1105" s="550">
        <v>1104</v>
      </c>
      <c r="B1105" s="520" t="s">
        <v>1992</v>
      </c>
      <c r="D1105" s="507"/>
    </row>
    <row r="1106" spans="1:4" x14ac:dyDescent="0.3">
      <c r="A1106" s="550">
        <v>1105</v>
      </c>
      <c r="B1106" s="519" t="s">
        <v>1993</v>
      </c>
      <c r="D1106" s="507"/>
    </row>
    <row r="1107" spans="1:4" ht="15" thickBot="1" x14ac:dyDescent="0.35">
      <c r="A1107" s="550">
        <v>1106</v>
      </c>
      <c r="B1107" s="519" t="s">
        <v>1994</v>
      </c>
      <c r="D1107" s="507"/>
    </row>
    <row r="1108" spans="1:4" ht="26.4" x14ac:dyDescent="0.3">
      <c r="A1108" s="550">
        <v>1107</v>
      </c>
      <c r="B1108" s="527" t="s">
        <v>1995</v>
      </c>
      <c r="D1108" s="507"/>
    </row>
    <row r="1109" spans="1:4" ht="17.399999999999999" x14ac:dyDescent="0.3">
      <c r="A1109" s="550">
        <v>1108</v>
      </c>
      <c r="B1109" s="508" t="s">
        <v>1996</v>
      </c>
      <c r="D1109" s="507"/>
    </row>
    <row r="1110" spans="1:4" ht="16.2" thickBot="1" x14ac:dyDescent="0.35">
      <c r="A1110" s="550">
        <v>1109</v>
      </c>
      <c r="B1110" s="455" t="s">
        <v>1997</v>
      </c>
      <c r="D1110" s="507"/>
    </row>
    <row r="1111" spans="1:4" ht="26.4" x14ac:dyDescent="0.3">
      <c r="A1111" s="550">
        <v>1110</v>
      </c>
      <c r="B1111" s="527" t="s">
        <v>1998</v>
      </c>
      <c r="D1111" s="507"/>
    </row>
    <row r="1112" spans="1:4" ht="34.799999999999997" x14ac:dyDescent="0.3">
      <c r="A1112" s="550">
        <v>1111</v>
      </c>
      <c r="B1112" s="498" t="s">
        <v>1999</v>
      </c>
      <c r="D1112" s="507"/>
    </row>
    <row r="1113" spans="1:4" ht="15.6" x14ac:dyDescent="0.3">
      <c r="A1113" s="550">
        <v>1112</v>
      </c>
      <c r="B1113" s="497" t="s">
        <v>2000</v>
      </c>
      <c r="D1113" s="507"/>
    </row>
    <row r="1114" spans="1:4" ht="27.6" x14ac:dyDescent="0.3">
      <c r="A1114" s="550">
        <v>1113</v>
      </c>
      <c r="B1114" s="505" t="s">
        <v>2001</v>
      </c>
      <c r="D1114" s="507"/>
    </row>
    <row r="1115" spans="1:4" ht="20.399999999999999" x14ac:dyDescent="0.3">
      <c r="A1115" s="550">
        <v>1114</v>
      </c>
      <c r="B1115" s="496" t="s">
        <v>2002</v>
      </c>
      <c r="D1115" s="507"/>
    </row>
    <row r="1116" spans="1:4" x14ac:dyDescent="0.3">
      <c r="A1116" s="550">
        <v>1115</v>
      </c>
      <c r="B1116" s="496" t="s">
        <v>2003</v>
      </c>
      <c r="D1116" s="507"/>
    </row>
    <row r="1117" spans="1:4" ht="20.399999999999999" x14ac:dyDescent="0.3">
      <c r="A1117" s="550">
        <v>1116</v>
      </c>
      <c r="B1117" s="496" t="s">
        <v>2004</v>
      </c>
      <c r="D1117" s="507"/>
    </row>
    <row r="1118" spans="1:4" ht="20.399999999999999" x14ac:dyDescent="0.3">
      <c r="A1118" s="550">
        <v>1117</v>
      </c>
      <c r="B1118" s="496" t="s">
        <v>2005</v>
      </c>
      <c r="D1118" s="507"/>
    </row>
    <row r="1119" spans="1:4" ht="20.399999999999999" x14ac:dyDescent="0.3">
      <c r="A1119" s="550">
        <v>1118</v>
      </c>
      <c r="B1119" s="496" t="s">
        <v>2006</v>
      </c>
      <c r="D1119" s="507"/>
    </row>
    <row r="1120" spans="1:4" ht="26.4" x14ac:dyDescent="0.3">
      <c r="A1120" s="550">
        <v>1119</v>
      </c>
      <c r="B1120" s="499" t="s">
        <v>2007</v>
      </c>
      <c r="D1120" s="507"/>
    </row>
    <row r="1121" spans="1:4" ht="20.399999999999999" x14ac:dyDescent="0.3">
      <c r="A1121" s="550">
        <v>1120</v>
      </c>
      <c r="B1121" s="535" t="s">
        <v>2008</v>
      </c>
      <c r="D1121" s="507"/>
    </row>
    <row r="1122" spans="1:4" x14ac:dyDescent="0.3">
      <c r="A1122" s="550">
        <v>1121</v>
      </c>
      <c r="B1122" s="502" t="s">
        <v>2009</v>
      </c>
      <c r="D1122" s="507"/>
    </row>
    <row r="1123" spans="1:4" x14ac:dyDescent="0.3">
      <c r="A1123" s="550">
        <v>1122</v>
      </c>
      <c r="B1123" s="500" t="s">
        <v>2010</v>
      </c>
      <c r="D1123" s="507"/>
    </row>
    <row r="1124" spans="1:4" x14ac:dyDescent="0.3">
      <c r="A1124" s="550">
        <v>1123</v>
      </c>
      <c r="B1124" s="499" t="s">
        <v>2011</v>
      </c>
      <c r="D1124" s="507"/>
    </row>
    <row r="1125" spans="1:4" x14ac:dyDescent="0.3">
      <c r="A1125" s="550">
        <v>1124</v>
      </c>
      <c r="B1125" s="499" t="s">
        <v>2012</v>
      </c>
      <c r="D1125" s="507"/>
    </row>
    <row r="1126" spans="1:4" ht="20.399999999999999" x14ac:dyDescent="0.3">
      <c r="A1126" s="550">
        <v>1125</v>
      </c>
      <c r="B1126" s="535" t="s">
        <v>2013</v>
      </c>
      <c r="D1126" s="507"/>
    </row>
    <row r="1127" spans="1:4" x14ac:dyDescent="0.3">
      <c r="A1127" s="550">
        <v>1126</v>
      </c>
      <c r="B1127" s="568" t="s">
        <v>2014</v>
      </c>
      <c r="D1127" s="507"/>
    </row>
    <row r="1128" spans="1:4" x14ac:dyDescent="0.3">
      <c r="A1128" s="550">
        <v>1127</v>
      </c>
      <c r="B1128" s="568" t="s">
        <v>2015</v>
      </c>
      <c r="D1128" s="507"/>
    </row>
    <row r="1129" spans="1:4" x14ac:dyDescent="0.3">
      <c r="A1129" s="550">
        <v>1128</v>
      </c>
      <c r="B1129" s="568" t="s">
        <v>2016</v>
      </c>
      <c r="D1129" s="507"/>
    </row>
    <row r="1130" spans="1:4" x14ac:dyDescent="0.3">
      <c r="A1130" s="550">
        <v>1129</v>
      </c>
      <c r="B1130" s="499" t="s">
        <v>2017</v>
      </c>
      <c r="D1130" s="507"/>
    </row>
    <row r="1131" spans="1:4" ht="15.6" x14ac:dyDescent="0.3">
      <c r="A1131" s="550">
        <v>1130</v>
      </c>
      <c r="B1131" s="497" t="s">
        <v>2018</v>
      </c>
      <c r="D1131" s="507"/>
    </row>
    <row r="1132" spans="1:4" ht="42" thickBot="1" x14ac:dyDescent="0.35">
      <c r="A1132" s="550">
        <v>1131</v>
      </c>
      <c r="B1132" s="503" t="s">
        <v>2019</v>
      </c>
      <c r="D1132" s="507"/>
    </row>
    <row r="1133" spans="1:4" ht="26.4" x14ac:dyDescent="0.3">
      <c r="A1133" s="550">
        <v>1132</v>
      </c>
      <c r="B1133" s="527" t="s">
        <v>2020</v>
      </c>
      <c r="D1133" s="507"/>
    </row>
    <row r="1134" spans="1:4" x14ac:dyDescent="0.3">
      <c r="A1134" s="550">
        <v>1133</v>
      </c>
      <c r="B1134" s="1" t="s">
        <v>2021</v>
      </c>
      <c r="D1134" s="507"/>
    </row>
    <row r="1135" spans="1:4" x14ac:dyDescent="0.3">
      <c r="A1135" s="550">
        <v>1134</v>
      </c>
      <c r="B1135" s="1" t="s">
        <v>2022</v>
      </c>
      <c r="D1135" s="507"/>
    </row>
    <row r="1136" spans="1:4" x14ac:dyDescent="0.3">
      <c r="A1136" s="550">
        <v>1135</v>
      </c>
      <c r="B1136" s="1" t="s">
        <v>2023</v>
      </c>
      <c r="D1136" s="507"/>
    </row>
    <row r="1137" spans="1:4" x14ac:dyDescent="0.3">
      <c r="A1137" s="550">
        <v>1136</v>
      </c>
      <c r="B1137" s="1" t="s">
        <v>2024</v>
      </c>
      <c r="D1137" s="507"/>
    </row>
    <row r="1138" spans="1:4" x14ac:dyDescent="0.3">
      <c r="A1138" s="550">
        <v>1137</v>
      </c>
      <c r="B1138" s="1" t="s">
        <v>2025</v>
      </c>
      <c r="D1138" s="507"/>
    </row>
    <row r="1139" spans="1:4" ht="17.399999999999999" x14ac:dyDescent="0.3">
      <c r="A1139" s="550">
        <v>1138</v>
      </c>
      <c r="B1139" s="508" t="s">
        <v>2026</v>
      </c>
      <c r="D1139" s="507"/>
    </row>
    <row r="1140" spans="1:4" x14ac:dyDescent="0.3">
      <c r="A1140" s="550">
        <v>1139</v>
      </c>
      <c r="B1140" s="505" t="s">
        <v>2027</v>
      </c>
      <c r="D1140" s="507"/>
    </row>
    <row r="1141" spans="1:4" x14ac:dyDescent="0.3">
      <c r="A1141" s="550">
        <v>1140</v>
      </c>
      <c r="B1141" s="16" t="s">
        <v>2028</v>
      </c>
      <c r="D1141" s="507"/>
    </row>
    <row r="1142" spans="1:4" x14ac:dyDescent="0.3">
      <c r="A1142" s="550">
        <v>1141</v>
      </c>
      <c r="B1142" s="16" t="s">
        <v>2029</v>
      </c>
      <c r="D1142" s="507"/>
    </row>
    <row r="1143" spans="1:4" x14ac:dyDescent="0.3">
      <c r="A1143" s="550">
        <v>1142</v>
      </c>
      <c r="B1143" s="16" t="s">
        <v>2030</v>
      </c>
      <c r="D1143" s="507"/>
    </row>
    <row r="1144" spans="1:4" x14ac:dyDescent="0.3">
      <c r="A1144" s="550">
        <v>1143</v>
      </c>
      <c r="B1144" s="16" t="s">
        <v>2031</v>
      </c>
      <c r="D1144" s="507"/>
    </row>
    <row r="1145" spans="1:4" x14ac:dyDescent="0.3">
      <c r="A1145" s="550">
        <v>1144</v>
      </c>
      <c r="B1145" s="16" t="s">
        <v>2032</v>
      </c>
      <c r="D1145" s="507"/>
    </row>
    <row r="1146" spans="1:4" x14ac:dyDescent="0.3">
      <c r="A1146" s="550">
        <v>1145</v>
      </c>
      <c r="B1146" s="16" t="s">
        <v>2033</v>
      </c>
      <c r="D1146" s="507"/>
    </row>
    <row r="1147" spans="1:4" x14ac:dyDescent="0.3">
      <c r="A1147" s="550">
        <v>1146</v>
      </c>
      <c r="B1147" s="16" t="s">
        <v>2034</v>
      </c>
      <c r="D1147" s="507"/>
    </row>
    <row r="1148" spans="1:4" x14ac:dyDescent="0.3">
      <c r="A1148" s="550">
        <v>1147</v>
      </c>
      <c r="B1148" s="16" t="s">
        <v>2035</v>
      </c>
      <c r="D1148" s="507"/>
    </row>
    <row r="1149" spans="1:4" x14ac:dyDescent="0.3">
      <c r="A1149" s="550">
        <v>1148</v>
      </c>
      <c r="B1149" s="16" t="s">
        <v>2036</v>
      </c>
      <c r="D1149" s="507"/>
    </row>
    <row r="1150" spans="1:4" x14ac:dyDescent="0.3">
      <c r="A1150" s="550">
        <v>1149</v>
      </c>
      <c r="B1150" s="16" t="s">
        <v>2037</v>
      </c>
      <c r="D1150" s="507"/>
    </row>
    <row r="1151" spans="1:4" x14ac:dyDescent="0.3">
      <c r="A1151" s="550">
        <v>1150</v>
      </c>
      <c r="B1151" s="16" t="s">
        <v>2038</v>
      </c>
      <c r="D1151" s="507"/>
    </row>
    <row r="1152" spans="1:4" x14ac:dyDescent="0.3">
      <c r="A1152" s="550">
        <v>1151</v>
      </c>
      <c r="B1152" s="16" t="s">
        <v>2039</v>
      </c>
      <c r="D1152" s="507"/>
    </row>
    <row r="1153" spans="1:4" x14ac:dyDescent="0.3">
      <c r="A1153" s="550">
        <v>1152</v>
      </c>
      <c r="B1153" s="505" t="s">
        <v>2040</v>
      </c>
      <c r="D1153" s="507"/>
    </row>
    <row r="1154" spans="1:4" x14ac:dyDescent="0.3">
      <c r="A1154" s="550">
        <v>1153</v>
      </c>
      <c r="B1154" s="536" t="s">
        <v>2041</v>
      </c>
      <c r="D1154" s="507"/>
    </row>
    <row r="1155" spans="1:4" x14ac:dyDescent="0.3">
      <c r="A1155" s="550">
        <v>1154</v>
      </c>
      <c r="B1155" s="536" t="s">
        <v>2042</v>
      </c>
      <c r="D1155" s="507"/>
    </row>
    <row r="1156" spans="1:4" x14ac:dyDescent="0.3">
      <c r="A1156" s="550">
        <v>1155</v>
      </c>
      <c r="B1156" s="536" t="s">
        <v>2043</v>
      </c>
      <c r="D1156" s="507"/>
    </row>
    <row r="1157" spans="1:4" ht="15.6" x14ac:dyDescent="0.3">
      <c r="A1157" s="550">
        <v>1156</v>
      </c>
      <c r="B1157" s="455" t="s">
        <v>2044</v>
      </c>
      <c r="D1157" s="507"/>
    </row>
    <row r="1158" spans="1:4" x14ac:dyDescent="0.3">
      <c r="A1158" s="550">
        <v>1157</v>
      </c>
      <c r="B1158" s="505" t="s">
        <v>2045</v>
      </c>
      <c r="D1158" s="507"/>
    </row>
    <row r="1159" spans="1:4" x14ac:dyDescent="0.3">
      <c r="A1159" s="550">
        <v>1158</v>
      </c>
      <c r="B1159" s="613" t="s">
        <v>2046</v>
      </c>
      <c r="D1159" s="507"/>
    </row>
    <row r="1160" spans="1:4" x14ac:dyDescent="0.3">
      <c r="A1160" s="550">
        <v>1159</v>
      </c>
      <c r="B1160" s="613" t="s">
        <v>2047</v>
      </c>
      <c r="D1160" s="507"/>
    </row>
    <row r="1161" spans="1:4" x14ac:dyDescent="0.3">
      <c r="A1161" s="550">
        <v>1160</v>
      </c>
      <c r="B1161" s="613" t="s">
        <v>2048</v>
      </c>
      <c r="D1161" s="507"/>
    </row>
    <row r="1162" spans="1:4" x14ac:dyDescent="0.3">
      <c r="A1162" s="550">
        <v>1161</v>
      </c>
      <c r="B1162" s="613" t="s">
        <v>2049</v>
      </c>
      <c r="D1162" s="507"/>
    </row>
    <row r="1163" spans="1:4" ht="26.4" x14ac:dyDescent="0.3">
      <c r="A1163" s="550">
        <v>1162</v>
      </c>
      <c r="B1163" s="499" t="s">
        <v>2050</v>
      </c>
      <c r="D1163" s="507"/>
    </row>
    <row r="1164" spans="1:4" x14ac:dyDescent="0.3">
      <c r="A1164" s="550">
        <v>1163</v>
      </c>
      <c r="B1164" s="537" t="s">
        <v>2051</v>
      </c>
      <c r="D1164" s="507"/>
    </row>
    <row r="1165" spans="1:4" x14ac:dyDescent="0.3">
      <c r="A1165" s="550">
        <v>1164</v>
      </c>
      <c r="B1165" s="538" t="s">
        <v>2052</v>
      </c>
      <c r="D1165" s="507"/>
    </row>
    <row r="1166" spans="1:4" ht="15.6" x14ac:dyDescent="0.3">
      <c r="A1166" s="550">
        <v>1165</v>
      </c>
      <c r="B1166" s="455" t="s">
        <v>2053</v>
      </c>
      <c r="D1166" s="507"/>
    </row>
    <row r="1167" spans="1:4" ht="27.6" x14ac:dyDescent="0.3">
      <c r="A1167" s="550">
        <v>1166</v>
      </c>
      <c r="B1167" s="505" t="s">
        <v>2054</v>
      </c>
      <c r="D1167" s="507"/>
    </row>
    <row r="1168" spans="1:4" x14ac:dyDescent="0.3">
      <c r="A1168" s="550">
        <v>1167</v>
      </c>
      <c r="B1168" s="505" t="s">
        <v>2055</v>
      </c>
      <c r="D1168" s="507"/>
    </row>
    <row r="1169" spans="1:4" ht="20.399999999999999" x14ac:dyDescent="0.3">
      <c r="A1169" s="550">
        <v>1168</v>
      </c>
      <c r="B1169" s="496" t="s">
        <v>2056</v>
      </c>
      <c r="D1169" s="507"/>
    </row>
    <row r="1170" spans="1:4" x14ac:dyDescent="0.3">
      <c r="A1170" s="550">
        <v>1169</v>
      </c>
      <c r="B1170" s="496" t="s">
        <v>2057</v>
      </c>
      <c r="D1170" s="507"/>
    </row>
    <row r="1171" spans="1:4" x14ac:dyDescent="0.3">
      <c r="A1171" s="550">
        <v>1170</v>
      </c>
      <c r="B1171" s="496" t="s">
        <v>2058</v>
      </c>
      <c r="D1171" s="507"/>
    </row>
    <row r="1172" spans="1:4" x14ac:dyDescent="0.3">
      <c r="A1172" s="550">
        <v>1171</v>
      </c>
      <c r="B1172" s="496" t="s">
        <v>2059</v>
      </c>
      <c r="D1172" s="507"/>
    </row>
    <row r="1173" spans="1:4" ht="20.399999999999999" x14ac:dyDescent="0.3">
      <c r="A1173" s="550">
        <v>1172</v>
      </c>
      <c r="B1173" s="496" t="s">
        <v>2060</v>
      </c>
      <c r="D1173" s="507"/>
    </row>
    <row r="1174" spans="1:4" ht="20.399999999999999" x14ac:dyDescent="0.3">
      <c r="A1174" s="550">
        <v>1173</v>
      </c>
      <c r="B1174" s="496" t="s">
        <v>2061</v>
      </c>
      <c r="D1174" s="507"/>
    </row>
    <row r="1175" spans="1:4" ht="20.399999999999999" x14ac:dyDescent="0.3">
      <c r="A1175" s="550">
        <v>1174</v>
      </c>
      <c r="B1175" s="496" t="s">
        <v>2062</v>
      </c>
      <c r="D1175" s="507"/>
    </row>
    <row r="1176" spans="1:4" ht="30.6" x14ac:dyDescent="0.3">
      <c r="A1176" s="550">
        <v>1175</v>
      </c>
      <c r="B1176" s="496" t="s">
        <v>2063</v>
      </c>
      <c r="D1176" s="507"/>
    </row>
    <row r="1177" spans="1:4" ht="20.399999999999999" x14ac:dyDescent="0.3">
      <c r="A1177" s="550">
        <v>1176</v>
      </c>
      <c r="B1177" s="496" t="s">
        <v>2064</v>
      </c>
      <c r="D1177" s="507"/>
    </row>
    <row r="1178" spans="1:4" x14ac:dyDescent="0.3">
      <c r="A1178" s="550">
        <v>1177</v>
      </c>
      <c r="B1178" s="496" t="s">
        <v>2065</v>
      </c>
      <c r="D1178" s="507"/>
    </row>
    <row r="1179" spans="1:4" ht="40.799999999999997" x14ac:dyDescent="0.3">
      <c r="A1179" s="550">
        <v>1178</v>
      </c>
      <c r="B1179" s="495" t="s">
        <v>2066</v>
      </c>
      <c r="D1179" s="507"/>
    </row>
    <row r="1180" spans="1:4" ht="30.6" x14ac:dyDescent="0.3">
      <c r="A1180" s="550">
        <v>1179</v>
      </c>
      <c r="B1180" s="496" t="s">
        <v>2067</v>
      </c>
      <c r="D1180" s="507"/>
    </row>
    <row r="1181" spans="1:4" x14ac:dyDescent="0.3">
      <c r="A1181" s="550">
        <v>1180</v>
      </c>
      <c r="B1181" s="496" t="s">
        <v>2068</v>
      </c>
      <c r="D1181" s="507"/>
    </row>
    <row r="1182" spans="1:4" ht="20.399999999999999" x14ac:dyDescent="0.3">
      <c r="A1182" s="550">
        <v>1181</v>
      </c>
      <c r="B1182" s="496" t="s">
        <v>2069</v>
      </c>
      <c r="D1182" s="507"/>
    </row>
    <row r="1183" spans="1:4" ht="20.399999999999999" x14ac:dyDescent="0.3">
      <c r="A1183" s="550">
        <v>1182</v>
      </c>
      <c r="B1183" s="496" t="s">
        <v>2070</v>
      </c>
      <c r="D1183" s="507"/>
    </row>
    <row r="1184" spans="1:4" x14ac:dyDescent="0.3">
      <c r="A1184" s="550">
        <v>1183</v>
      </c>
      <c r="B1184" s="502" t="s">
        <v>2071</v>
      </c>
      <c r="D1184" s="507"/>
    </row>
    <row r="1185" spans="1:4" x14ac:dyDescent="0.3">
      <c r="A1185" s="550">
        <v>1184</v>
      </c>
      <c r="B1185" s="615" t="s">
        <v>2072</v>
      </c>
      <c r="D1185" s="507"/>
    </row>
    <row r="1186" spans="1:4" x14ac:dyDescent="0.3">
      <c r="A1186" s="550">
        <v>1185</v>
      </c>
      <c r="B1186" s="505" t="s">
        <v>2073</v>
      </c>
      <c r="D1186" s="507"/>
    </row>
    <row r="1187" spans="1:4" x14ac:dyDescent="0.3">
      <c r="A1187" s="550">
        <v>1186</v>
      </c>
      <c r="B1187" s="499" t="s">
        <v>2074</v>
      </c>
      <c r="D1187" s="507"/>
    </row>
    <row r="1188" spans="1:4" x14ac:dyDescent="0.3">
      <c r="A1188" s="550">
        <v>1187</v>
      </c>
      <c r="B1188" s="502" t="s">
        <v>2075</v>
      </c>
      <c r="D1188" s="507"/>
    </row>
    <row r="1189" spans="1:4" x14ac:dyDescent="0.3">
      <c r="A1189" s="550">
        <v>1188</v>
      </c>
      <c r="B1189" s="502" t="s">
        <v>2076</v>
      </c>
      <c r="D1189" s="507"/>
    </row>
    <row r="1190" spans="1:4" x14ac:dyDescent="0.3">
      <c r="A1190" s="550">
        <v>1189</v>
      </c>
      <c r="B1190" s="502" t="s">
        <v>2077</v>
      </c>
      <c r="D1190" s="507"/>
    </row>
    <row r="1191" spans="1:4" x14ac:dyDescent="0.3">
      <c r="A1191" s="550">
        <v>1190</v>
      </c>
      <c r="B1191" s="518" t="s">
        <v>2078</v>
      </c>
      <c r="D1191" s="507"/>
    </row>
    <row r="1192" spans="1:4" x14ac:dyDescent="0.3">
      <c r="A1192" s="550">
        <v>1191</v>
      </c>
      <c r="B1192" s="519" t="s">
        <v>2079</v>
      </c>
      <c r="D1192" s="507"/>
    </row>
    <row r="1193" spans="1:4" x14ac:dyDescent="0.3">
      <c r="A1193" s="550">
        <v>1192</v>
      </c>
      <c r="B1193" s="502" t="s">
        <v>2080</v>
      </c>
      <c r="D1193" s="507"/>
    </row>
    <row r="1194" spans="1:4" x14ac:dyDescent="0.3">
      <c r="A1194" s="550">
        <v>1193</v>
      </c>
      <c r="B1194" s="499" t="s">
        <v>2081</v>
      </c>
      <c r="D1194" s="507"/>
    </row>
    <row r="1195" spans="1:4" ht="27.6" x14ac:dyDescent="0.3">
      <c r="A1195" s="550">
        <v>1194</v>
      </c>
      <c r="B1195" s="505" t="s">
        <v>2082</v>
      </c>
      <c r="D1195" s="507"/>
    </row>
    <row r="1196" spans="1:4" x14ac:dyDescent="0.3">
      <c r="A1196" s="550">
        <v>1195</v>
      </c>
      <c r="B1196" s="539" t="s">
        <v>269</v>
      </c>
      <c r="D1196" s="507"/>
    </row>
    <row r="1197" spans="1:4" x14ac:dyDescent="0.3">
      <c r="A1197" s="550">
        <v>1196</v>
      </c>
      <c r="B1197" s="505" t="s">
        <v>2083</v>
      </c>
      <c r="D1197" s="507"/>
    </row>
    <row r="1198" spans="1:4" x14ac:dyDescent="0.3">
      <c r="A1198" s="550">
        <v>1197</v>
      </c>
      <c r="B1198" s="16" t="s">
        <v>2084</v>
      </c>
      <c r="D1198" s="507"/>
    </row>
    <row r="1199" spans="1:4" x14ac:dyDescent="0.3">
      <c r="A1199" s="550">
        <v>1198</v>
      </c>
      <c r="B1199" s="505" t="s">
        <v>2085</v>
      </c>
      <c r="D1199" s="507"/>
    </row>
    <row r="1200" spans="1:4" x14ac:dyDescent="0.3">
      <c r="A1200" s="550">
        <v>1199</v>
      </c>
      <c r="B1200" s="505" t="s">
        <v>2086</v>
      </c>
      <c r="D1200" s="507"/>
    </row>
    <row r="1201" spans="1:4" ht="15.6" x14ac:dyDescent="0.3">
      <c r="A1201" s="550">
        <v>1200</v>
      </c>
      <c r="B1201" s="455" t="s">
        <v>2087</v>
      </c>
      <c r="D1201" s="507"/>
    </row>
    <row r="1202" spans="1:4" x14ac:dyDescent="0.3">
      <c r="A1202" s="550">
        <v>1201</v>
      </c>
      <c r="B1202" s="505" t="s">
        <v>2088</v>
      </c>
      <c r="D1202" s="507"/>
    </row>
    <row r="1203" spans="1:4" x14ac:dyDescent="0.3">
      <c r="A1203" s="550">
        <v>1202</v>
      </c>
      <c r="B1203" s="540" t="s">
        <v>2089</v>
      </c>
      <c r="D1203" s="507"/>
    </row>
    <row r="1204" spans="1:4" x14ac:dyDescent="0.3">
      <c r="A1204" s="550">
        <v>1203</v>
      </c>
      <c r="B1204" s="541" t="s">
        <v>2090</v>
      </c>
      <c r="D1204" s="507"/>
    </row>
    <row r="1205" spans="1:4" ht="20.399999999999999" x14ac:dyDescent="0.3">
      <c r="A1205" s="550">
        <v>1204</v>
      </c>
      <c r="B1205" s="542" t="s">
        <v>2091</v>
      </c>
      <c r="D1205" s="507"/>
    </row>
    <row r="1206" spans="1:4" x14ac:dyDescent="0.3">
      <c r="A1206" s="550">
        <v>1205</v>
      </c>
      <c r="B1206" s="541" t="s">
        <v>2092</v>
      </c>
      <c r="D1206" s="507"/>
    </row>
    <row r="1207" spans="1:4" x14ac:dyDescent="0.3">
      <c r="A1207" s="550">
        <v>1206</v>
      </c>
      <c r="B1207" s="542" t="s">
        <v>2093</v>
      </c>
      <c r="D1207" s="507"/>
    </row>
    <row r="1208" spans="1:4" x14ac:dyDescent="0.3">
      <c r="A1208" s="550">
        <v>1207</v>
      </c>
      <c r="B1208" s="541" t="s">
        <v>2094</v>
      </c>
      <c r="D1208" s="507"/>
    </row>
    <row r="1209" spans="1:4" x14ac:dyDescent="0.3">
      <c r="A1209" s="550">
        <v>1208</v>
      </c>
      <c r="B1209" s="542" t="s">
        <v>2095</v>
      </c>
      <c r="D1209" s="507"/>
    </row>
    <row r="1210" spans="1:4" x14ac:dyDescent="0.3">
      <c r="A1210" s="550">
        <v>1209</v>
      </c>
      <c r="B1210" s="541" t="s">
        <v>2096</v>
      </c>
      <c r="D1210" s="507"/>
    </row>
    <row r="1211" spans="1:4" ht="30.6" x14ac:dyDescent="0.3">
      <c r="A1211" s="550">
        <v>1210</v>
      </c>
      <c r="B1211" s="542" t="s">
        <v>2097</v>
      </c>
      <c r="D1211" s="507"/>
    </row>
    <row r="1212" spans="1:4" x14ac:dyDescent="0.3">
      <c r="A1212" s="550">
        <v>1211</v>
      </c>
      <c r="B1212" s="541" t="s">
        <v>2098</v>
      </c>
      <c r="D1212" s="507"/>
    </row>
    <row r="1213" spans="1:4" ht="20.399999999999999" x14ac:dyDescent="0.3">
      <c r="A1213" s="550">
        <v>1212</v>
      </c>
      <c r="B1213" s="542" t="s">
        <v>2099</v>
      </c>
      <c r="D1213" s="507"/>
    </row>
    <row r="1214" spans="1:4" x14ac:dyDescent="0.3">
      <c r="A1214" s="550">
        <v>1213</v>
      </c>
      <c r="B1214" s="541" t="s">
        <v>2100</v>
      </c>
      <c r="D1214" s="507"/>
    </row>
    <row r="1215" spans="1:4" ht="20.399999999999999" x14ac:dyDescent="0.3">
      <c r="A1215" s="550">
        <v>1214</v>
      </c>
      <c r="B1215" s="542" t="s">
        <v>2101</v>
      </c>
      <c r="D1215" s="507"/>
    </row>
    <row r="1216" spans="1:4" x14ac:dyDescent="0.3">
      <c r="A1216" s="550">
        <v>1215</v>
      </c>
      <c r="B1216" s="542" t="s">
        <v>2102</v>
      </c>
      <c r="D1216" s="507"/>
    </row>
    <row r="1217" spans="1:4" ht="20.399999999999999" x14ac:dyDescent="0.3">
      <c r="A1217" s="550">
        <v>1216</v>
      </c>
      <c r="B1217" s="542" t="s">
        <v>2103</v>
      </c>
      <c r="D1217" s="507"/>
    </row>
    <row r="1218" spans="1:4" x14ac:dyDescent="0.3">
      <c r="A1218" s="550">
        <v>1217</v>
      </c>
      <c r="B1218" s="541" t="s">
        <v>2104</v>
      </c>
      <c r="D1218" s="507"/>
    </row>
    <row r="1219" spans="1:4" ht="20.399999999999999" x14ac:dyDescent="0.3">
      <c r="A1219" s="550">
        <v>1218</v>
      </c>
      <c r="B1219" s="542" t="s">
        <v>2105</v>
      </c>
      <c r="D1219" s="507"/>
    </row>
    <row r="1220" spans="1:4" x14ac:dyDescent="0.3">
      <c r="A1220" s="550">
        <v>1219</v>
      </c>
      <c r="B1220" s="541" t="s">
        <v>2106</v>
      </c>
      <c r="D1220" s="507"/>
    </row>
    <row r="1221" spans="1:4" ht="20.399999999999999" x14ac:dyDescent="0.3">
      <c r="A1221" s="550">
        <v>1220</v>
      </c>
      <c r="B1221" s="542" t="s">
        <v>2107</v>
      </c>
      <c r="D1221" s="507"/>
    </row>
    <row r="1222" spans="1:4" ht="20.399999999999999" x14ac:dyDescent="0.3">
      <c r="A1222" s="550">
        <v>1221</v>
      </c>
      <c r="B1222" s="542" t="s">
        <v>2108</v>
      </c>
      <c r="D1222" s="507"/>
    </row>
    <row r="1223" spans="1:4" ht="20.399999999999999" x14ac:dyDescent="0.3">
      <c r="A1223" s="550">
        <v>1222</v>
      </c>
      <c r="B1223" s="542" t="s">
        <v>2109</v>
      </c>
      <c r="D1223" s="507"/>
    </row>
    <row r="1224" spans="1:4" x14ac:dyDescent="0.3">
      <c r="A1224" s="550">
        <v>1223</v>
      </c>
      <c r="B1224" s="541" t="s">
        <v>2110</v>
      </c>
      <c r="D1224" s="507"/>
    </row>
    <row r="1225" spans="1:4" x14ac:dyDescent="0.3">
      <c r="A1225" s="550">
        <v>1224</v>
      </c>
      <c r="B1225" s="542" t="s">
        <v>2111</v>
      </c>
      <c r="D1225" s="507"/>
    </row>
    <row r="1226" spans="1:4" x14ac:dyDescent="0.3">
      <c r="A1226" s="550">
        <v>1225</v>
      </c>
      <c r="B1226" s="535" t="s">
        <v>2112</v>
      </c>
      <c r="D1226" s="507"/>
    </row>
    <row r="1227" spans="1:4" ht="30.6" x14ac:dyDescent="0.3">
      <c r="A1227" s="550">
        <v>1226</v>
      </c>
      <c r="B1227" s="535" t="s">
        <v>2113</v>
      </c>
      <c r="D1227" s="507"/>
    </row>
    <row r="1228" spans="1:4" ht="40.799999999999997" x14ac:dyDescent="0.3">
      <c r="A1228" s="550">
        <v>1227</v>
      </c>
      <c r="B1228" s="540" t="s">
        <v>2114</v>
      </c>
      <c r="D1228" s="507"/>
    </row>
    <row r="1229" spans="1:4" x14ac:dyDescent="0.3">
      <c r="A1229" s="550">
        <v>1228</v>
      </c>
      <c r="B1229" s="542" t="s">
        <v>2115</v>
      </c>
      <c r="D1229" s="507"/>
    </row>
    <row r="1230" spans="1:4" ht="20.399999999999999" x14ac:dyDescent="0.3">
      <c r="A1230" s="550">
        <v>1229</v>
      </c>
      <c r="B1230" s="542" t="s">
        <v>2116</v>
      </c>
      <c r="D1230" s="507"/>
    </row>
    <row r="1231" spans="1:4" x14ac:dyDescent="0.3">
      <c r="A1231" s="550">
        <v>1230</v>
      </c>
      <c r="B1231" s="543" t="s">
        <v>2117</v>
      </c>
      <c r="D1231" s="507"/>
    </row>
    <row r="1232" spans="1:4" ht="31.2" thickBot="1" x14ac:dyDescent="0.35">
      <c r="A1232" s="550">
        <v>1231</v>
      </c>
      <c r="B1232" s="543" t="s">
        <v>2118</v>
      </c>
      <c r="D1232" s="507"/>
    </row>
    <row r="1233" spans="1:4" ht="93" thickBot="1" x14ac:dyDescent="0.35">
      <c r="A1233" s="550">
        <v>1232</v>
      </c>
      <c r="B1233" s="569" t="s">
        <v>2119</v>
      </c>
      <c r="D1233" s="507"/>
    </row>
    <row r="1234" spans="1:4" x14ac:dyDescent="0.3">
      <c r="A1234" s="550">
        <v>1233</v>
      </c>
      <c r="B1234" s="468" t="s">
        <v>2120</v>
      </c>
      <c r="D1234" s="507"/>
    </row>
    <row r="1235" spans="1:4" x14ac:dyDescent="0.3">
      <c r="A1235" s="550">
        <v>1234</v>
      </c>
      <c r="B1235" s="504" t="s">
        <v>2121</v>
      </c>
      <c r="D1235" s="507"/>
    </row>
    <row r="1236" spans="1:4" x14ac:dyDescent="0.3">
      <c r="A1236" s="550">
        <v>1235</v>
      </c>
      <c r="B1236" s="544" t="s">
        <v>2122</v>
      </c>
      <c r="D1236" s="507"/>
    </row>
    <row r="1237" spans="1:4" x14ac:dyDescent="0.3">
      <c r="A1237" s="550">
        <v>1236</v>
      </c>
      <c r="B1237" s="544" t="s">
        <v>2123</v>
      </c>
      <c r="D1237" s="507"/>
    </row>
    <row r="1238" spans="1:4" x14ac:dyDescent="0.3">
      <c r="A1238" s="550">
        <v>1237</v>
      </c>
      <c r="B1238" s="545" t="s">
        <v>2124</v>
      </c>
      <c r="D1238" s="507"/>
    </row>
    <row r="1239" spans="1:4" x14ac:dyDescent="0.3">
      <c r="A1239" s="550">
        <v>1238</v>
      </c>
      <c r="B1239" s="605" t="s">
        <v>2125</v>
      </c>
      <c r="D1239" s="507"/>
    </row>
    <row r="1240" spans="1:4" x14ac:dyDescent="0.3">
      <c r="A1240" s="550">
        <v>1239</v>
      </c>
      <c r="B1240" s="605" t="s">
        <v>2126</v>
      </c>
      <c r="D1240" s="507"/>
    </row>
    <row r="1241" spans="1:4" x14ac:dyDescent="0.3">
      <c r="A1241" s="550">
        <v>1240</v>
      </c>
      <c r="B1241" s="533" t="s">
        <v>2127</v>
      </c>
      <c r="D1241" s="507"/>
    </row>
    <row r="1242" spans="1:4" x14ac:dyDescent="0.3">
      <c r="A1242" s="550">
        <v>1241</v>
      </c>
      <c r="B1242" s="533" t="s">
        <v>2128</v>
      </c>
      <c r="D1242" s="507"/>
    </row>
    <row r="1243" spans="1:4" x14ac:dyDescent="0.3">
      <c r="A1243" s="550">
        <v>1242</v>
      </c>
      <c r="B1243" s="533" t="s">
        <v>2129</v>
      </c>
      <c r="D1243" s="507"/>
    </row>
    <row r="1244" spans="1:4" x14ac:dyDescent="0.3">
      <c r="A1244" s="550">
        <v>1243</v>
      </c>
      <c r="B1244" s="533" t="s">
        <v>2130</v>
      </c>
      <c r="D1244" s="507"/>
    </row>
    <row r="1245" spans="1:4" x14ac:dyDescent="0.3">
      <c r="A1245" s="550">
        <v>1244</v>
      </c>
      <c r="B1245" s="533" t="s">
        <v>2131</v>
      </c>
      <c r="D1245" s="507"/>
    </row>
    <row r="1246" spans="1:4" ht="15.6" x14ac:dyDescent="0.3">
      <c r="A1246" s="550">
        <v>1245</v>
      </c>
      <c r="B1246" s="455" t="s">
        <v>2132</v>
      </c>
      <c r="D1246" s="507"/>
    </row>
    <row r="1247" spans="1:4" ht="51" x14ac:dyDescent="0.3">
      <c r="A1247" s="550">
        <v>1246</v>
      </c>
      <c r="B1247" s="496" t="s">
        <v>2133</v>
      </c>
      <c r="D1247" s="507"/>
    </row>
    <row r="1248" spans="1:4" ht="20.399999999999999" x14ac:dyDescent="0.3">
      <c r="A1248" s="550">
        <v>1247</v>
      </c>
      <c r="B1248" s="496" t="s">
        <v>2134</v>
      </c>
      <c r="D1248" s="507"/>
    </row>
    <row r="1249" spans="1:4" ht="20.399999999999999" x14ac:dyDescent="0.3">
      <c r="A1249" s="550">
        <v>1248</v>
      </c>
      <c r="B1249" s="496" t="s">
        <v>2135</v>
      </c>
      <c r="D1249" s="507"/>
    </row>
    <row r="1250" spans="1:4" x14ac:dyDescent="0.3">
      <c r="A1250" s="550">
        <v>1249</v>
      </c>
      <c r="B1250" s="496" t="s">
        <v>2136</v>
      </c>
      <c r="D1250" s="507"/>
    </row>
    <row r="1251" spans="1:4" ht="20.399999999999999" x14ac:dyDescent="0.3">
      <c r="A1251" s="550">
        <v>1250</v>
      </c>
      <c r="B1251" s="496" t="s">
        <v>2137</v>
      </c>
      <c r="D1251" s="507"/>
    </row>
    <row r="1252" spans="1:4" ht="30.6" x14ac:dyDescent="0.3">
      <c r="A1252" s="550">
        <v>1251</v>
      </c>
      <c r="B1252" s="496" t="s">
        <v>2138</v>
      </c>
      <c r="D1252" s="507"/>
    </row>
    <row r="1253" spans="1:4" ht="30.6" x14ac:dyDescent="0.3">
      <c r="A1253" s="550">
        <v>1252</v>
      </c>
      <c r="B1253" s="496" t="s">
        <v>2139</v>
      </c>
      <c r="D1253" s="507"/>
    </row>
    <row r="1254" spans="1:4" ht="20.399999999999999" x14ac:dyDescent="0.3">
      <c r="A1254" s="550">
        <v>1253</v>
      </c>
      <c r="B1254" s="496" t="s">
        <v>2140</v>
      </c>
      <c r="D1254" s="507"/>
    </row>
    <row r="1255" spans="1:4" ht="51" x14ac:dyDescent="0.3">
      <c r="A1255" s="550">
        <v>1254</v>
      </c>
      <c r="B1255" s="496" t="s">
        <v>2141</v>
      </c>
      <c r="D1255" s="507"/>
    </row>
    <row r="1256" spans="1:4" ht="51" x14ac:dyDescent="0.3">
      <c r="A1256" s="550">
        <v>1255</v>
      </c>
      <c r="B1256" s="496" t="s">
        <v>2142</v>
      </c>
      <c r="D1256" s="507"/>
    </row>
    <row r="1257" spans="1:4" ht="30.6" x14ac:dyDescent="0.3">
      <c r="A1257" s="550">
        <v>1256</v>
      </c>
      <c r="B1257" s="496" t="s">
        <v>2143</v>
      </c>
      <c r="D1257" s="507"/>
    </row>
    <row r="1258" spans="1:4" ht="31.2" thickBot="1" x14ac:dyDescent="0.35">
      <c r="A1258" s="550">
        <v>1257</v>
      </c>
      <c r="B1258" s="496" t="s">
        <v>2144</v>
      </c>
      <c r="D1258" s="507"/>
    </row>
    <row r="1259" spans="1:4" ht="119.4" thickBot="1" x14ac:dyDescent="0.35">
      <c r="A1259" s="550">
        <v>1258</v>
      </c>
      <c r="B1259" s="569" t="s">
        <v>2145</v>
      </c>
      <c r="D1259" s="507"/>
    </row>
    <row r="1260" spans="1:4" ht="27.6" x14ac:dyDescent="0.3">
      <c r="A1260" s="550">
        <v>1259</v>
      </c>
      <c r="B1260" s="505" t="s">
        <v>2146</v>
      </c>
      <c r="D1260" s="507"/>
    </row>
    <row r="1261" spans="1:4" ht="40.799999999999997" x14ac:dyDescent="0.3">
      <c r="A1261" s="550">
        <v>1260</v>
      </c>
      <c r="B1261" s="496" t="s">
        <v>2147</v>
      </c>
      <c r="D1261" s="507"/>
    </row>
    <row r="1262" spans="1:4" ht="20.399999999999999" x14ac:dyDescent="0.3">
      <c r="A1262" s="550">
        <v>1261</v>
      </c>
      <c r="B1262" s="495" t="s">
        <v>2148</v>
      </c>
      <c r="D1262" s="507"/>
    </row>
    <row r="1263" spans="1:4" x14ac:dyDescent="0.3">
      <c r="A1263" s="550">
        <v>1262</v>
      </c>
      <c r="B1263" s="16" t="s">
        <v>2149</v>
      </c>
      <c r="D1263" s="507"/>
    </row>
    <row r="1264" spans="1:4" ht="20.399999999999999" x14ac:dyDescent="0.3">
      <c r="A1264" s="550">
        <v>1263</v>
      </c>
      <c r="B1264" s="496" t="s">
        <v>2150</v>
      </c>
      <c r="D1264" s="507"/>
    </row>
    <row r="1265" spans="1:4" ht="20.399999999999999" x14ac:dyDescent="0.3">
      <c r="A1265" s="550">
        <v>1264</v>
      </c>
      <c r="B1265" s="496" t="s">
        <v>2151</v>
      </c>
      <c r="D1265" s="507"/>
    </row>
    <row r="1266" spans="1:4" ht="20.399999999999999" x14ac:dyDescent="0.3">
      <c r="A1266" s="550">
        <v>1265</v>
      </c>
      <c r="B1266" s="496" t="s">
        <v>2152</v>
      </c>
      <c r="D1266" s="507"/>
    </row>
    <row r="1267" spans="1:4" x14ac:dyDescent="0.3">
      <c r="A1267" s="550">
        <v>1266</v>
      </c>
      <c r="B1267" s="16" t="s">
        <v>2153</v>
      </c>
      <c r="D1267" s="507"/>
    </row>
    <row r="1268" spans="1:4" x14ac:dyDescent="0.3">
      <c r="A1268" s="550">
        <v>1267</v>
      </c>
      <c r="B1268" s="504" t="s">
        <v>2154</v>
      </c>
      <c r="D1268" s="507"/>
    </row>
    <row r="1269" spans="1:4" x14ac:dyDescent="0.3">
      <c r="A1269" s="550">
        <v>1268</v>
      </c>
      <c r="B1269" s="504" t="s">
        <v>2155</v>
      </c>
      <c r="D1269" s="507"/>
    </row>
    <row r="1270" spans="1:4" x14ac:dyDescent="0.3">
      <c r="A1270" s="550">
        <v>1269</v>
      </c>
      <c r="B1270" s="496" t="s">
        <v>2156</v>
      </c>
      <c r="D1270" s="507"/>
    </row>
    <row r="1271" spans="1:4" x14ac:dyDescent="0.3">
      <c r="A1271" s="550">
        <v>1270</v>
      </c>
      <c r="B1271" s="16" t="s">
        <v>2157</v>
      </c>
      <c r="D1271" s="507"/>
    </row>
    <row r="1272" spans="1:4" x14ac:dyDescent="0.3">
      <c r="A1272" s="550">
        <v>1271</v>
      </c>
      <c r="B1272" s="506" t="s">
        <v>2158</v>
      </c>
      <c r="D1272" s="507"/>
    </row>
    <row r="1273" spans="1:4" x14ac:dyDescent="0.3">
      <c r="A1273" s="550">
        <v>1272</v>
      </c>
      <c r="B1273" s="537" t="s">
        <v>2159</v>
      </c>
      <c r="D1273" s="507"/>
    </row>
    <row r="1274" spans="1:4" x14ac:dyDescent="0.3">
      <c r="A1274" s="550">
        <v>1273</v>
      </c>
      <c r="B1274" s="16" t="s">
        <v>2160</v>
      </c>
      <c r="D1274" s="507"/>
    </row>
    <row r="1275" spans="1:4" x14ac:dyDescent="0.3">
      <c r="A1275" s="550">
        <v>1274</v>
      </c>
      <c r="B1275" s="504" t="s">
        <v>2161</v>
      </c>
      <c r="D1275" s="507"/>
    </row>
    <row r="1276" spans="1:4" x14ac:dyDescent="0.3">
      <c r="A1276" s="550">
        <v>1275</v>
      </c>
      <c r="B1276" s="16" t="s">
        <v>2162</v>
      </c>
      <c r="D1276" s="507"/>
    </row>
    <row r="1277" spans="1:4" ht="30.6" x14ac:dyDescent="0.3">
      <c r="A1277" s="550">
        <v>1276</v>
      </c>
      <c r="B1277" s="496" t="s">
        <v>2163</v>
      </c>
      <c r="D1277" s="507"/>
    </row>
    <row r="1278" spans="1:4" ht="20.399999999999999" x14ac:dyDescent="0.3">
      <c r="A1278" s="550">
        <v>1277</v>
      </c>
      <c r="B1278" s="495" t="s">
        <v>2164</v>
      </c>
      <c r="D1278" s="507"/>
    </row>
    <row r="1279" spans="1:4" x14ac:dyDescent="0.3">
      <c r="A1279" s="550">
        <v>1278</v>
      </c>
      <c r="B1279" s="504" t="s">
        <v>2165</v>
      </c>
      <c r="D1279" s="507"/>
    </row>
    <row r="1280" spans="1:4" x14ac:dyDescent="0.3">
      <c r="A1280" s="550">
        <v>1279</v>
      </c>
      <c r="B1280" s="504" t="s">
        <v>2166</v>
      </c>
      <c r="D1280" s="507"/>
    </row>
    <row r="1281" spans="1:4" x14ac:dyDescent="0.3">
      <c r="A1281" s="550">
        <v>1280</v>
      </c>
      <c r="B1281" s="16" t="s">
        <v>2167</v>
      </c>
      <c r="D1281" s="507"/>
    </row>
    <row r="1282" spans="1:4" ht="30.6" x14ac:dyDescent="0.3">
      <c r="A1282" s="550">
        <v>1281</v>
      </c>
      <c r="B1282" s="496" t="s">
        <v>2168</v>
      </c>
      <c r="D1282" s="507"/>
    </row>
    <row r="1283" spans="1:4" ht="20.399999999999999" x14ac:dyDescent="0.3">
      <c r="A1283" s="550">
        <v>1282</v>
      </c>
      <c r="B1283" s="496" t="s">
        <v>2169</v>
      </c>
      <c r="D1283" s="507"/>
    </row>
    <row r="1284" spans="1:4" x14ac:dyDescent="0.3">
      <c r="A1284" s="550">
        <v>1283</v>
      </c>
      <c r="B1284" s="16" t="s">
        <v>2170</v>
      </c>
      <c r="D1284" s="507"/>
    </row>
    <row r="1285" spans="1:4" ht="51" x14ac:dyDescent="0.3">
      <c r="A1285" s="550">
        <v>1284</v>
      </c>
      <c r="B1285" s="496" t="s">
        <v>2171</v>
      </c>
      <c r="D1285" s="507"/>
    </row>
    <row r="1286" spans="1:4" x14ac:dyDescent="0.3">
      <c r="A1286" s="550">
        <v>1285</v>
      </c>
      <c r="B1286" s="1" t="s">
        <v>2172</v>
      </c>
      <c r="D1286" s="507"/>
    </row>
    <row r="1287" spans="1:4" x14ac:dyDescent="0.3">
      <c r="A1287" s="550">
        <v>1286</v>
      </c>
      <c r="B1287" s="570" t="s">
        <v>909</v>
      </c>
      <c r="D1287" s="507"/>
    </row>
    <row r="1288" spans="1:4" x14ac:dyDescent="0.3">
      <c r="A1288" s="550">
        <v>1287</v>
      </c>
      <c r="B1288" s="570" t="s">
        <v>910</v>
      </c>
      <c r="D1288" s="507"/>
    </row>
    <row r="1289" spans="1:4" x14ac:dyDescent="0.3">
      <c r="A1289" s="550">
        <v>1288</v>
      </c>
      <c r="B1289" s="571" t="s">
        <v>2173</v>
      </c>
      <c r="D1289" s="507"/>
    </row>
    <row r="1290" spans="1:4" x14ac:dyDescent="0.3">
      <c r="A1290" s="550">
        <v>1289</v>
      </c>
      <c r="B1290" s="571" t="s">
        <v>2174</v>
      </c>
      <c r="D1290" s="507"/>
    </row>
    <row r="1291" spans="1:4" x14ac:dyDescent="0.3">
      <c r="A1291" s="550">
        <v>1290</v>
      </c>
      <c r="B1291" s="571" t="s">
        <v>2175</v>
      </c>
      <c r="D1291" s="507"/>
    </row>
    <row r="1292" spans="1:4" x14ac:dyDescent="0.3">
      <c r="A1292" s="550">
        <v>1291</v>
      </c>
      <c r="B1292" s="571" t="s">
        <v>2176</v>
      </c>
      <c r="D1292" s="507"/>
    </row>
    <row r="1293" spans="1:4" x14ac:dyDescent="0.3">
      <c r="A1293" s="550">
        <v>1292</v>
      </c>
      <c r="B1293" s="571" t="s">
        <v>2177</v>
      </c>
      <c r="D1293" s="507"/>
    </row>
    <row r="1294" spans="1:4" x14ac:dyDescent="0.3">
      <c r="A1294" s="550">
        <v>1293</v>
      </c>
      <c r="B1294" s="571" t="s">
        <v>2178</v>
      </c>
      <c r="D1294" s="507"/>
    </row>
    <row r="1295" spans="1:4" x14ac:dyDescent="0.3">
      <c r="A1295" s="550">
        <v>1294</v>
      </c>
      <c r="B1295" s="571" t="s">
        <v>2179</v>
      </c>
      <c r="D1295" s="507"/>
    </row>
    <row r="1296" spans="1:4" x14ac:dyDescent="0.3">
      <c r="A1296" s="550">
        <v>1295</v>
      </c>
      <c r="B1296" s="571" t="s">
        <v>2180</v>
      </c>
      <c r="D1296" s="507"/>
    </row>
    <row r="1297" spans="1:4" x14ac:dyDescent="0.3">
      <c r="A1297" s="550">
        <v>1296</v>
      </c>
      <c r="B1297" s="571" t="s">
        <v>2181</v>
      </c>
      <c r="D1297" s="507"/>
    </row>
    <row r="1298" spans="1:4" x14ac:dyDescent="0.3">
      <c r="A1298" s="550">
        <v>1297</v>
      </c>
      <c r="B1298" s="571" t="s">
        <v>2182</v>
      </c>
      <c r="D1298" s="507"/>
    </row>
    <row r="1299" spans="1:4" x14ac:dyDescent="0.3">
      <c r="A1299" s="550">
        <v>1298</v>
      </c>
      <c r="B1299" s="571" t="s">
        <v>2183</v>
      </c>
      <c r="D1299" s="507"/>
    </row>
    <row r="1300" spans="1:4" x14ac:dyDescent="0.3">
      <c r="A1300" s="550">
        <v>1299</v>
      </c>
      <c r="B1300" s="571" t="s">
        <v>2184</v>
      </c>
      <c r="D1300" s="507"/>
    </row>
    <row r="1301" spans="1:4" x14ac:dyDescent="0.3">
      <c r="A1301" s="550">
        <v>1300</v>
      </c>
      <c r="B1301" s="546" t="s">
        <v>2185</v>
      </c>
      <c r="D1301" s="507"/>
    </row>
    <row r="1302" spans="1:4" x14ac:dyDescent="0.3">
      <c r="A1302" s="550">
        <v>1301</v>
      </c>
      <c r="B1302" s="546" t="s">
        <v>2186</v>
      </c>
      <c r="D1302" s="507"/>
    </row>
    <row r="1303" spans="1:4" x14ac:dyDescent="0.3">
      <c r="A1303" s="550">
        <v>1302</v>
      </c>
      <c r="B1303" s="571" t="s">
        <v>2187</v>
      </c>
      <c r="D1303" s="507"/>
    </row>
    <row r="1304" spans="1:4" x14ac:dyDescent="0.3">
      <c r="A1304" s="550">
        <v>1303</v>
      </c>
      <c r="B1304" s="546" t="s">
        <v>2188</v>
      </c>
      <c r="D1304" s="507"/>
    </row>
    <row r="1305" spans="1:4" x14ac:dyDescent="0.3">
      <c r="A1305" s="550">
        <v>1304</v>
      </c>
      <c r="B1305" s="546" t="s">
        <v>2189</v>
      </c>
      <c r="D1305" s="507"/>
    </row>
    <row r="1306" spans="1:4" x14ac:dyDescent="0.3">
      <c r="A1306" s="550">
        <v>1305</v>
      </c>
      <c r="B1306" s="571" t="s">
        <v>2190</v>
      </c>
      <c r="D1306" s="507"/>
    </row>
    <row r="1307" spans="1:4" x14ac:dyDescent="0.3">
      <c r="A1307" s="550">
        <v>1306</v>
      </c>
      <c r="B1307" s="571" t="s">
        <v>2191</v>
      </c>
      <c r="D1307" s="507"/>
    </row>
    <row r="1308" spans="1:4" x14ac:dyDescent="0.3">
      <c r="A1308" s="550">
        <v>1307</v>
      </c>
      <c r="B1308" s="571" t="s">
        <v>2192</v>
      </c>
      <c r="D1308" s="507"/>
    </row>
    <row r="1309" spans="1:4" x14ac:dyDescent="0.3">
      <c r="A1309" s="550">
        <v>1308</v>
      </c>
      <c r="B1309" s="571" t="s">
        <v>2193</v>
      </c>
      <c r="D1309" s="507"/>
    </row>
    <row r="1310" spans="1:4" x14ac:dyDescent="0.3">
      <c r="A1310" s="550">
        <v>1309</v>
      </c>
      <c r="B1310" s="571" t="s">
        <v>2194</v>
      </c>
      <c r="D1310" s="507"/>
    </row>
    <row r="1311" spans="1:4" x14ac:dyDescent="0.3">
      <c r="A1311" s="550">
        <v>1310</v>
      </c>
      <c r="B1311" s="571" t="s">
        <v>2195</v>
      </c>
      <c r="D1311" s="507"/>
    </row>
    <row r="1312" spans="1:4" x14ac:dyDescent="0.3">
      <c r="A1312" s="550">
        <v>1311</v>
      </c>
      <c r="B1312" s="546" t="s">
        <v>2196</v>
      </c>
      <c r="D1312" s="507"/>
    </row>
    <row r="1313" spans="1:4" x14ac:dyDescent="0.3">
      <c r="A1313" s="550">
        <v>1312</v>
      </c>
      <c r="B1313" s="546" t="s">
        <v>2197</v>
      </c>
      <c r="D1313" s="507"/>
    </row>
    <row r="1314" spans="1:4" x14ac:dyDescent="0.3">
      <c r="A1314" s="550">
        <v>1313</v>
      </c>
      <c r="B1314" s="571" t="s">
        <v>2198</v>
      </c>
      <c r="D1314" s="507"/>
    </row>
    <row r="1315" spans="1:4" x14ac:dyDescent="0.3">
      <c r="A1315" s="550">
        <v>1314</v>
      </c>
      <c r="B1315" s="571" t="s">
        <v>2199</v>
      </c>
      <c r="D1315" s="507"/>
    </row>
    <row r="1316" spans="1:4" x14ac:dyDescent="0.3">
      <c r="A1316" s="550">
        <v>1315</v>
      </c>
      <c r="B1316" s="571" t="s">
        <v>2200</v>
      </c>
      <c r="D1316" s="507"/>
    </row>
    <row r="1317" spans="1:4" x14ac:dyDescent="0.3">
      <c r="A1317" s="550">
        <v>1316</v>
      </c>
      <c r="B1317" s="571" t="s">
        <v>2201</v>
      </c>
      <c r="D1317" s="507"/>
    </row>
    <row r="1318" spans="1:4" x14ac:dyDescent="0.3">
      <c r="A1318" s="550">
        <v>1317</v>
      </c>
      <c r="B1318" s="571" t="s">
        <v>2202</v>
      </c>
      <c r="D1318" s="507"/>
    </row>
    <row r="1319" spans="1:4" x14ac:dyDescent="0.3">
      <c r="A1319" s="550">
        <v>1318</v>
      </c>
      <c r="B1319" s="571" t="s">
        <v>2203</v>
      </c>
      <c r="D1319" s="507"/>
    </row>
    <row r="1320" spans="1:4" x14ac:dyDescent="0.3">
      <c r="A1320" s="550">
        <v>1319</v>
      </c>
      <c r="B1320" s="546" t="s">
        <v>2204</v>
      </c>
      <c r="D1320" s="507"/>
    </row>
    <row r="1321" spans="1:4" x14ac:dyDescent="0.3">
      <c r="A1321" s="550">
        <v>1320</v>
      </c>
      <c r="B1321" s="546" t="s">
        <v>2205</v>
      </c>
      <c r="D1321" s="507"/>
    </row>
    <row r="1322" spans="1:4" x14ac:dyDescent="0.3">
      <c r="A1322" s="550">
        <v>1321</v>
      </c>
      <c r="B1322" s="546" t="s">
        <v>2206</v>
      </c>
      <c r="D1322" s="507"/>
    </row>
    <row r="1323" spans="1:4" x14ac:dyDescent="0.3">
      <c r="A1323" s="550">
        <v>1322</v>
      </c>
      <c r="B1323" s="546" t="s">
        <v>2207</v>
      </c>
      <c r="D1323" s="507"/>
    </row>
    <row r="1324" spans="1:4" x14ac:dyDescent="0.3">
      <c r="A1324" s="550">
        <v>1323</v>
      </c>
      <c r="B1324" s="546" t="s">
        <v>2208</v>
      </c>
      <c r="D1324" s="507"/>
    </row>
    <row r="1325" spans="1:4" x14ac:dyDescent="0.3">
      <c r="A1325" s="550">
        <v>1324</v>
      </c>
      <c r="B1325" s="546" t="s">
        <v>2209</v>
      </c>
      <c r="D1325" s="507"/>
    </row>
    <row r="1326" spans="1:4" x14ac:dyDescent="0.3">
      <c r="A1326" s="550">
        <v>1325</v>
      </c>
      <c r="B1326" s="546" t="s">
        <v>2210</v>
      </c>
      <c r="D1326" s="507"/>
    </row>
    <row r="1327" spans="1:4" x14ac:dyDescent="0.3">
      <c r="A1327" s="550">
        <v>1326</v>
      </c>
      <c r="B1327" s="546" t="s">
        <v>2211</v>
      </c>
      <c r="D1327" s="507"/>
    </row>
    <row r="1328" spans="1:4" x14ac:dyDescent="0.3">
      <c r="A1328" s="550">
        <v>1327</v>
      </c>
      <c r="B1328" s="546" t="s">
        <v>2212</v>
      </c>
      <c r="D1328" s="507"/>
    </row>
    <row r="1329" spans="1:4" x14ac:dyDescent="0.3">
      <c r="A1329" s="550">
        <v>1328</v>
      </c>
      <c r="B1329" s="546" t="s">
        <v>154</v>
      </c>
      <c r="D1329" s="507"/>
    </row>
    <row r="1330" spans="1:4" x14ac:dyDescent="0.3">
      <c r="A1330" s="550">
        <v>1329</v>
      </c>
      <c r="B1330" s="546" t="s">
        <v>158</v>
      </c>
      <c r="D1330" s="507"/>
    </row>
    <row r="1331" spans="1:4" x14ac:dyDescent="0.3">
      <c r="A1331" s="550">
        <v>1330</v>
      </c>
      <c r="B1331" s="546" t="s">
        <v>156</v>
      </c>
      <c r="D1331" s="507"/>
    </row>
    <row r="1332" spans="1:4" x14ac:dyDescent="0.3">
      <c r="A1332" s="550">
        <v>1331</v>
      </c>
      <c r="B1332" s="571" t="s">
        <v>2213</v>
      </c>
      <c r="D1332" s="507"/>
    </row>
    <row r="1333" spans="1:4" x14ac:dyDescent="0.3">
      <c r="A1333" s="550">
        <v>1332</v>
      </c>
      <c r="B1333" s="571" t="s">
        <v>2214</v>
      </c>
      <c r="D1333" s="507"/>
    </row>
    <row r="1334" spans="1:4" x14ac:dyDescent="0.3">
      <c r="A1334" s="550">
        <v>1333</v>
      </c>
      <c r="B1334" s="546" t="s">
        <v>2215</v>
      </c>
      <c r="D1334" s="507"/>
    </row>
    <row r="1335" spans="1:4" x14ac:dyDescent="0.3">
      <c r="A1335" s="550">
        <v>1334</v>
      </c>
      <c r="B1335" s="546" t="s">
        <v>2216</v>
      </c>
      <c r="D1335" s="507"/>
    </row>
    <row r="1336" spans="1:4" x14ac:dyDescent="0.3">
      <c r="A1336" s="550">
        <v>1335</v>
      </c>
      <c r="B1336" s="546" t="s">
        <v>2217</v>
      </c>
      <c r="D1336" s="507"/>
    </row>
    <row r="1337" spans="1:4" x14ac:dyDescent="0.3">
      <c r="A1337" s="550">
        <v>1336</v>
      </c>
      <c r="B1337" s="571" t="s">
        <v>2218</v>
      </c>
      <c r="D1337" s="507"/>
    </row>
    <row r="1338" spans="1:4" x14ac:dyDescent="0.3">
      <c r="A1338" s="550">
        <v>1337</v>
      </c>
      <c r="B1338" s="571" t="s">
        <v>2219</v>
      </c>
      <c r="D1338" s="507"/>
    </row>
    <row r="1339" spans="1:4" x14ac:dyDescent="0.3">
      <c r="A1339" s="550">
        <v>1338</v>
      </c>
      <c r="B1339" s="572" t="s">
        <v>2220</v>
      </c>
      <c r="D1339" s="507"/>
    </row>
    <row r="1340" spans="1:4" x14ac:dyDescent="0.3">
      <c r="A1340" s="550">
        <v>1339</v>
      </c>
      <c r="B1340" s="571" t="s">
        <v>2221</v>
      </c>
      <c r="D1340" s="507"/>
    </row>
    <row r="1341" spans="1:4" x14ac:dyDescent="0.3">
      <c r="A1341" s="550">
        <v>1340</v>
      </c>
      <c r="B1341" s="571" t="s">
        <v>2222</v>
      </c>
      <c r="D1341" s="507"/>
    </row>
    <row r="1342" spans="1:4" x14ac:dyDescent="0.3">
      <c r="A1342" s="550">
        <v>1341</v>
      </c>
      <c r="B1342" s="571" t="s">
        <v>2223</v>
      </c>
      <c r="D1342" s="507"/>
    </row>
    <row r="1343" spans="1:4" x14ac:dyDescent="0.3">
      <c r="A1343" s="550">
        <v>1342</v>
      </c>
      <c r="B1343" s="571" t="s">
        <v>2224</v>
      </c>
      <c r="D1343" s="507"/>
    </row>
    <row r="1344" spans="1:4" x14ac:dyDescent="0.3">
      <c r="A1344" s="550">
        <v>1343</v>
      </c>
      <c r="B1344" s="571" t="s">
        <v>2225</v>
      </c>
      <c r="D1344" s="507"/>
    </row>
    <row r="1345" spans="1:4" x14ac:dyDescent="0.3">
      <c r="A1345" s="550">
        <v>1344</v>
      </c>
      <c r="B1345" s="571" t="s">
        <v>2226</v>
      </c>
      <c r="D1345" s="507"/>
    </row>
    <row r="1346" spans="1:4" x14ac:dyDescent="0.3">
      <c r="A1346" s="550">
        <v>1345</v>
      </c>
      <c r="B1346" s="571" t="s">
        <v>2227</v>
      </c>
      <c r="D1346" s="507"/>
    </row>
    <row r="1347" spans="1:4" x14ac:dyDescent="0.3">
      <c r="A1347" s="550">
        <v>1346</v>
      </c>
      <c r="B1347" s="571" t="s">
        <v>2228</v>
      </c>
      <c r="D1347" s="507"/>
    </row>
    <row r="1348" spans="1:4" x14ac:dyDescent="0.3">
      <c r="A1348" s="550">
        <v>1347</v>
      </c>
      <c r="B1348" s="571" t="s">
        <v>2229</v>
      </c>
      <c r="D1348" s="507"/>
    </row>
    <row r="1349" spans="1:4" x14ac:dyDescent="0.3">
      <c r="A1349" s="550">
        <v>1348</v>
      </c>
      <c r="B1349" s="571" t="s">
        <v>2230</v>
      </c>
      <c r="D1349" s="507"/>
    </row>
    <row r="1350" spans="1:4" x14ac:dyDescent="0.3">
      <c r="A1350" s="550">
        <v>1349</v>
      </c>
      <c r="B1350" s="571" t="s">
        <v>2231</v>
      </c>
      <c r="D1350" s="507"/>
    </row>
    <row r="1351" spans="1:4" x14ac:dyDescent="0.3">
      <c r="A1351" s="550">
        <v>1350</v>
      </c>
      <c r="B1351" s="571" t="s">
        <v>2232</v>
      </c>
      <c r="D1351" s="507"/>
    </row>
    <row r="1352" spans="1:4" x14ac:dyDescent="0.3">
      <c r="A1352" s="550">
        <v>1351</v>
      </c>
      <c r="B1352" s="571" t="s">
        <v>2233</v>
      </c>
      <c r="D1352" s="507"/>
    </row>
    <row r="1353" spans="1:4" x14ac:dyDescent="0.3">
      <c r="A1353" s="550">
        <v>1352</v>
      </c>
      <c r="B1353" s="571" t="s">
        <v>2234</v>
      </c>
      <c r="D1353" s="507"/>
    </row>
    <row r="1354" spans="1:4" x14ac:dyDescent="0.3">
      <c r="A1354" s="550">
        <v>1353</v>
      </c>
      <c r="B1354" s="571" t="s">
        <v>2235</v>
      </c>
      <c r="D1354" s="507"/>
    </row>
    <row r="1355" spans="1:4" x14ac:dyDescent="0.3">
      <c r="A1355" s="550">
        <v>1354</v>
      </c>
      <c r="B1355" s="571" t="s">
        <v>2236</v>
      </c>
      <c r="D1355" s="507"/>
    </row>
    <row r="1356" spans="1:4" x14ac:dyDescent="0.3">
      <c r="A1356" s="550">
        <v>1355</v>
      </c>
      <c r="B1356" s="571" t="s">
        <v>2237</v>
      </c>
      <c r="D1356" s="507"/>
    </row>
    <row r="1357" spans="1:4" x14ac:dyDescent="0.3">
      <c r="A1357" s="550">
        <v>1356</v>
      </c>
      <c r="B1357" s="571" t="s">
        <v>2238</v>
      </c>
      <c r="D1357" s="507"/>
    </row>
    <row r="1358" spans="1:4" x14ac:dyDescent="0.3">
      <c r="A1358" s="550">
        <v>1357</v>
      </c>
      <c r="B1358" s="571" t="s">
        <v>2239</v>
      </c>
      <c r="D1358" s="507"/>
    </row>
    <row r="1359" spans="1:4" x14ac:dyDescent="0.3">
      <c r="A1359" s="550">
        <v>1358</v>
      </c>
      <c r="B1359" s="571" t="s">
        <v>2240</v>
      </c>
      <c r="D1359" s="507"/>
    </row>
    <row r="1360" spans="1:4" x14ac:dyDescent="0.3">
      <c r="A1360" s="550">
        <v>1359</v>
      </c>
      <c r="B1360" s="571" t="s">
        <v>2241</v>
      </c>
      <c r="D1360" s="507"/>
    </row>
    <row r="1361" spans="1:4" x14ac:dyDescent="0.3">
      <c r="A1361" s="550">
        <v>1360</v>
      </c>
      <c r="B1361" s="571" t="s">
        <v>2242</v>
      </c>
      <c r="D1361" s="507"/>
    </row>
    <row r="1362" spans="1:4" x14ac:dyDescent="0.3">
      <c r="A1362" s="550">
        <v>1361</v>
      </c>
      <c r="B1362" s="571" t="s">
        <v>2243</v>
      </c>
      <c r="D1362" s="507"/>
    </row>
    <row r="1363" spans="1:4" x14ac:dyDescent="0.3">
      <c r="A1363" s="550">
        <v>1362</v>
      </c>
      <c r="B1363" s="571" t="s">
        <v>2244</v>
      </c>
      <c r="D1363" s="507"/>
    </row>
    <row r="1364" spans="1:4" x14ac:dyDescent="0.3">
      <c r="A1364" s="550">
        <v>1363</v>
      </c>
      <c r="B1364" s="571" t="s">
        <v>2245</v>
      </c>
      <c r="D1364" s="507"/>
    </row>
    <row r="1365" spans="1:4" x14ac:dyDescent="0.3">
      <c r="A1365" s="550">
        <v>1364</v>
      </c>
      <c r="B1365" s="571" t="s">
        <v>2246</v>
      </c>
      <c r="D1365" s="507"/>
    </row>
    <row r="1366" spans="1:4" x14ac:dyDescent="0.3">
      <c r="A1366" s="550">
        <v>1365</v>
      </c>
      <c r="B1366" s="546" t="s">
        <v>2247</v>
      </c>
      <c r="D1366" s="507"/>
    </row>
    <row r="1367" spans="1:4" x14ac:dyDescent="0.3">
      <c r="A1367" s="550">
        <v>1366</v>
      </c>
      <c r="B1367" s="546" t="s">
        <v>2248</v>
      </c>
      <c r="D1367" s="507"/>
    </row>
    <row r="1368" spans="1:4" x14ac:dyDescent="0.3">
      <c r="A1368" s="550">
        <v>1367</v>
      </c>
      <c r="B1368" s="571" t="s">
        <v>2249</v>
      </c>
      <c r="D1368" s="507"/>
    </row>
    <row r="1369" spans="1:4" x14ac:dyDescent="0.3">
      <c r="A1369" s="550">
        <v>1368</v>
      </c>
      <c r="B1369" s="571" t="s">
        <v>2250</v>
      </c>
      <c r="D1369" s="507"/>
    </row>
    <row r="1370" spans="1:4" x14ac:dyDescent="0.3">
      <c r="A1370" s="550">
        <v>1369</v>
      </c>
      <c r="B1370" s="572" t="s">
        <v>2251</v>
      </c>
      <c r="D1370" s="507"/>
    </row>
    <row r="1371" spans="1:4" x14ac:dyDescent="0.3">
      <c r="A1371" s="550">
        <v>1370</v>
      </c>
      <c r="B1371" s="571" t="s">
        <v>2252</v>
      </c>
      <c r="D1371" s="507"/>
    </row>
    <row r="1372" spans="1:4" x14ac:dyDescent="0.3">
      <c r="A1372" s="550">
        <v>1371</v>
      </c>
      <c r="B1372" s="571" t="s">
        <v>2253</v>
      </c>
      <c r="D1372" s="507"/>
    </row>
    <row r="1373" spans="1:4" x14ac:dyDescent="0.3">
      <c r="A1373" s="550">
        <v>1372</v>
      </c>
      <c r="B1373" s="571" t="s">
        <v>2254</v>
      </c>
      <c r="D1373" s="507"/>
    </row>
    <row r="1374" spans="1:4" x14ac:dyDescent="0.3">
      <c r="A1374" s="550">
        <v>1373</v>
      </c>
      <c r="B1374" s="571" t="s">
        <v>2255</v>
      </c>
      <c r="D1374" s="507"/>
    </row>
    <row r="1375" spans="1:4" x14ac:dyDescent="0.3">
      <c r="A1375" s="550">
        <v>1374</v>
      </c>
      <c r="B1375" s="571" t="s">
        <v>2256</v>
      </c>
      <c r="D1375" s="507"/>
    </row>
    <row r="1376" spans="1:4" x14ac:dyDescent="0.3">
      <c r="A1376" s="550">
        <v>1375</v>
      </c>
      <c r="B1376" s="571" t="s">
        <v>2257</v>
      </c>
      <c r="D1376" s="507"/>
    </row>
    <row r="1377" spans="1:4" x14ac:dyDescent="0.3">
      <c r="A1377" s="550">
        <v>1376</v>
      </c>
      <c r="B1377" s="571" t="s">
        <v>2258</v>
      </c>
      <c r="D1377" s="507"/>
    </row>
    <row r="1378" spans="1:4" x14ac:dyDescent="0.3">
      <c r="A1378" s="550">
        <v>1377</v>
      </c>
      <c r="B1378" s="571" t="s">
        <v>2259</v>
      </c>
      <c r="D1378" s="507"/>
    </row>
    <row r="1379" spans="1:4" x14ac:dyDescent="0.3">
      <c r="A1379" s="550">
        <v>1378</v>
      </c>
      <c r="B1379" s="571" t="s">
        <v>2260</v>
      </c>
      <c r="D1379" s="507"/>
    </row>
    <row r="1380" spans="1:4" x14ac:dyDescent="0.3">
      <c r="A1380" s="550">
        <v>1379</v>
      </c>
      <c r="B1380" s="571" t="s">
        <v>2261</v>
      </c>
      <c r="D1380" s="507"/>
    </row>
    <row r="1381" spans="1:4" x14ac:dyDescent="0.3">
      <c r="A1381" s="550">
        <v>1380</v>
      </c>
      <c r="B1381" s="571" t="s">
        <v>2262</v>
      </c>
      <c r="D1381" s="507"/>
    </row>
    <row r="1382" spans="1:4" x14ac:dyDescent="0.3">
      <c r="A1382" s="550">
        <v>1381</v>
      </c>
      <c r="B1382" s="571" t="s">
        <v>2263</v>
      </c>
      <c r="D1382" s="507"/>
    </row>
    <row r="1383" spans="1:4" x14ac:dyDescent="0.3">
      <c r="A1383" s="550">
        <v>1382</v>
      </c>
      <c r="B1383" s="571" t="s">
        <v>2264</v>
      </c>
      <c r="D1383" s="507"/>
    </row>
    <row r="1384" spans="1:4" x14ac:dyDescent="0.3">
      <c r="A1384" s="550">
        <v>1383</v>
      </c>
      <c r="B1384" s="571" t="s">
        <v>2265</v>
      </c>
      <c r="D1384" s="507"/>
    </row>
    <row r="1385" spans="1:4" x14ac:dyDescent="0.3">
      <c r="A1385" s="550">
        <v>1384</v>
      </c>
      <c r="B1385" s="571" t="s">
        <v>2266</v>
      </c>
      <c r="D1385" s="507"/>
    </row>
    <row r="1386" spans="1:4" x14ac:dyDescent="0.3">
      <c r="A1386" s="550">
        <v>1385</v>
      </c>
      <c r="B1386" s="571" t="s">
        <v>2267</v>
      </c>
      <c r="D1386" s="507"/>
    </row>
    <row r="1387" spans="1:4" x14ac:dyDescent="0.3">
      <c r="A1387" s="550">
        <v>1386</v>
      </c>
      <c r="B1387" s="571" t="s">
        <v>2268</v>
      </c>
      <c r="D1387" s="507"/>
    </row>
    <row r="1388" spans="1:4" x14ac:dyDescent="0.3">
      <c r="A1388" s="550">
        <v>1387</v>
      </c>
      <c r="B1388" s="571" t="s">
        <v>2269</v>
      </c>
      <c r="D1388" s="507"/>
    </row>
    <row r="1389" spans="1:4" x14ac:dyDescent="0.3">
      <c r="A1389" s="550">
        <v>1388</v>
      </c>
      <c r="B1389" s="571" t="s">
        <v>2270</v>
      </c>
      <c r="D1389" s="507"/>
    </row>
    <row r="1390" spans="1:4" x14ac:dyDescent="0.3">
      <c r="A1390" s="550">
        <v>1389</v>
      </c>
      <c r="B1390" s="571" t="s">
        <v>2271</v>
      </c>
      <c r="D1390" s="507"/>
    </row>
    <row r="1391" spans="1:4" x14ac:dyDescent="0.3">
      <c r="A1391" s="550">
        <v>1390</v>
      </c>
      <c r="B1391" s="571" t="s">
        <v>2272</v>
      </c>
      <c r="D1391" s="507"/>
    </row>
    <row r="1392" spans="1:4" x14ac:dyDescent="0.3">
      <c r="A1392" s="550">
        <v>1391</v>
      </c>
      <c r="B1392" s="571" t="s">
        <v>2273</v>
      </c>
      <c r="D1392" s="507"/>
    </row>
    <row r="1393" spans="1:4" x14ac:dyDescent="0.3">
      <c r="A1393" s="550">
        <v>1392</v>
      </c>
      <c r="B1393" s="571" t="s">
        <v>2274</v>
      </c>
      <c r="D1393" s="507"/>
    </row>
    <row r="1394" spans="1:4" x14ac:dyDescent="0.3">
      <c r="A1394" s="550">
        <v>1393</v>
      </c>
      <c r="B1394" s="571" t="s">
        <v>2275</v>
      </c>
      <c r="D1394" s="507"/>
    </row>
    <row r="1395" spans="1:4" x14ac:dyDescent="0.3">
      <c r="A1395" s="550">
        <v>1394</v>
      </c>
      <c r="B1395" s="571" t="s">
        <v>2276</v>
      </c>
      <c r="D1395" s="507"/>
    </row>
    <row r="1396" spans="1:4" x14ac:dyDescent="0.3">
      <c r="A1396" s="550">
        <v>1395</v>
      </c>
      <c r="B1396" s="571" t="s">
        <v>2277</v>
      </c>
      <c r="D1396" s="507"/>
    </row>
    <row r="1397" spans="1:4" x14ac:dyDescent="0.3">
      <c r="A1397" s="550">
        <v>1396</v>
      </c>
      <c r="B1397" s="546" t="s">
        <v>2278</v>
      </c>
      <c r="D1397" s="507"/>
    </row>
    <row r="1398" spans="1:4" x14ac:dyDescent="0.3">
      <c r="A1398" s="550">
        <v>1397</v>
      </c>
      <c r="B1398" s="546" t="s">
        <v>2279</v>
      </c>
      <c r="D1398" s="507"/>
    </row>
    <row r="1399" spans="1:4" x14ac:dyDescent="0.3">
      <c r="A1399" s="550">
        <v>1398</v>
      </c>
      <c r="B1399" s="546" t="s">
        <v>2280</v>
      </c>
      <c r="D1399" s="507"/>
    </row>
    <row r="1400" spans="1:4" x14ac:dyDescent="0.3">
      <c r="A1400" s="550">
        <v>1399</v>
      </c>
      <c r="B1400" s="546" t="s">
        <v>2281</v>
      </c>
      <c r="D1400" s="507"/>
    </row>
    <row r="1401" spans="1:4" x14ac:dyDescent="0.3">
      <c r="A1401" s="550">
        <v>1400</v>
      </c>
      <c r="B1401" s="546" t="s">
        <v>2282</v>
      </c>
      <c r="D1401" s="507"/>
    </row>
    <row r="1402" spans="1:4" x14ac:dyDescent="0.3">
      <c r="A1402" s="550">
        <v>1401</v>
      </c>
      <c r="B1402" s="546" t="s">
        <v>2283</v>
      </c>
      <c r="D1402" s="507"/>
    </row>
    <row r="1403" spans="1:4" x14ac:dyDescent="0.3">
      <c r="A1403" s="550">
        <v>1402</v>
      </c>
      <c r="B1403" s="546" t="s">
        <v>2284</v>
      </c>
      <c r="D1403" s="507"/>
    </row>
    <row r="1404" spans="1:4" x14ac:dyDescent="0.3">
      <c r="A1404" s="550">
        <v>1403</v>
      </c>
      <c r="B1404" s="546" t="s">
        <v>2285</v>
      </c>
      <c r="D1404" s="507"/>
    </row>
    <row r="1405" spans="1:4" x14ac:dyDescent="0.3">
      <c r="A1405" s="550">
        <v>1404</v>
      </c>
      <c r="B1405" s="546" t="s">
        <v>2286</v>
      </c>
      <c r="D1405" s="507"/>
    </row>
    <row r="1406" spans="1:4" x14ac:dyDescent="0.3">
      <c r="A1406" s="550">
        <v>1405</v>
      </c>
      <c r="B1406" s="546" t="s">
        <v>2287</v>
      </c>
      <c r="D1406" s="507"/>
    </row>
    <row r="1407" spans="1:4" x14ac:dyDescent="0.3">
      <c r="A1407" s="550">
        <v>1406</v>
      </c>
      <c r="B1407" s="546" t="s">
        <v>2288</v>
      </c>
      <c r="D1407" s="507"/>
    </row>
    <row r="1408" spans="1:4" x14ac:dyDescent="0.3">
      <c r="A1408" s="550">
        <v>1407</v>
      </c>
      <c r="B1408" s="546" t="s">
        <v>2289</v>
      </c>
      <c r="D1408" s="507"/>
    </row>
    <row r="1409" spans="1:4" x14ac:dyDescent="0.3">
      <c r="A1409" s="550">
        <v>1408</v>
      </c>
      <c r="B1409" s="546" t="s">
        <v>2290</v>
      </c>
      <c r="D1409" s="507"/>
    </row>
    <row r="1410" spans="1:4" x14ac:dyDescent="0.3">
      <c r="A1410" s="550">
        <v>1409</v>
      </c>
      <c r="B1410" s="546" t="s">
        <v>2291</v>
      </c>
      <c r="D1410" s="507"/>
    </row>
    <row r="1411" spans="1:4" x14ac:dyDescent="0.3">
      <c r="A1411" s="550">
        <v>1410</v>
      </c>
      <c r="B1411" s="546" t="s">
        <v>2292</v>
      </c>
      <c r="D1411" s="507"/>
    </row>
    <row r="1412" spans="1:4" x14ac:dyDescent="0.3">
      <c r="A1412" s="550">
        <v>1411</v>
      </c>
      <c r="B1412" s="546" t="s">
        <v>2293</v>
      </c>
      <c r="D1412" s="507"/>
    </row>
    <row r="1413" spans="1:4" x14ac:dyDescent="0.3">
      <c r="A1413" s="550">
        <v>1412</v>
      </c>
      <c r="B1413" s="546" t="s">
        <v>2294</v>
      </c>
      <c r="D1413" s="507"/>
    </row>
    <row r="1414" spans="1:4" x14ac:dyDescent="0.3">
      <c r="A1414" s="550">
        <v>1413</v>
      </c>
      <c r="B1414" s="546" t="s">
        <v>2295</v>
      </c>
      <c r="D1414" s="507"/>
    </row>
    <row r="1415" spans="1:4" x14ac:dyDescent="0.3">
      <c r="A1415" s="550">
        <v>1414</v>
      </c>
      <c r="B1415" s="546" t="s">
        <v>2296</v>
      </c>
      <c r="D1415" s="507"/>
    </row>
    <row r="1416" spans="1:4" x14ac:dyDescent="0.3">
      <c r="A1416" s="550">
        <v>1415</v>
      </c>
      <c r="B1416" s="546" t="s">
        <v>2297</v>
      </c>
      <c r="D1416" s="507"/>
    </row>
    <row r="1417" spans="1:4" x14ac:dyDescent="0.3">
      <c r="A1417" s="550">
        <v>1416</v>
      </c>
      <c r="B1417" s="546" t="s">
        <v>2298</v>
      </c>
      <c r="D1417" s="507"/>
    </row>
    <row r="1418" spans="1:4" x14ac:dyDescent="0.3">
      <c r="A1418" s="550">
        <v>1417</v>
      </c>
      <c r="B1418" s="546" t="s">
        <v>2299</v>
      </c>
      <c r="D1418" s="507"/>
    </row>
    <row r="1419" spans="1:4" x14ac:dyDescent="0.3">
      <c r="A1419" s="550">
        <v>1418</v>
      </c>
      <c r="B1419" s="546" t="s">
        <v>2300</v>
      </c>
      <c r="D1419" s="507"/>
    </row>
    <row r="1420" spans="1:4" x14ac:dyDescent="0.3">
      <c r="A1420" s="550">
        <v>1419</v>
      </c>
      <c r="B1420" s="546" t="s">
        <v>2301</v>
      </c>
      <c r="D1420" s="507"/>
    </row>
    <row r="1421" spans="1:4" x14ac:dyDescent="0.3">
      <c r="A1421" s="550">
        <v>1420</v>
      </c>
      <c r="B1421" s="546" t="s">
        <v>2302</v>
      </c>
      <c r="D1421" s="507"/>
    </row>
    <row r="1422" spans="1:4" x14ac:dyDescent="0.3">
      <c r="A1422" s="550">
        <v>1421</v>
      </c>
      <c r="B1422" s="546" t="s">
        <v>2303</v>
      </c>
      <c r="D1422" s="507"/>
    </row>
    <row r="1423" spans="1:4" x14ac:dyDescent="0.3">
      <c r="A1423" s="550">
        <v>1422</v>
      </c>
      <c r="B1423" s="546" t="s">
        <v>2304</v>
      </c>
      <c r="D1423" s="507"/>
    </row>
    <row r="1424" spans="1:4" x14ac:dyDescent="0.3">
      <c r="A1424" s="550">
        <v>1423</v>
      </c>
      <c r="B1424" s="546" t="s">
        <v>2305</v>
      </c>
    </row>
    <row r="1425" spans="1:4" x14ac:dyDescent="0.3">
      <c r="A1425" s="550">
        <v>1424</v>
      </c>
      <c r="B1425" s="546" t="s">
        <v>2306</v>
      </c>
      <c r="D1425" s="507"/>
    </row>
    <row r="1426" spans="1:4" x14ac:dyDescent="0.3">
      <c r="A1426" s="550">
        <v>1425</v>
      </c>
      <c r="B1426" s="546" t="s">
        <v>2307</v>
      </c>
      <c r="D1426" s="507"/>
    </row>
    <row r="1427" spans="1:4" x14ac:dyDescent="0.3">
      <c r="A1427" s="550">
        <v>1426</v>
      </c>
      <c r="B1427" s="546" t="s">
        <v>655</v>
      </c>
      <c r="D1427" s="507"/>
    </row>
    <row r="1428" spans="1:4" x14ac:dyDescent="0.3">
      <c r="A1428" s="550">
        <v>1427</v>
      </c>
      <c r="B1428" s="573" t="s">
        <v>2308</v>
      </c>
      <c r="D1428" s="507"/>
    </row>
    <row r="1429" spans="1:4" x14ac:dyDescent="0.3">
      <c r="A1429" s="550">
        <v>1428</v>
      </c>
      <c r="B1429" s="571" t="s">
        <v>2309</v>
      </c>
      <c r="D1429" s="507"/>
    </row>
    <row r="1430" spans="1:4" x14ac:dyDescent="0.3">
      <c r="A1430" s="550">
        <v>1429</v>
      </c>
      <c r="B1430" s="571" t="s">
        <v>2310</v>
      </c>
      <c r="D1430" s="507"/>
    </row>
    <row r="1431" spans="1:4" x14ac:dyDescent="0.3">
      <c r="A1431" s="550">
        <v>1430</v>
      </c>
      <c r="B1431" s="571" t="s">
        <v>2311</v>
      </c>
      <c r="D1431" s="507"/>
    </row>
    <row r="1432" spans="1:4" x14ac:dyDescent="0.3">
      <c r="A1432" s="550">
        <v>1431</v>
      </c>
      <c r="B1432" s="574" t="s">
        <v>2312</v>
      </c>
      <c r="D1432" s="507"/>
    </row>
    <row r="1433" spans="1:4" x14ac:dyDescent="0.3">
      <c r="A1433" s="550">
        <v>1432</v>
      </c>
      <c r="B1433" s="574" t="s">
        <v>2313</v>
      </c>
      <c r="D1433" s="507"/>
    </row>
    <row r="1434" spans="1:4" x14ac:dyDescent="0.3">
      <c r="A1434" s="550">
        <v>1433</v>
      </c>
      <c r="B1434" s="574" t="s">
        <v>2314</v>
      </c>
      <c r="D1434" s="507"/>
    </row>
    <row r="1435" spans="1:4" x14ac:dyDescent="0.3">
      <c r="A1435" s="550">
        <v>1434</v>
      </c>
      <c r="B1435" s="574" t="s">
        <v>2315</v>
      </c>
      <c r="D1435" s="507"/>
    </row>
    <row r="1436" spans="1:4" x14ac:dyDescent="0.3">
      <c r="A1436" s="550">
        <v>1435</v>
      </c>
      <c r="B1436" s="574" t="s">
        <v>2316</v>
      </c>
      <c r="D1436" s="507"/>
    </row>
    <row r="1437" spans="1:4" x14ac:dyDescent="0.3">
      <c r="A1437" s="550">
        <v>1436</v>
      </c>
      <c r="B1437" s="574" t="s">
        <v>2317</v>
      </c>
      <c r="D1437" s="507"/>
    </row>
    <row r="1438" spans="1:4" x14ac:dyDescent="0.3">
      <c r="A1438" s="550">
        <v>1437</v>
      </c>
      <c r="B1438" s="574" t="s">
        <v>2318</v>
      </c>
      <c r="D1438" s="507"/>
    </row>
    <row r="1439" spans="1:4" x14ac:dyDescent="0.3">
      <c r="A1439" s="550">
        <v>1438</v>
      </c>
      <c r="B1439" s="574" t="s">
        <v>2319</v>
      </c>
      <c r="D1439" s="507"/>
    </row>
    <row r="1440" spans="1:4" x14ac:dyDescent="0.3">
      <c r="A1440" s="550">
        <v>1439</v>
      </c>
      <c r="B1440" s="574" t="s">
        <v>2320</v>
      </c>
      <c r="D1440" s="507"/>
    </row>
    <row r="1441" spans="1:4" x14ac:dyDescent="0.3">
      <c r="A1441" s="550">
        <v>1440</v>
      </c>
      <c r="B1441" s="574" t="s">
        <v>2321</v>
      </c>
      <c r="D1441" s="507"/>
    </row>
    <row r="1442" spans="1:4" x14ac:dyDescent="0.3">
      <c r="A1442" s="550">
        <v>1441</v>
      </c>
      <c r="B1442" s="574" t="s">
        <v>2322</v>
      </c>
      <c r="D1442" s="507"/>
    </row>
    <row r="1443" spans="1:4" x14ac:dyDescent="0.3">
      <c r="A1443" s="550">
        <v>1442</v>
      </c>
      <c r="B1443" s="574" t="s">
        <v>2323</v>
      </c>
      <c r="D1443" s="507"/>
    </row>
    <row r="1444" spans="1:4" x14ac:dyDescent="0.3">
      <c r="A1444" s="550">
        <v>1443</v>
      </c>
      <c r="B1444" s="574" t="s">
        <v>2324</v>
      </c>
      <c r="D1444" s="507"/>
    </row>
    <row r="1445" spans="1:4" x14ac:dyDescent="0.3">
      <c r="A1445" s="550">
        <v>1444</v>
      </c>
      <c r="B1445" s="574" t="s">
        <v>2325</v>
      </c>
      <c r="D1445" s="507"/>
    </row>
    <row r="1446" spans="1:4" x14ac:dyDescent="0.3">
      <c r="A1446" s="550">
        <v>1445</v>
      </c>
      <c r="B1446" s="574" t="s">
        <v>2326</v>
      </c>
      <c r="D1446" s="507"/>
    </row>
    <row r="1447" spans="1:4" x14ac:dyDescent="0.3">
      <c r="A1447" s="550">
        <v>1446</v>
      </c>
      <c r="B1447" s="574" t="s">
        <v>2327</v>
      </c>
      <c r="D1447" s="507"/>
    </row>
    <row r="1448" spans="1:4" x14ac:dyDescent="0.3">
      <c r="A1448" s="550">
        <v>1447</v>
      </c>
      <c r="B1448" s="574" t="s">
        <v>2328</v>
      </c>
      <c r="D1448" s="507"/>
    </row>
    <row r="1449" spans="1:4" x14ac:dyDescent="0.3">
      <c r="A1449" s="550">
        <v>1448</v>
      </c>
      <c r="B1449" s="574" t="s">
        <v>2329</v>
      </c>
      <c r="D1449" s="507"/>
    </row>
    <row r="1450" spans="1:4" x14ac:dyDescent="0.3">
      <c r="A1450" s="550">
        <v>1449</v>
      </c>
      <c r="B1450" s="574" t="s">
        <v>2330</v>
      </c>
      <c r="D1450" s="507"/>
    </row>
    <row r="1451" spans="1:4" x14ac:dyDescent="0.3">
      <c r="A1451" s="550">
        <v>1450</v>
      </c>
      <c r="B1451" s="574" t="s">
        <v>2331</v>
      </c>
      <c r="D1451" s="507"/>
    </row>
    <row r="1452" spans="1:4" x14ac:dyDescent="0.3">
      <c r="A1452" s="550">
        <v>1451</v>
      </c>
      <c r="B1452" s="574" t="s">
        <v>2332</v>
      </c>
      <c r="D1452" s="507"/>
    </row>
    <row r="1453" spans="1:4" x14ac:dyDescent="0.3">
      <c r="A1453" s="550">
        <v>1452</v>
      </c>
      <c r="B1453" s="574" t="s">
        <v>2333</v>
      </c>
      <c r="D1453" s="507"/>
    </row>
    <row r="1454" spans="1:4" x14ac:dyDescent="0.3">
      <c r="A1454" s="550">
        <v>1453</v>
      </c>
      <c r="B1454" s="574" t="s">
        <v>2334</v>
      </c>
      <c r="D1454" s="507"/>
    </row>
    <row r="1455" spans="1:4" x14ac:dyDescent="0.3">
      <c r="A1455" s="550">
        <v>1454</v>
      </c>
      <c r="B1455" s="574" t="s">
        <v>2335</v>
      </c>
      <c r="D1455" s="507"/>
    </row>
    <row r="1456" spans="1:4" x14ac:dyDescent="0.3">
      <c r="A1456" s="550">
        <v>1455</v>
      </c>
      <c r="B1456" s="574" t="s">
        <v>2336</v>
      </c>
      <c r="D1456" s="507"/>
    </row>
    <row r="1457" spans="1:4" x14ac:dyDescent="0.3">
      <c r="A1457" s="550">
        <v>1456</v>
      </c>
      <c r="B1457" s="574" t="s">
        <v>2337</v>
      </c>
      <c r="D1457" s="507"/>
    </row>
    <row r="1458" spans="1:4" x14ac:dyDescent="0.3">
      <c r="A1458" s="550">
        <v>1457</v>
      </c>
      <c r="B1458" s="574" t="s">
        <v>2338</v>
      </c>
      <c r="D1458" s="507"/>
    </row>
    <row r="1459" spans="1:4" x14ac:dyDescent="0.3">
      <c r="A1459" s="550">
        <v>1458</v>
      </c>
      <c r="B1459" s="573" t="s">
        <v>2339</v>
      </c>
      <c r="D1459" s="507"/>
    </row>
    <row r="1460" spans="1:4" x14ac:dyDescent="0.3">
      <c r="A1460" s="550">
        <v>1459</v>
      </c>
      <c r="B1460" s="575" t="s">
        <v>2340</v>
      </c>
      <c r="D1460" s="507"/>
    </row>
    <row r="1461" spans="1:4" x14ac:dyDescent="0.3">
      <c r="A1461" s="550">
        <v>1460</v>
      </c>
      <c r="B1461" s="575" t="s">
        <v>2341</v>
      </c>
      <c r="D1461" s="507"/>
    </row>
    <row r="1462" spans="1:4" x14ac:dyDescent="0.3">
      <c r="A1462" s="550">
        <v>1461</v>
      </c>
      <c r="B1462" s="575" t="s">
        <v>2342</v>
      </c>
      <c r="D1462" s="507"/>
    </row>
    <row r="1463" spans="1:4" x14ac:dyDescent="0.3">
      <c r="A1463" s="550">
        <v>1462</v>
      </c>
      <c r="B1463" s="575" t="s">
        <v>2343</v>
      </c>
      <c r="D1463" s="507"/>
    </row>
    <row r="1464" spans="1:4" x14ac:dyDescent="0.3">
      <c r="A1464" s="550">
        <v>1463</v>
      </c>
      <c r="B1464" s="575" t="s">
        <v>2344</v>
      </c>
      <c r="D1464" s="507"/>
    </row>
    <row r="1465" spans="1:4" x14ac:dyDescent="0.3">
      <c r="A1465" s="550">
        <v>1464</v>
      </c>
      <c r="B1465" s="1131" t="s">
        <v>2345</v>
      </c>
      <c r="D1465" s="507"/>
    </row>
    <row r="1466" spans="1:4" x14ac:dyDescent="0.3">
      <c r="A1466" s="550">
        <v>1465</v>
      </c>
      <c r="B1466" s="576" t="s">
        <v>2346</v>
      </c>
      <c r="D1466" s="507"/>
    </row>
    <row r="1467" spans="1:4" x14ac:dyDescent="0.3">
      <c r="A1467" s="550">
        <v>1466</v>
      </c>
      <c r="B1467" s="576" t="s">
        <v>2347</v>
      </c>
      <c r="D1467" s="507"/>
    </row>
    <row r="1468" spans="1:4" x14ac:dyDescent="0.3">
      <c r="A1468" s="550">
        <v>1467</v>
      </c>
      <c r="B1468" s="576" t="s">
        <v>2348</v>
      </c>
      <c r="D1468" s="507"/>
    </row>
    <row r="1469" spans="1:4" x14ac:dyDescent="0.3">
      <c r="A1469" s="550">
        <v>1468</v>
      </c>
      <c r="B1469" s="577" t="s">
        <v>2349</v>
      </c>
      <c r="D1469" s="507"/>
    </row>
    <row r="1470" spans="1:4" x14ac:dyDescent="0.3">
      <c r="A1470" s="550">
        <v>1469</v>
      </c>
      <c r="B1470" s="577" t="s">
        <v>2350</v>
      </c>
      <c r="D1470" s="507"/>
    </row>
    <row r="1471" spans="1:4" x14ac:dyDescent="0.3">
      <c r="A1471" s="550">
        <v>1470</v>
      </c>
      <c r="B1471" s="577" t="s">
        <v>2351</v>
      </c>
      <c r="D1471" s="507"/>
    </row>
    <row r="1472" spans="1:4" x14ac:dyDescent="0.3">
      <c r="A1472" s="550">
        <v>1471</v>
      </c>
      <c r="B1472" s="578" t="s">
        <v>2352</v>
      </c>
      <c r="D1472" s="507"/>
    </row>
    <row r="1473" spans="1:4" x14ac:dyDescent="0.3">
      <c r="A1473" s="550">
        <v>1472</v>
      </c>
      <c r="B1473" s="578" t="s">
        <v>2353</v>
      </c>
      <c r="D1473" s="507"/>
    </row>
    <row r="1474" spans="1:4" x14ac:dyDescent="0.3">
      <c r="A1474" s="550">
        <v>1473</v>
      </c>
      <c r="B1474" s="578" t="s">
        <v>2354</v>
      </c>
      <c r="D1474" s="507"/>
    </row>
    <row r="1475" spans="1:4" x14ac:dyDescent="0.3">
      <c r="A1475" s="550">
        <v>1474</v>
      </c>
      <c r="B1475" s="578" t="s">
        <v>2355</v>
      </c>
      <c r="D1475" s="507"/>
    </row>
    <row r="1476" spans="1:4" x14ac:dyDescent="0.3">
      <c r="A1476" s="550">
        <v>1475</v>
      </c>
      <c r="B1476" s="578" t="s">
        <v>2356</v>
      </c>
      <c r="D1476" s="507"/>
    </row>
    <row r="1477" spans="1:4" x14ac:dyDescent="0.3">
      <c r="A1477" s="550">
        <v>1476</v>
      </c>
      <c r="B1477" s="578" t="s">
        <v>2357</v>
      </c>
      <c r="D1477" s="507"/>
    </row>
    <row r="1478" spans="1:4" x14ac:dyDescent="0.3">
      <c r="A1478" s="550">
        <v>1477</v>
      </c>
      <c r="B1478" s="578" t="s">
        <v>2358</v>
      </c>
      <c r="D1478" s="507"/>
    </row>
    <row r="1479" spans="1:4" x14ac:dyDescent="0.3">
      <c r="A1479" s="550">
        <v>1478</v>
      </c>
      <c r="B1479" s="578" t="s">
        <v>2359</v>
      </c>
      <c r="D1479" s="507"/>
    </row>
    <row r="1480" spans="1:4" x14ac:dyDescent="0.3">
      <c r="A1480" s="550">
        <v>1479</v>
      </c>
      <c r="B1480" s="578" t="s">
        <v>2360</v>
      </c>
      <c r="D1480" s="507"/>
    </row>
    <row r="1481" spans="1:4" x14ac:dyDescent="0.3">
      <c r="A1481" s="550">
        <v>1480</v>
      </c>
      <c r="B1481" s="578" t="s">
        <v>2361</v>
      </c>
      <c r="D1481" s="507"/>
    </row>
    <row r="1482" spans="1:4" x14ac:dyDescent="0.3">
      <c r="A1482" s="550">
        <v>1481</v>
      </c>
      <c r="B1482" s="578" t="s">
        <v>2362</v>
      </c>
      <c r="D1482" s="507"/>
    </row>
    <row r="1483" spans="1:4" x14ac:dyDescent="0.3">
      <c r="A1483" s="550">
        <v>1482</v>
      </c>
      <c r="B1483" s="578" t="s">
        <v>2363</v>
      </c>
      <c r="D1483" s="507"/>
    </row>
    <row r="1484" spans="1:4" x14ac:dyDescent="0.3">
      <c r="A1484" s="550">
        <v>1483</v>
      </c>
      <c r="B1484" s="578" t="s">
        <v>2364</v>
      </c>
      <c r="D1484" s="507"/>
    </row>
    <row r="1485" spans="1:4" x14ac:dyDescent="0.3">
      <c r="A1485" s="550">
        <v>1484</v>
      </c>
      <c r="B1485" s="578" t="s">
        <v>2365</v>
      </c>
      <c r="D1485" s="507"/>
    </row>
    <row r="1486" spans="1:4" x14ac:dyDescent="0.3">
      <c r="A1486" s="550">
        <v>1485</v>
      </c>
      <c r="B1486" s="578" t="s">
        <v>2366</v>
      </c>
      <c r="D1486" s="507"/>
    </row>
    <row r="1487" spans="1:4" x14ac:dyDescent="0.3">
      <c r="A1487" s="550">
        <v>1486</v>
      </c>
      <c r="B1487" s="578" t="s">
        <v>2367</v>
      </c>
      <c r="D1487" s="507"/>
    </row>
    <row r="1488" spans="1:4" x14ac:dyDescent="0.3">
      <c r="A1488" s="550">
        <v>1487</v>
      </c>
      <c r="B1488" s="578" t="s">
        <v>2368</v>
      </c>
      <c r="D1488" s="507"/>
    </row>
    <row r="1489" spans="1:4" x14ac:dyDescent="0.3">
      <c r="A1489" s="550">
        <v>1488</v>
      </c>
      <c r="B1489" s="578" t="s">
        <v>2369</v>
      </c>
      <c r="D1489" s="507"/>
    </row>
    <row r="1490" spans="1:4" x14ac:dyDescent="0.3">
      <c r="A1490" s="550">
        <v>1489</v>
      </c>
      <c r="B1490" s="578" t="s">
        <v>2370</v>
      </c>
      <c r="D1490" s="507"/>
    </row>
    <row r="1491" spans="1:4" x14ac:dyDescent="0.3">
      <c r="A1491" s="550">
        <v>1490</v>
      </c>
      <c r="B1491" s="578" t="s">
        <v>2371</v>
      </c>
      <c r="D1491" s="507"/>
    </row>
    <row r="1492" spans="1:4" x14ac:dyDescent="0.3">
      <c r="A1492" s="550">
        <v>1491</v>
      </c>
      <c r="B1492" s="578" t="s">
        <v>2372</v>
      </c>
      <c r="D1492" s="507"/>
    </row>
    <row r="1493" spans="1:4" x14ac:dyDescent="0.3">
      <c r="A1493" s="550">
        <v>1492</v>
      </c>
      <c r="B1493" s="578" t="s">
        <v>2373</v>
      </c>
      <c r="D1493" s="507"/>
    </row>
    <row r="1494" spans="1:4" x14ac:dyDescent="0.3">
      <c r="A1494" s="550">
        <v>1493</v>
      </c>
      <c r="B1494" s="578" t="s">
        <v>2374</v>
      </c>
      <c r="D1494" s="507"/>
    </row>
    <row r="1495" spans="1:4" x14ac:dyDescent="0.3">
      <c r="A1495" s="550">
        <v>1494</v>
      </c>
      <c r="B1495" s="578" t="s">
        <v>2375</v>
      </c>
      <c r="D1495" s="507"/>
    </row>
    <row r="1496" spans="1:4" x14ac:dyDescent="0.3">
      <c r="A1496" s="550">
        <v>1495</v>
      </c>
      <c r="B1496" s="578" t="s">
        <v>2376</v>
      </c>
      <c r="D1496" s="507"/>
    </row>
    <row r="1497" spans="1:4" x14ac:dyDescent="0.3">
      <c r="A1497" s="550">
        <v>1496</v>
      </c>
      <c r="B1497" s="578" t="s">
        <v>2377</v>
      </c>
      <c r="D1497" s="507"/>
    </row>
    <row r="1498" spans="1:4" x14ac:dyDescent="0.3">
      <c r="A1498" s="550">
        <v>1497</v>
      </c>
      <c r="B1498" s="578" t="s">
        <v>2378</v>
      </c>
      <c r="D1498" s="507"/>
    </row>
    <row r="1499" spans="1:4" x14ac:dyDescent="0.3">
      <c r="A1499" s="550">
        <v>1498</v>
      </c>
      <c r="B1499" s="578" t="s">
        <v>2379</v>
      </c>
      <c r="D1499" s="507"/>
    </row>
    <row r="1500" spans="1:4" x14ac:dyDescent="0.3">
      <c r="A1500" s="550">
        <v>1499</v>
      </c>
      <c r="B1500" s="578" t="s">
        <v>2380</v>
      </c>
      <c r="D1500" s="507"/>
    </row>
    <row r="1501" spans="1:4" x14ac:dyDescent="0.3">
      <c r="A1501" s="550">
        <v>1500</v>
      </c>
      <c r="B1501" s="578" t="s">
        <v>2381</v>
      </c>
      <c r="D1501" s="507"/>
    </row>
    <row r="1502" spans="1:4" x14ac:dyDescent="0.3">
      <c r="A1502" s="550">
        <v>1501</v>
      </c>
      <c r="B1502" s="579" t="s">
        <v>2382</v>
      </c>
      <c r="D1502" s="507"/>
    </row>
    <row r="1503" spans="1:4" x14ac:dyDescent="0.3">
      <c r="A1503" s="550">
        <v>1502</v>
      </c>
      <c r="B1503" s="578" t="s">
        <v>2383</v>
      </c>
      <c r="D1503" s="507"/>
    </row>
    <row r="1504" spans="1:4" x14ac:dyDescent="0.3">
      <c r="A1504" s="550">
        <v>1503</v>
      </c>
      <c r="B1504" s="578" t="s">
        <v>2384</v>
      </c>
      <c r="D1504" s="507"/>
    </row>
    <row r="1505" spans="1:4" x14ac:dyDescent="0.3">
      <c r="A1505" s="550">
        <v>1504</v>
      </c>
      <c r="B1505" s="578" t="s">
        <v>2385</v>
      </c>
      <c r="D1505" s="507"/>
    </row>
    <row r="1506" spans="1:4" x14ac:dyDescent="0.3">
      <c r="A1506" s="550">
        <v>1505</v>
      </c>
      <c r="B1506" s="578" t="s">
        <v>2386</v>
      </c>
      <c r="D1506" s="507"/>
    </row>
    <row r="1507" spans="1:4" x14ac:dyDescent="0.3">
      <c r="A1507" s="550">
        <v>1506</v>
      </c>
      <c r="B1507" s="578" t="s">
        <v>2387</v>
      </c>
      <c r="D1507" s="507"/>
    </row>
    <row r="1508" spans="1:4" x14ac:dyDescent="0.3">
      <c r="A1508" s="550">
        <v>1507</v>
      </c>
      <c r="B1508" s="578" t="s">
        <v>2388</v>
      </c>
      <c r="D1508" s="507"/>
    </row>
    <row r="1509" spans="1:4" x14ac:dyDescent="0.3">
      <c r="A1509" s="550">
        <v>1508</v>
      </c>
      <c r="B1509" s="578" t="s">
        <v>2389</v>
      </c>
      <c r="D1509" s="507"/>
    </row>
    <row r="1510" spans="1:4" x14ac:dyDescent="0.3">
      <c r="A1510" s="550">
        <v>1509</v>
      </c>
      <c r="B1510" s="578" t="s">
        <v>2390</v>
      </c>
      <c r="D1510" s="507"/>
    </row>
    <row r="1511" spans="1:4" x14ac:dyDescent="0.3">
      <c r="A1511" s="550">
        <v>1510</v>
      </c>
      <c r="B1511" s="578" t="s">
        <v>2391</v>
      </c>
      <c r="D1511" s="507"/>
    </row>
    <row r="1512" spans="1:4" x14ac:dyDescent="0.3">
      <c r="A1512" s="550">
        <v>1511</v>
      </c>
      <c r="B1512" s="578" t="s">
        <v>2392</v>
      </c>
      <c r="D1512" s="507"/>
    </row>
    <row r="1513" spans="1:4" x14ac:dyDescent="0.3">
      <c r="A1513" s="550">
        <v>1512</v>
      </c>
      <c r="B1513" s="578" t="s">
        <v>2393</v>
      </c>
      <c r="D1513" s="507"/>
    </row>
    <row r="1514" spans="1:4" x14ac:dyDescent="0.3">
      <c r="A1514" s="550">
        <v>1513</v>
      </c>
      <c r="B1514" s="578" t="s">
        <v>2394</v>
      </c>
      <c r="D1514" s="507"/>
    </row>
    <row r="1515" spans="1:4" x14ac:dyDescent="0.3">
      <c r="A1515" s="550">
        <v>1514</v>
      </c>
      <c r="B1515" s="579" t="s">
        <v>2395</v>
      </c>
      <c r="D1515" s="507"/>
    </row>
    <row r="1516" spans="1:4" x14ac:dyDescent="0.3">
      <c r="A1516" s="550">
        <v>1515</v>
      </c>
      <c r="B1516" s="578" t="s">
        <v>2396</v>
      </c>
      <c r="D1516" s="507"/>
    </row>
    <row r="1517" spans="1:4" x14ac:dyDescent="0.3">
      <c r="A1517" s="550">
        <v>1516</v>
      </c>
      <c r="B1517" s="578" t="s">
        <v>2397</v>
      </c>
      <c r="D1517" s="507"/>
    </row>
    <row r="1518" spans="1:4" x14ac:dyDescent="0.3">
      <c r="A1518" s="550">
        <v>1517</v>
      </c>
      <c r="B1518" s="578" t="s">
        <v>2398</v>
      </c>
      <c r="D1518" s="507"/>
    </row>
    <row r="1519" spans="1:4" x14ac:dyDescent="0.3">
      <c r="A1519" s="550">
        <v>1518</v>
      </c>
      <c r="B1519" s="578" t="s">
        <v>2399</v>
      </c>
      <c r="D1519" s="507"/>
    </row>
    <row r="1520" spans="1:4" x14ac:dyDescent="0.3">
      <c r="A1520" s="550">
        <v>1519</v>
      </c>
      <c r="B1520" s="578" t="s">
        <v>2400</v>
      </c>
      <c r="D1520" s="507"/>
    </row>
    <row r="1521" spans="1:4" x14ac:dyDescent="0.3">
      <c r="A1521" s="550">
        <v>1520</v>
      </c>
      <c r="B1521" s="578" t="s">
        <v>2401</v>
      </c>
      <c r="D1521" s="507"/>
    </row>
    <row r="1522" spans="1:4" x14ac:dyDescent="0.3">
      <c r="A1522" s="550">
        <v>1521</v>
      </c>
      <c r="B1522" s="578" t="s">
        <v>2402</v>
      </c>
      <c r="D1522" s="507"/>
    </row>
    <row r="1523" spans="1:4" x14ac:dyDescent="0.3">
      <c r="A1523" s="550">
        <v>1522</v>
      </c>
      <c r="B1523" s="578" t="s">
        <v>2403</v>
      </c>
      <c r="D1523" s="507"/>
    </row>
    <row r="1524" spans="1:4" x14ac:dyDescent="0.3">
      <c r="A1524" s="550">
        <v>1523</v>
      </c>
      <c r="B1524" s="578" t="s">
        <v>2404</v>
      </c>
      <c r="D1524" s="507"/>
    </row>
    <row r="1525" spans="1:4" x14ac:dyDescent="0.3">
      <c r="A1525" s="550">
        <v>1524</v>
      </c>
      <c r="B1525" s="578" t="s">
        <v>2405</v>
      </c>
      <c r="D1525" s="507"/>
    </row>
    <row r="1526" spans="1:4" x14ac:dyDescent="0.3">
      <c r="A1526" s="550">
        <v>1525</v>
      </c>
      <c r="B1526" s="578" t="s">
        <v>2406</v>
      </c>
      <c r="D1526" s="507"/>
    </row>
    <row r="1527" spans="1:4" x14ac:dyDescent="0.3">
      <c r="A1527" s="550">
        <v>1526</v>
      </c>
      <c r="B1527" s="578" t="s">
        <v>2407</v>
      </c>
      <c r="D1527" s="507"/>
    </row>
    <row r="1528" spans="1:4" x14ac:dyDescent="0.3">
      <c r="A1528" s="550">
        <v>1527</v>
      </c>
      <c r="B1528" s="578" t="s">
        <v>2408</v>
      </c>
      <c r="D1528" s="507"/>
    </row>
    <row r="1529" spans="1:4" x14ac:dyDescent="0.3">
      <c r="A1529" s="550">
        <v>1528</v>
      </c>
      <c r="B1529" s="578" t="s">
        <v>2409</v>
      </c>
      <c r="D1529" s="507"/>
    </row>
    <row r="1530" spans="1:4" x14ac:dyDescent="0.3">
      <c r="A1530" s="550">
        <v>1529</v>
      </c>
      <c r="B1530" s="578" t="s">
        <v>2410</v>
      </c>
      <c r="D1530" s="507"/>
    </row>
    <row r="1531" spans="1:4" x14ac:dyDescent="0.3">
      <c r="A1531" s="550">
        <v>1530</v>
      </c>
      <c r="B1531" s="573" t="s">
        <v>2411</v>
      </c>
      <c r="D1531" s="507"/>
    </row>
    <row r="1532" spans="1:4" x14ac:dyDescent="0.3">
      <c r="A1532" s="550">
        <v>1531</v>
      </c>
      <c r="B1532" s="578" t="s">
        <v>2412</v>
      </c>
      <c r="D1532" s="507"/>
    </row>
    <row r="1533" spans="1:4" x14ac:dyDescent="0.3">
      <c r="A1533" s="550">
        <v>1532</v>
      </c>
      <c r="B1533" s="578" t="s">
        <v>2413</v>
      </c>
      <c r="D1533" s="507"/>
    </row>
    <row r="1534" spans="1:4" x14ac:dyDescent="0.3">
      <c r="A1534" s="550">
        <v>1533</v>
      </c>
      <c r="B1534" s="205" t="s">
        <v>2414</v>
      </c>
      <c r="D1534" s="507"/>
    </row>
    <row r="1535" spans="1:4" x14ac:dyDescent="0.3">
      <c r="A1535" s="550">
        <v>1534</v>
      </c>
      <c r="B1535" s="205" t="s">
        <v>2415</v>
      </c>
      <c r="D1535" s="507"/>
    </row>
    <row r="1536" spans="1:4" x14ac:dyDescent="0.3">
      <c r="A1536" s="550">
        <v>1535</v>
      </c>
      <c r="B1536" s="205" t="s">
        <v>462</v>
      </c>
      <c r="D1536" s="507"/>
    </row>
    <row r="1537" spans="1:4" x14ac:dyDescent="0.3">
      <c r="A1537" s="550">
        <v>1536</v>
      </c>
      <c r="B1537" s="205" t="s">
        <v>2416</v>
      </c>
      <c r="D1537" s="507"/>
    </row>
    <row r="1538" spans="1:4" x14ac:dyDescent="0.3">
      <c r="A1538" s="550">
        <v>1537</v>
      </c>
      <c r="B1538" s="205" t="s">
        <v>2417</v>
      </c>
      <c r="D1538" s="507"/>
    </row>
    <row r="1539" spans="1:4" x14ac:dyDescent="0.3">
      <c r="A1539" s="550">
        <v>1538</v>
      </c>
      <c r="B1539" s="205" t="s">
        <v>2418</v>
      </c>
      <c r="D1539" s="507"/>
    </row>
    <row r="1540" spans="1:4" x14ac:dyDescent="0.3">
      <c r="A1540" s="550">
        <v>1539</v>
      </c>
      <c r="B1540" s="205" t="s">
        <v>2419</v>
      </c>
      <c r="D1540" s="507"/>
    </row>
    <row r="1541" spans="1:4" x14ac:dyDescent="0.3">
      <c r="A1541" s="550">
        <v>1540</v>
      </c>
      <c r="B1541" s="580" t="s">
        <v>2420</v>
      </c>
      <c r="D1541" s="507"/>
    </row>
    <row r="1542" spans="1:4" x14ac:dyDescent="0.3">
      <c r="B1542" s="1063" t="s">
        <v>2421</v>
      </c>
      <c r="D1542" s="507"/>
    </row>
    <row r="1543" spans="1:4" x14ac:dyDescent="0.3">
      <c r="B1543" s="550" t="s">
        <v>2422</v>
      </c>
    </row>
    <row r="1544" spans="1:4" x14ac:dyDescent="0.3">
      <c r="B1544" s="550" t="s">
        <v>2566</v>
      </c>
    </row>
    <row r="1545" spans="1:4" x14ac:dyDescent="0.3">
      <c r="B1545" s="550" t="s">
        <v>2423</v>
      </c>
    </row>
    <row r="1546" spans="1:4" x14ac:dyDescent="0.3">
      <c r="B1546" s="550" t="s">
        <v>2424</v>
      </c>
    </row>
    <row r="1547" spans="1:4" x14ac:dyDescent="0.3">
      <c r="B1547" s="550" t="s">
        <v>2425</v>
      </c>
    </row>
    <row r="1548" spans="1:4" x14ac:dyDescent="0.3">
      <c r="B1548" s="1064" t="s">
        <v>2426</v>
      </c>
    </row>
    <row r="1549" spans="1:4" x14ac:dyDescent="0.3">
      <c r="B1549" s="550" t="s">
        <v>2427</v>
      </c>
    </row>
    <row r="1550" spans="1:4" x14ac:dyDescent="0.3">
      <c r="B1550" s="550" t="s">
        <v>2428</v>
      </c>
    </row>
    <row r="1551" spans="1:4" x14ac:dyDescent="0.3">
      <c r="B1551" s="550" t="s">
        <v>2429</v>
      </c>
    </row>
    <row r="1552" spans="1:4" x14ac:dyDescent="0.3">
      <c r="B1552" s="1064" t="s">
        <v>2430</v>
      </c>
    </row>
    <row r="1553" spans="2:2" x14ac:dyDescent="0.3">
      <c r="B1553" s="94" t="s">
        <v>2431</v>
      </c>
    </row>
    <row r="1554" spans="2:2" x14ac:dyDescent="0.3">
      <c r="B1554" s="94" t="s">
        <v>2432</v>
      </c>
    </row>
    <row r="1555" spans="2:2" x14ac:dyDescent="0.3">
      <c r="B1555" s="94" t="s">
        <v>2433</v>
      </c>
    </row>
    <row r="1556" spans="2:2" x14ac:dyDescent="0.3">
      <c r="B1556" s="94" t="s">
        <v>2434</v>
      </c>
    </row>
    <row r="1557" spans="2:2" x14ac:dyDescent="0.3">
      <c r="B1557" s="94" t="s">
        <v>2435</v>
      </c>
    </row>
    <row r="1558" spans="2:2" x14ac:dyDescent="0.3">
      <c r="B1558" s="1064" t="s">
        <v>2436</v>
      </c>
    </row>
    <row r="1559" spans="2:2" x14ac:dyDescent="0.3">
      <c r="B1559" s="550" t="s">
        <v>2437</v>
      </c>
    </row>
    <row r="1560" spans="2:2" x14ac:dyDescent="0.3">
      <c r="B1560" s="550" t="s">
        <v>2438</v>
      </c>
    </row>
  </sheetData>
  <sheetProtection algorithmName="SHA-512" hashValue="MgLy/tTFUeRB4ak9ilczE5g/wEA2GqpgGDnUUCPkU+gh8TpbCkAcBFT4fgnZ7XILu7ZQfAewE/lgjrQpp/odww==" saltValue="oxNUmeoxyKGVlFTGG8dL6A==" spinCount="100000" sheet="1" objects="1" scenarios="1" formatColumns="0" formatRows="0"/>
  <autoFilter ref="A1:E1541" xr:uid="{E7E82540-026F-4E4B-B210-E814FB70F53D}"/>
  <phoneticPr fontId="31" type="noConversion"/>
  <pageMargins left="0.7" right="0.7" top="0.78740157499999996" bottom="0.78740157499999996" header="0.3" footer="0.3"/>
  <pageSetup paperSize="9" scale="10" fitToHeight="4"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C925-5534-4C82-BF96-728BB13B6459}">
  <sheetPr codeName="Tabelle16">
    <tabColor indexed="57"/>
    <pageSetUpPr fitToPage="1"/>
  </sheetPr>
  <dimension ref="A1:E90"/>
  <sheetViews>
    <sheetView workbookViewId="0">
      <selection activeCell="G7" sqref="G7"/>
    </sheetView>
  </sheetViews>
  <sheetFormatPr defaultColWidth="9.109375" defaultRowHeight="13.2" x14ac:dyDescent="0.25"/>
  <cols>
    <col min="1" max="1" width="23.44140625" customWidth="1"/>
    <col min="2" max="2" width="34.6640625" customWidth="1"/>
    <col min="3" max="3" width="15.109375" customWidth="1"/>
    <col min="4" max="4" width="15.44140625" customWidth="1"/>
  </cols>
  <sheetData>
    <row r="1" spans="1:5" ht="13.8" thickBot="1" x14ac:dyDescent="0.3">
      <c r="A1" s="71" t="s">
        <v>2439</v>
      </c>
    </row>
    <row r="2" spans="1:5" ht="13.8" thickBot="1" x14ac:dyDescent="0.3">
      <c r="A2" s="96" t="s">
        <v>2440</v>
      </c>
      <c r="B2" s="623" t="s">
        <v>2441</v>
      </c>
    </row>
    <row r="3" spans="1:5" ht="13.8" thickBot="1" x14ac:dyDescent="0.3">
      <c r="A3" s="97" t="s">
        <v>2442</v>
      </c>
      <c r="B3" s="98">
        <v>45756</v>
      </c>
      <c r="C3" s="99" t="str">
        <f>IF(ISNUMBER(MATCH(B3,A14:A28,0)),VLOOKUP(B3,A14:B28,2,FALSE),"---")</f>
        <v>BDC_P4_baseline_UK_en_250409.xls</v>
      </c>
      <c r="D3" s="100"/>
      <c r="E3" s="101"/>
    </row>
    <row r="4" spans="1:5" x14ac:dyDescent="0.25">
      <c r="A4" s="102" t="s">
        <v>2443</v>
      </c>
      <c r="B4" s="103" t="s">
        <v>2246</v>
      </c>
    </row>
    <row r="5" spans="1:5" ht="13.8" thickBot="1" x14ac:dyDescent="0.3">
      <c r="A5" s="104" t="s">
        <v>2444</v>
      </c>
      <c r="B5" s="105" t="s">
        <v>2445</v>
      </c>
    </row>
    <row r="7" spans="1:5" x14ac:dyDescent="0.25">
      <c r="A7" s="71" t="s">
        <v>2446</v>
      </c>
    </row>
    <row r="8" spans="1:5" x14ac:dyDescent="0.25">
      <c r="A8" s="189" t="s">
        <v>2447</v>
      </c>
      <c r="B8" s="84"/>
      <c r="C8" s="189" t="s">
        <v>2448</v>
      </c>
    </row>
    <row r="9" spans="1:5" x14ac:dyDescent="0.25">
      <c r="A9" s="189" t="s">
        <v>2449</v>
      </c>
      <c r="B9" s="84"/>
      <c r="C9" s="189" t="s">
        <v>2450</v>
      </c>
    </row>
    <row r="10" spans="1:5" x14ac:dyDescent="0.25">
      <c r="A10" s="189" t="s">
        <v>2451</v>
      </c>
      <c r="B10" s="84"/>
      <c r="C10" s="189" t="s">
        <v>2452</v>
      </c>
    </row>
    <row r="11" spans="1:5" x14ac:dyDescent="0.25">
      <c r="A11" s="189" t="s">
        <v>2441</v>
      </c>
      <c r="B11" s="84"/>
      <c r="C11" s="189" t="s">
        <v>2453</v>
      </c>
    </row>
    <row r="13" spans="1:5" x14ac:dyDescent="0.25">
      <c r="A13" s="172" t="s">
        <v>2454</v>
      </c>
      <c r="B13" s="173" t="s">
        <v>2455</v>
      </c>
      <c r="C13" s="173" t="s">
        <v>2456</v>
      </c>
      <c r="D13" s="174"/>
    </row>
    <row r="14" spans="1:5" x14ac:dyDescent="0.25">
      <c r="A14" s="175">
        <v>43376</v>
      </c>
      <c r="B14" s="176" t="s">
        <v>2457</v>
      </c>
      <c r="C14" s="177" t="s">
        <v>2458</v>
      </c>
      <c r="D14" s="178"/>
    </row>
    <row r="15" spans="1:5" x14ac:dyDescent="0.25">
      <c r="A15" s="179">
        <v>43413</v>
      </c>
      <c r="B15" s="180" t="s">
        <v>2459</v>
      </c>
      <c r="C15" s="181" t="s">
        <v>2460</v>
      </c>
      <c r="D15" s="182"/>
    </row>
    <row r="16" spans="1:5" x14ac:dyDescent="0.25">
      <c r="A16" s="179">
        <v>43445</v>
      </c>
      <c r="B16" s="180" t="s">
        <v>2461</v>
      </c>
      <c r="C16" s="181" t="s">
        <v>2462</v>
      </c>
      <c r="D16" s="182"/>
    </row>
    <row r="17" spans="1:4" x14ac:dyDescent="0.25">
      <c r="A17" s="179">
        <v>43448</v>
      </c>
      <c r="B17" s="180" t="s">
        <v>2463</v>
      </c>
      <c r="C17" s="181" t="s">
        <v>2464</v>
      </c>
      <c r="D17" s="182"/>
    </row>
    <row r="18" spans="1:4" x14ac:dyDescent="0.25">
      <c r="A18" s="179">
        <v>43490</v>
      </c>
      <c r="B18" s="180" t="s">
        <v>2465</v>
      </c>
      <c r="C18" s="181" t="s">
        <v>2466</v>
      </c>
      <c r="D18" s="182"/>
    </row>
    <row r="19" spans="1:4" x14ac:dyDescent="0.25">
      <c r="A19" s="179">
        <v>43528</v>
      </c>
      <c r="B19" s="180" t="s">
        <v>2467</v>
      </c>
      <c r="C19" s="183" t="s">
        <v>2468</v>
      </c>
      <c r="D19" s="182"/>
    </row>
    <row r="20" spans="1:4" x14ac:dyDescent="0.25">
      <c r="A20" s="179">
        <v>43635</v>
      </c>
      <c r="B20" s="180" t="s">
        <v>2469</v>
      </c>
      <c r="C20" s="181" t="s">
        <v>2470</v>
      </c>
      <c r="D20" s="182"/>
    </row>
    <row r="21" spans="1:4" x14ac:dyDescent="0.25">
      <c r="A21" s="179">
        <v>43710</v>
      </c>
      <c r="B21" s="180" t="s">
        <v>2471</v>
      </c>
      <c r="C21" s="181" t="s">
        <v>2472</v>
      </c>
      <c r="D21" s="182"/>
    </row>
    <row r="22" spans="1:4" x14ac:dyDescent="0.25">
      <c r="A22" s="179">
        <v>44238</v>
      </c>
      <c r="B22" s="180" t="s">
        <v>2473</v>
      </c>
      <c r="C22" s="181" t="s">
        <v>2474</v>
      </c>
      <c r="D22" s="182"/>
    </row>
    <row r="23" spans="1:4" x14ac:dyDescent="0.25">
      <c r="A23" s="179">
        <v>45684</v>
      </c>
      <c r="B23" s="622" t="s">
        <v>2475</v>
      </c>
      <c r="C23" s="181" t="s">
        <v>2476</v>
      </c>
      <c r="D23" s="182"/>
    </row>
    <row r="24" spans="1:4" x14ac:dyDescent="0.25">
      <c r="A24" s="179">
        <v>45695</v>
      </c>
      <c r="B24" s="622" t="s">
        <v>2550</v>
      </c>
      <c r="C24" s="181" t="s">
        <v>2477</v>
      </c>
      <c r="D24" s="182"/>
    </row>
    <row r="25" spans="1:4" x14ac:dyDescent="0.25">
      <c r="A25" s="179">
        <v>45742</v>
      </c>
      <c r="B25" s="180" t="s">
        <v>2564</v>
      </c>
      <c r="C25" s="181" t="s">
        <v>2565</v>
      </c>
      <c r="D25" s="182"/>
    </row>
    <row r="26" spans="1:4" x14ac:dyDescent="0.25">
      <c r="A26" s="179">
        <v>45748</v>
      </c>
      <c r="B26" s="180" t="s">
        <v>2567</v>
      </c>
      <c r="C26" s="181" t="s">
        <v>2568</v>
      </c>
      <c r="D26" s="182"/>
    </row>
    <row r="27" spans="1:4" x14ac:dyDescent="0.25">
      <c r="A27" s="179">
        <v>45756</v>
      </c>
      <c r="B27" s="622" t="s">
        <v>2575</v>
      </c>
      <c r="C27" s="181" t="s">
        <v>2571</v>
      </c>
      <c r="D27" s="182"/>
    </row>
    <row r="28" spans="1:4" x14ac:dyDescent="0.25">
      <c r="A28" s="184"/>
      <c r="B28" s="188"/>
      <c r="C28" s="185"/>
      <c r="D28" s="186"/>
    </row>
    <row r="30" spans="1:4" x14ac:dyDescent="0.25">
      <c r="A30" s="71" t="s">
        <v>2443</v>
      </c>
    </row>
    <row r="31" spans="1:4" x14ac:dyDescent="0.25">
      <c r="A31" s="95" t="s">
        <v>2478</v>
      </c>
      <c r="B31" s="95" t="s">
        <v>2479</v>
      </c>
    </row>
    <row r="32" spans="1:4" x14ac:dyDescent="0.25">
      <c r="A32" s="95" t="s">
        <v>2480</v>
      </c>
      <c r="B32" s="95" t="s">
        <v>2481</v>
      </c>
    </row>
    <row r="33" spans="1:2" x14ac:dyDescent="0.25">
      <c r="A33" s="95" t="s">
        <v>2216</v>
      </c>
      <c r="B33" s="95" t="s">
        <v>2247</v>
      </c>
    </row>
    <row r="34" spans="1:2" x14ac:dyDescent="0.25">
      <c r="A34" s="95" t="s">
        <v>2217</v>
      </c>
      <c r="B34" s="95" t="s">
        <v>2248</v>
      </c>
    </row>
    <row r="35" spans="1:2" x14ac:dyDescent="0.25">
      <c r="A35" s="95" t="s">
        <v>2218</v>
      </c>
      <c r="B35" s="95" t="s">
        <v>2249</v>
      </c>
    </row>
    <row r="36" spans="1:2" x14ac:dyDescent="0.25">
      <c r="A36" s="95" t="s">
        <v>2220</v>
      </c>
      <c r="B36" s="95" t="s">
        <v>2251</v>
      </c>
    </row>
    <row r="37" spans="1:2" x14ac:dyDescent="0.25">
      <c r="A37" s="95" t="s">
        <v>2219</v>
      </c>
      <c r="B37" s="95" t="s">
        <v>2250</v>
      </c>
    </row>
    <row r="38" spans="1:2" x14ac:dyDescent="0.25">
      <c r="A38" s="95" t="s">
        <v>2221</v>
      </c>
      <c r="B38" s="95" t="s">
        <v>2252</v>
      </c>
    </row>
    <row r="39" spans="1:2" x14ac:dyDescent="0.25">
      <c r="A39" s="95" t="s">
        <v>2222</v>
      </c>
      <c r="B39" s="95" t="s">
        <v>2253</v>
      </c>
    </row>
    <row r="40" spans="1:2" x14ac:dyDescent="0.25">
      <c r="A40" s="95" t="s">
        <v>2223</v>
      </c>
      <c r="B40" s="95" t="s">
        <v>2254</v>
      </c>
    </row>
    <row r="41" spans="1:2" x14ac:dyDescent="0.25">
      <c r="A41" s="95" t="s">
        <v>2224</v>
      </c>
      <c r="B41" s="95" t="s">
        <v>2255</v>
      </c>
    </row>
    <row r="42" spans="1:2" x14ac:dyDescent="0.25">
      <c r="A42" s="95" t="s">
        <v>2225</v>
      </c>
      <c r="B42" s="95" t="s">
        <v>2256</v>
      </c>
    </row>
    <row r="43" spans="1:2" x14ac:dyDescent="0.25">
      <c r="A43" s="95" t="s">
        <v>2226</v>
      </c>
      <c r="B43" s="95" t="s">
        <v>2257</v>
      </c>
    </row>
    <row r="44" spans="1:2" x14ac:dyDescent="0.25">
      <c r="A44" s="95" t="s">
        <v>2227</v>
      </c>
      <c r="B44" s="95" t="s">
        <v>2258</v>
      </c>
    </row>
    <row r="45" spans="1:2" x14ac:dyDescent="0.25">
      <c r="A45" s="95" t="s">
        <v>2228</v>
      </c>
      <c r="B45" s="95" t="s">
        <v>2259</v>
      </c>
    </row>
    <row r="46" spans="1:2" x14ac:dyDescent="0.25">
      <c r="A46" s="95" t="s">
        <v>2229</v>
      </c>
      <c r="B46" s="95" t="s">
        <v>2482</v>
      </c>
    </row>
    <row r="47" spans="1:2" x14ac:dyDescent="0.25">
      <c r="A47" s="95" t="s">
        <v>2230</v>
      </c>
      <c r="B47" s="95" t="s">
        <v>2261</v>
      </c>
    </row>
    <row r="48" spans="1:2" x14ac:dyDescent="0.25">
      <c r="A48" s="95" t="s">
        <v>2231</v>
      </c>
      <c r="B48" s="95" t="s">
        <v>2262</v>
      </c>
    </row>
    <row r="49" spans="1:2" x14ac:dyDescent="0.25">
      <c r="A49" s="95" t="s">
        <v>2232</v>
      </c>
      <c r="B49" s="95" t="s">
        <v>2263</v>
      </c>
    </row>
    <row r="50" spans="1:2" x14ac:dyDescent="0.25">
      <c r="A50" s="95" t="s">
        <v>2233</v>
      </c>
      <c r="B50" s="95" t="s">
        <v>2264</v>
      </c>
    </row>
    <row r="51" spans="1:2" x14ac:dyDescent="0.25">
      <c r="A51" s="95" t="s">
        <v>2234</v>
      </c>
      <c r="B51" s="95" t="s">
        <v>2265</v>
      </c>
    </row>
    <row r="52" spans="1:2" x14ac:dyDescent="0.25">
      <c r="A52" s="95" t="s">
        <v>2235</v>
      </c>
      <c r="B52" s="95" t="s">
        <v>2266</v>
      </c>
    </row>
    <row r="53" spans="1:2" x14ac:dyDescent="0.25">
      <c r="A53" s="95" t="s">
        <v>2236</v>
      </c>
      <c r="B53" s="95" t="s">
        <v>2267</v>
      </c>
    </row>
    <row r="54" spans="1:2" x14ac:dyDescent="0.25">
      <c r="A54" s="95" t="s">
        <v>2237</v>
      </c>
      <c r="B54" s="95" t="s">
        <v>2268</v>
      </c>
    </row>
    <row r="55" spans="1:2" x14ac:dyDescent="0.25">
      <c r="A55" s="95" t="s">
        <v>2238</v>
      </c>
      <c r="B55" s="95" t="s">
        <v>2269</v>
      </c>
    </row>
    <row r="56" spans="1:2" x14ac:dyDescent="0.25">
      <c r="A56" s="95" t="s">
        <v>2239</v>
      </c>
      <c r="B56" s="95" t="s">
        <v>2270</v>
      </c>
    </row>
    <row r="57" spans="1:2" x14ac:dyDescent="0.25">
      <c r="A57" s="95" t="s">
        <v>2240</v>
      </c>
      <c r="B57" s="95" t="s">
        <v>2271</v>
      </c>
    </row>
    <row r="58" spans="1:2" x14ac:dyDescent="0.25">
      <c r="A58" s="95" t="s">
        <v>2241</v>
      </c>
      <c r="B58" s="95" t="s">
        <v>2272</v>
      </c>
    </row>
    <row r="59" spans="1:2" x14ac:dyDescent="0.25">
      <c r="A59" s="95" t="s">
        <v>2242</v>
      </c>
      <c r="B59" s="95" t="s">
        <v>2273</v>
      </c>
    </row>
    <row r="60" spans="1:2" x14ac:dyDescent="0.25">
      <c r="A60" s="95" t="s">
        <v>2243</v>
      </c>
      <c r="B60" s="95" t="s">
        <v>2274</v>
      </c>
    </row>
    <row r="61" spans="1:2" x14ac:dyDescent="0.25">
      <c r="A61" s="95" t="s">
        <v>2244</v>
      </c>
      <c r="B61" s="95" t="s">
        <v>2275</v>
      </c>
    </row>
    <row r="62" spans="1:2" x14ac:dyDescent="0.25">
      <c r="A62" s="95" t="s">
        <v>2245</v>
      </c>
      <c r="B62" s="95" t="s">
        <v>2276</v>
      </c>
    </row>
    <row r="63" spans="1:2" x14ac:dyDescent="0.25">
      <c r="A63" s="95" t="s">
        <v>2246</v>
      </c>
      <c r="B63" s="95" t="s">
        <v>2277</v>
      </c>
    </row>
    <row r="65" spans="1:2" x14ac:dyDescent="0.25">
      <c r="A65" s="71" t="s">
        <v>2483</v>
      </c>
    </row>
    <row r="66" spans="1:2" x14ac:dyDescent="0.25">
      <c r="A66" s="187" t="s">
        <v>2484</v>
      </c>
      <c r="B66" s="187" t="s">
        <v>2485</v>
      </c>
    </row>
    <row r="67" spans="1:2" x14ac:dyDescent="0.25">
      <c r="A67" s="187" t="s">
        <v>2486</v>
      </c>
      <c r="B67" s="187" t="s">
        <v>2487</v>
      </c>
    </row>
    <row r="68" spans="1:2" x14ac:dyDescent="0.25">
      <c r="A68" s="187" t="s">
        <v>2488</v>
      </c>
      <c r="B68" s="187" t="s">
        <v>2489</v>
      </c>
    </row>
    <row r="69" spans="1:2" x14ac:dyDescent="0.25">
      <c r="A69" s="187" t="s">
        <v>2490</v>
      </c>
      <c r="B69" s="187" t="s">
        <v>2491</v>
      </c>
    </row>
    <row r="70" spans="1:2" x14ac:dyDescent="0.25">
      <c r="A70" s="187" t="s">
        <v>2492</v>
      </c>
      <c r="B70" s="187" t="s">
        <v>2493</v>
      </c>
    </row>
    <row r="71" spans="1:2" x14ac:dyDescent="0.25">
      <c r="A71" s="187" t="s">
        <v>2494</v>
      </c>
      <c r="B71" s="187" t="s">
        <v>2495</v>
      </c>
    </row>
    <row r="72" spans="1:2" x14ac:dyDescent="0.25">
      <c r="A72" s="187" t="s">
        <v>2496</v>
      </c>
      <c r="B72" s="187" t="s">
        <v>2497</v>
      </c>
    </row>
    <row r="73" spans="1:2" x14ac:dyDescent="0.25">
      <c r="A73" s="187" t="s">
        <v>2498</v>
      </c>
      <c r="B73" s="187" t="s">
        <v>2499</v>
      </c>
    </row>
    <row r="74" spans="1:2" x14ac:dyDescent="0.25">
      <c r="A74" s="187" t="s">
        <v>2445</v>
      </c>
      <c r="B74" s="187" t="s">
        <v>2500</v>
      </c>
    </row>
    <row r="75" spans="1:2" x14ac:dyDescent="0.25">
      <c r="A75" s="187" t="s">
        <v>2501</v>
      </c>
      <c r="B75" s="187" t="s">
        <v>2502</v>
      </c>
    </row>
    <row r="76" spans="1:2" x14ac:dyDescent="0.25">
      <c r="A76" s="187" t="s">
        <v>2503</v>
      </c>
      <c r="B76" s="187" t="s">
        <v>2504</v>
      </c>
    </row>
    <row r="77" spans="1:2" x14ac:dyDescent="0.25">
      <c r="A77" s="187" t="s">
        <v>2505</v>
      </c>
      <c r="B77" s="187" t="s">
        <v>2506</v>
      </c>
    </row>
    <row r="78" spans="1:2" x14ac:dyDescent="0.25">
      <c r="A78" s="187" t="s">
        <v>2507</v>
      </c>
      <c r="B78" s="187" t="s">
        <v>2508</v>
      </c>
    </row>
    <row r="79" spans="1:2" x14ac:dyDescent="0.25">
      <c r="A79" s="187" t="s">
        <v>2509</v>
      </c>
      <c r="B79" s="187" t="s">
        <v>2510</v>
      </c>
    </row>
    <row r="80" spans="1:2" x14ac:dyDescent="0.25">
      <c r="A80" s="187" t="s">
        <v>2511</v>
      </c>
      <c r="B80" s="187" t="s">
        <v>2512</v>
      </c>
    </row>
    <row r="81" spans="1:2" x14ac:dyDescent="0.25">
      <c r="A81" s="187" t="s">
        <v>2513</v>
      </c>
      <c r="B81" s="187" t="s">
        <v>2514</v>
      </c>
    </row>
    <row r="82" spans="1:2" x14ac:dyDescent="0.25">
      <c r="A82" s="187" t="s">
        <v>2515</v>
      </c>
      <c r="B82" s="187" t="s">
        <v>2516</v>
      </c>
    </row>
    <row r="83" spans="1:2" x14ac:dyDescent="0.25">
      <c r="A83" s="187" t="s">
        <v>2517</v>
      </c>
      <c r="B83" s="187" t="s">
        <v>2518</v>
      </c>
    </row>
    <row r="84" spans="1:2" x14ac:dyDescent="0.25">
      <c r="A84" s="187" t="s">
        <v>2519</v>
      </c>
      <c r="B84" s="187" t="s">
        <v>2520</v>
      </c>
    </row>
    <row r="85" spans="1:2" x14ac:dyDescent="0.25">
      <c r="A85" s="187" t="s">
        <v>2521</v>
      </c>
      <c r="B85" s="187" t="s">
        <v>2522</v>
      </c>
    </row>
    <row r="86" spans="1:2" x14ac:dyDescent="0.25">
      <c r="A86" s="187" t="s">
        <v>2523</v>
      </c>
      <c r="B86" s="187" t="s">
        <v>2524</v>
      </c>
    </row>
    <row r="87" spans="1:2" x14ac:dyDescent="0.25">
      <c r="A87" s="187" t="s">
        <v>2525</v>
      </c>
      <c r="B87" s="187" t="s">
        <v>2526</v>
      </c>
    </row>
    <row r="88" spans="1:2" x14ac:dyDescent="0.25">
      <c r="A88" s="187" t="s">
        <v>2527</v>
      </c>
      <c r="B88" s="187" t="s">
        <v>2528</v>
      </c>
    </row>
    <row r="89" spans="1:2" x14ac:dyDescent="0.25">
      <c r="A89" s="187" t="s">
        <v>2529</v>
      </c>
      <c r="B89" s="187" t="s">
        <v>2530</v>
      </c>
    </row>
    <row r="90" spans="1:2" x14ac:dyDescent="0.25">
      <c r="A90" s="187" t="s">
        <v>2531</v>
      </c>
      <c r="B90" s="187" t="s">
        <v>2532</v>
      </c>
    </row>
  </sheetData>
  <sheetProtection algorithmName="SHA-512" hashValue="eyepH78B3kv8nJin+ZKvq5gWdv1Q7zdqDKD5q5qqw5Ngtv61TrhH2qvqFq4eTKZ87FOVnAK3jJ21fOBMmaPFQw==" saltValue="Ib+2e8CO4d/T+4m/2F2vOw==" spinCount="100000" sheet="1" objects="1" scenarios="1" formatColumns="0" formatRows="0"/>
  <phoneticPr fontId="7" type="noConversion"/>
  <dataValidations count="3">
    <dataValidation type="list" allowBlank="1" showInputMessage="1" showErrorMessage="1" sqref="B5" xr:uid="{7BB278A1-15BE-4929-B0E9-96456FE8ACB4}">
      <formula1>$A$66:$A$90</formula1>
    </dataValidation>
    <dataValidation type="list" allowBlank="1" showInputMessage="1" showErrorMessage="1" sqref="B4" xr:uid="{450A8634-3C37-47C1-BBA9-D873D154D2EB}">
      <formula1>$A$31:$A$63</formula1>
    </dataValidation>
    <dataValidation type="list" allowBlank="1" showInputMessage="1" showErrorMessage="1" sqref="B3" xr:uid="{A2462234-7C87-45EE-AA68-BDF51EC3B54A}">
      <formula1>$A$14:$A$28</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B4D3-4910-4155-8A60-DF3FB92D3112}">
  <sheetPr codeName="Tabelle19">
    <tabColor rgb="FFCCFFCC"/>
    <pageSetUpPr fitToPage="1"/>
  </sheetPr>
  <dimension ref="A1:BD135"/>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3.44140625" style="190" hidden="1" customWidth="1"/>
    <col min="2" max="2" width="3.44140625" style="8" customWidth="1"/>
    <col min="3" max="3" width="6.109375" style="202" customWidth="1"/>
    <col min="4" max="4" width="21.5546875" style="8" bestFit="1" customWidth="1"/>
    <col min="5" max="5" width="35.6640625" style="8" customWidth="1"/>
    <col min="6" max="6" width="15.6640625" style="8" customWidth="1"/>
    <col min="7" max="51" width="12.6640625" style="8" customWidth="1"/>
    <col min="52" max="52" width="14.44140625" style="8" customWidth="1"/>
    <col min="53" max="55" width="11.44140625" style="190" hidden="1" customWidth="1"/>
    <col min="56" max="16384" width="11.44140625" style="753" hidden="1"/>
  </cols>
  <sheetData>
    <row r="1" spans="1:56" ht="13.8" hidden="1" thickBot="1" x14ac:dyDescent="0.3">
      <c r="A1" s="190" t="s">
        <v>187</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187</v>
      </c>
      <c r="BB1" s="190" t="s">
        <v>187</v>
      </c>
      <c r="BC1" s="190" t="s">
        <v>187</v>
      </c>
      <c r="BD1" s="8"/>
    </row>
    <row r="2" spans="1:56" ht="13.5" customHeight="1" thickBot="1" x14ac:dyDescent="0.3">
      <c r="B2" s="1282" t="str">
        <f>Translations!$B$267</f>
        <v>B+C Annual Emissions Data</v>
      </c>
      <c r="C2" s="1779"/>
      <c r="D2" s="1780"/>
      <c r="E2" s="320" t="str">
        <f>Translations!$B$2</f>
        <v>Navigation area:</v>
      </c>
      <c r="F2" s="1291" t="str">
        <f>Translations!$B$18</f>
        <v>Table of contents</v>
      </c>
      <c r="G2" s="1147"/>
      <c r="H2" s="1147" t="str">
        <f>Translations!$B$19</f>
        <v>Previous sheet</v>
      </c>
      <c r="I2" s="1147"/>
      <c r="J2" s="1147" t="str">
        <f>Translations!$B$3</f>
        <v>Next sheet</v>
      </c>
      <c r="K2" s="1147"/>
      <c r="L2" s="1147" t="str">
        <f>Translations!$B$4</f>
        <v>Summary</v>
      </c>
      <c r="M2" s="1147"/>
      <c r="BA2" s="767" t="s">
        <v>2533</v>
      </c>
      <c r="BB2" s="768">
        <v>1</v>
      </c>
      <c r="BD2" s="8"/>
    </row>
    <row r="3" spans="1:56" ht="13.8" thickBot="1" x14ac:dyDescent="0.3">
      <c r="B3" s="1781"/>
      <c r="C3" s="1782"/>
      <c r="D3" s="1783"/>
      <c r="E3" s="482" t="str">
        <f>Translations!$B$5</f>
        <v>Top of sheet</v>
      </c>
      <c r="F3" s="1792" t="str">
        <f>Translations!$B$268</f>
        <v>Source streams (excl. PFC)</v>
      </c>
      <c r="G3" s="1278"/>
      <c r="H3" s="1278" t="str">
        <f>Translations!$B$269</f>
        <v>PFC source streams</v>
      </c>
      <c r="I3" s="1278"/>
      <c r="J3" s="1278" t="str">
        <f>Translations!$B$270</f>
        <v>Emission Sources (CEMS)</v>
      </c>
      <c r="K3" s="1278"/>
      <c r="L3" s="1278" t="str">
        <f>Translations!$B$271</f>
        <v>Fall-back</v>
      </c>
      <c r="M3" s="1793"/>
      <c r="BA3" s="767" t="s">
        <v>2534</v>
      </c>
      <c r="BB3" s="234">
        <f>INDEX(EUconst_ReportingYears,BB2)+(IF(CNTR_BaselinePeriod=EUconst_NA,0,CNTR_BaselinePeriod-1)*5)</f>
        <v>2019</v>
      </c>
      <c r="BD3" s="8"/>
    </row>
    <row r="4" spans="1:56" ht="13.8" thickBot="1" x14ac:dyDescent="0.3">
      <c r="B4" s="1784">
        <f>BB3</f>
        <v>2019</v>
      </c>
      <c r="C4" s="1785"/>
      <c r="D4" s="1786"/>
      <c r="E4" s="321"/>
      <c r="F4" s="1788"/>
      <c r="G4" s="1789"/>
      <c r="H4" s="1790"/>
      <c r="I4" s="1790"/>
      <c r="J4" s="1790"/>
      <c r="K4" s="1790"/>
      <c r="L4" s="1790"/>
      <c r="M4" s="1796"/>
      <c r="N4" s="202">
        <f>$B$4</f>
        <v>2019</v>
      </c>
      <c r="P4" s="202">
        <f>$B$4</f>
        <v>2019</v>
      </c>
      <c r="R4" s="202">
        <f>$B$4</f>
        <v>2019</v>
      </c>
      <c r="T4" s="202">
        <f>$B$4</f>
        <v>2019</v>
      </c>
      <c r="V4" s="202">
        <f>$B$4</f>
        <v>2019</v>
      </c>
      <c r="X4" s="202">
        <f>$B$4</f>
        <v>2019</v>
      </c>
      <c r="Z4" s="202">
        <f>$B$4</f>
        <v>2019</v>
      </c>
      <c r="AB4" s="202">
        <f>$B$4</f>
        <v>2019</v>
      </c>
      <c r="AD4" s="202">
        <f>$B$4</f>
        <v>2019</v>
      </c>
      <c r="AF4" s="202">
        <f>$B$4</f>
        <v>2019</v>
      </c>
      <c r="AH4" s="202">
        <f>$B$4</f>
        <v>2019</v>
      </c>
      <c r="AJ4" s="202">
        <f>$B$4</f>
        <v>2019</v>
      </c>
      <c r="AL4" s="202">
        <f>$B$4</f>
        <v>2019</v>
      </c>
      <c r="AN4" s="202">
        <f>$B$4</f>
        <v>2019</v>
      </c>
      <c r="AP4" s="202">
        <f>$B$4</f>
        <v>2019</v>
      </c>
      <c r="AR4" s="202">
        <f>$B$4</f>
        <v>2019</v>
      </c>
      <c r="AT4" s="202">
        <f>$B$4</f>
        <v>2019</v>
      </c>
      <c r="AV4" s="202">
        <f>$B$4</f>
        <v>2019</v>
      </c>
      <c r="AX4" s="202">
        <f>$B$4</f>
        <v>2019</v>
      </c>
      <c r="BB4" s="769"/>
      <c r="BD4" s="8"/>
    </row>
    <row r="5" spans="1:56" x14ac:dyDescent="0.25">
      <c r="C5" s="6"/>
      <c r="F5" s="202"/>
      <c r="G5" s="202"/>
      <c r="H5" s="202"/>
      <c r="BB5" s="769"/>
      <c r="BD5" s="8"/>
    </row>
    <row r="6" spans="1:56" ht="54.6" customHeight="1" x14ac:dyDescent="0.25">
      <c r="C6" s="10" t="s">
        <v>22</v>
      </c>
      <c r="D6" s="1794" t="s">
        <v>2535</v>
      </c>
      <c r="E6" s="1794"/>
      <c r="F6" s="1794"/>
      <c r="G6" s="1794"/>
      <c r="H6" s="1794"/>
      <c r="I6" s="1795"/>
      <c r="J6" s="1787">
        <f>B4</f>
        <v>2019</v>
      </c>
      <c r="K6" s="1787"/>
      <c r="N6" s="625"/>
      <c r="BA6" s="11" t="s">
        <v>188</v>
      </c>
      <c r="BB6" s="11" t="s">
        <v>188</v>
      </c>
      <c r="BD6" s="8"/>
    </row>
    <row r="7" spans="1:56" x14ac:dyDescent="0.25">
      <c r="C7" s="8"/>
      <c r="BA7" s="12" t="s">
        <v>189</v>
      </c>
      <c r="BB7" s="12" t="s">
        <v>189</v>
      </c>
      <c r="BD7" s="8"/>
    </row>
    <row r="8" spans="1:56" s="276" customFormat="1" ht="15.6" x14ac:dyDescent="0.3">
      <c r="A8" s="145"/>
      <c r="B8" s="8"/>
      <c r="C8" s="13" t="s">
        <v>3</v>
      </c>
      <c r="D8" s="1791" t="str">
        <f>Translations!$B$273</f>
        <v>General guidance for source stream data</v>
      </c>
      <c r="E8" s="1791"/>
      <c r="F8" s="1791"/>
      <c r="G8" s="1791"/>
      <c r="H8" s="1791"/>
      <c r="I8" s="1791"/>
      <c r="J8" s="1791"/>
      <c r="K8" s="1791"/>
      <c r="L8" s="1791"/>
      <c r="M8" s="1791"/>
      <c r="N8" s="179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x14ac:dyDescent="0.25">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x14ac:dyDescent="0.25">
      <c r="A10" s="145"/>
      <c r="B10" s="8"/>
      <c r="C10" s="15"/>
      <c r="D10" s="1208" t="s">
        <v>2536</v>
      </c>
      <c r="E10" s="1208"/>
      <c r="F10" s="1208"/>
      <c r="G10" s="1208"/>
      <c r="H10" s="1208"/>
      <c r="I10" s="1433"/>
      <c r="J10" s="1777" t="b">
        <f>NOT(MSconst_AllowInstEmmisionTotals)</f>
        <v>0</v>
      </c>
      <c r="K10" s="177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x14ac:dyDescent="0.25">
      <c r="A11" s="145"/>
      <c r="B11" s="17"/>
      <c r="C11" s="17"/>
      <c r="D11" s="1314" t="str">
        <f>Translations!$B$275</f>
        <v>If this is set to "false", entries here are optional and only provide annual total emissions in section D.I.</v>
      </c>
      <c r="E11" s="1314"/>
      <c r="F11" s="1314"/>
      <c r="G11" s="1314"/>
      <c r="H11" s="1314"/>
      <c r="I11" s="1314"/>
      <c r="J11" s="1314"/>
      <c r="K11" s="1314"/>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x14ac:dyDescent="0.25">
      <c r="A12" s="145"/>
      <c r="B12" s="17"/>
      <c r="C12" s="17"/>
      <c r="D12" s="1776" t="str">
        <f>IF(MSconst_AllowInstEmmisionTotals,HYPERLINK(BB12,EUconst_ERR_Goto_DI2),HYPERLINK("#JUMP_B_II",EUconst_MsgGoOn))</f>
        <v>Please go on with entering emission totals in section D.I.2 in sheet 'D_Emissions'!</v>
      </c>
      <c r="E12" s="1776"/>
      <c r="F12" s="1776"/>
      <c r="G12" s="1776"/>
      <c r="H12" s="1776"/>
      <c r="I12" s="1776"/>
      <c r="J12" s="1776"/>
      <c r="K12" s="1776"/>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334</v>
      </c>
      <c r="BB12" s="372" t="str">
        <f>"#JUMP_D_I"</f>
        <v>#JUMP_D_I</v>
      </c>
      <c r="BC12" s="190"/>
      <c r="BD12" s="8"/>
    </row>
    <row r="13" spans="1:56" s="276" customFormat="1" x14ac:dyDescent="0.2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x14ac:dyDescent="0.3">
      <c r="A14" s="145"/>
      <c r="B14" s="8"/>
      <c r="C14" s="13" t="s">
        <v>4</v>
      </c>
      <c r="D14" s="1175" t="s">
        <v>2537</v>
      </c>
      <c r="E14" s="1175"/>
      <c r="F14" s="1175"/>
      <c r="G14" s="1175"/>
      <c r="H14" s="1175"/>
      <c r="I14" s="1175"/>
      <c r="J14" s="1175"/>
      <c r="K14" s="1175"/>
      <c r="L14" s="1175"/>
      <c r="M14" s="1175"/>
      <c r="N14" s="117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x14ac:dyDescent="0.25">
      <c r="A15" s="145"/>
      <c r="B15" s="17"/>
      <c r="C15" s="17"/>
      <c r="D15" s="1314" t="str">
        <f>Translations!$B$277</f>
        <v>The tables below are identical to sheet "Accounting" in the Annual Emissions Report template provided by the Commission.</v>
      </c>
      <c r="E15" s="1314"/>
      <c r="F15" s="1314"/>
      <c r="G15" s="1314"/>
      <c r="H15" s="1314"/>
      <c r="I15" s="1314"/>
      <c r="J15" s="1314"/>
      <c r="K15" s="1314"/>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x14ac:dyDescent="0.25">
      <c r="A16" s="145"/>
      <c r="B16" s="17"/>
      <c r="C16" s="17"/>
      <c r="D16" s="1314" t="str">
        <f>Translations!$B$278</f>
        <v>You can therefore copy data for each table from the Annual Emissions Report template without further entries and also find further guidance there.</v>
      </c>
      <c r="E16" s="1314"/>
      <c r="F16" s="1314"/>
      <c r="G16" s="1314"/>
      <c r="H16" s="1314"/>
      <c r="I16" s="1314"/>
      <c r="J16" s="1314"/>
      <c r="K16" s="1314"/>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x14ac:dyDescent="0.25">
      <c r="A17" s="145"/>
      <c r="B17" s="17"/>
      <c r="C17" s="17"/>
      <c r="D17" s="1314" t="s">
        <v>2538</v>
      </c>
      <c r="E17" s="1314"/>
      <c r="F17" s="1314"/>
      <c r="G17" s="1314"/>
      <c r="H17" s="1314"/>
      <c r="I17" s="1314"/>
      <c r="J17" s="1314"/>
      <c r="K17" s="131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x14ac:dyDescent="0.25">
      <c r="A18" s="145"/>
      <c r="B18" s="17"/>
      <c r="C18" s="17"/>
      <c r="D18" s="1778" t="s">
        <v>2539</v>
      </c>
      <c r="E18" s="1778"/>
      <c r="F18" s="1778"/>
      <c r="G18" s="1778"/>
      <c r="H18" s="1778"/>
      <c r="I18" s="1778"/>
      <c r="J18" s="1778"/>
      <c r="K18" s="177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x14ac:dyDescent="0.45">
      <c r="D19" s="196" t="str">
        <f>Translations!$B$281</f>
        <v>Source Streams (excluding PFC emissions)</v>
      </c>
      <c r="BD19" s="8"/>
    </row>
    <row r="20" spans="1:56" ht="50.1" customHeight="1" thickBot="1" x14ac:dyDescent="0.3">
      <c r="C20" s="197" t="s">
        <v>2540</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x14ac:dyDescent="0.25">
      <c r="C21" s="771" t="str">
        <f>Translations!$B$330</f>
        <v>Ex.1</v>
      </c>
      <c r="D21" s="772" t="str">
        <f>Translations!$B$331</f>
        <v>Combustion</v>
      </c>
      <c r="E21" s="772" t="str">
        <f>Translations!$B$332</f>
        <v>Heavy fuel oil</v>
      </c>
      <c r="F21" s="773">
        <v>252000</v>
      </c>
      <c r="G21" s="275" t="s">
        <v>702</v>
      </c>
      <c r="H21" s="773">
        <v>45</v>
      </c>
      <c r="I21" s="275" t="s">
        <v>2541</v>
      </c>
      <c r="J21" s="773">
        <v>73</v>
      </c>
      <c r="K21" s="275" t="s">
        <v>2542</v>
      </c>
      <c r="L21" s="275"/>
      <c r="M21" s="275" t="s">
        <v>2543</v>
      </c>
      <c r="N21" s="773">
        <v>100</v>
      </c>
      <c r="O21" s="275" t="s">
        <v>354</v>
      </c>
      <c r="P21" s="773"/>
      <c r="Q21" s="275" t="s">
        <v>354</v>
      </c>
      <c r="R21" s="773">
        <v>0</v>
      </c>
      <c r="S21" s="275" t="s">
        <v>354</v>
      </c>
      <c r="T21" s="773">
        <v>0</v>
      </c>
      <c r="U21" s="275" t="s">
        <v>354</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x14ac:dyDescent="0.25">
      <c r="C22" s="771" t="str">
        <f>Translations!$B$333</f>
        <v>Ex.2</v>
      </c>
      <c r="D22" s="772" t="str">
        <f>Translations!$B$334</f>
        <v>Process Emissions</v>
      </c>
      <c r="E22" s="772" t="str">
        <f>Translations!$B$335</f>
        <v>Clay</v>
      </c>
      <c r="F22" s="773">
        <v>121000</v>
      </c>
      <c r="G22" s="275" t="s">
        <v>702</v>
      </c>
      <c r="H22" s="773"/>
      <c r="I22" s="275" t="s">
        <v>2543</v>
      </c>
      <c r="J22" s="773">
        <v>8.7940000000000004E-2</v>
      </c>
      <c r="K22" s="275" t="s">
        <v>2544</v>
      </c>
      <c r="L22" s="275"/>
      <c r="M22" s="275" t="s">
        <v>2543</v>
      </c>
      <c r="N22" s="773"/>
      <c r="O22" s="275" t="s">
        <v>354</v>
      </c>
      <c r="P22" s="773"/>
      <c r="Q22" s="275" t="s">
        <v>354</v>
      </c>
      <c r="R22" s="773">
        <v>0</v>
      </c>
      <c r="S22" s="275" t="s">
        <v>354</v>
      </c>
      <c r="T22" s="773">
        <v>0</v>
      </c>
      <c r="U22" s="275" t="s">
        <v>354</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x14ac:dyDescent="0.25">
      <c r="C23" s="771" t="str">
        <f>Translations!$B$336</f>
        <v>Ex.3</v>
      </c>
      <c r="D23" s="772" t="str">
        <f>Translations!$B$337</f>
        <v>Mass balance</v>
      </c>
      <c r="E23" s="772" t="str">
        <f>Translations!$B$338</f>
        <v>Steel</v>
      </c>
      <c r="F23" s="773">
        <v>-1808226</v>
      </c>
      <c r="G23" s="275" t="s">
        <v>702</v>
      </c>
      <c r="H23" s="773"/>
      <c r="I23" s="275" t="s">
        <v>2543</v>
      </c>
      <c r="J23" s="773">
        <v>0</v>
      </c>
      <c r="K23" s="275" t="s">
        <v>2543</v>
      </c>
      <c r="L23" s="275">
        <v>0.38779999999999998</v>
      </c>
      <c r="M23" s="275" t="s">
        <v>2545</v>
      </c>
      <c r="N23" s="773"/>
      <c r="O23" s="275" t="s">
        <v>354</v>
      </c>
      <c r="P23" s="773">
        <v>100</v>
      </c>
      <c r="Q23" s="275" t="s">
        <v>354</v>
      </c>
      <c r="R23" s="773">
        <v>0</v>
      </c>
      <c r="S23" s="275" t="s">
        <v>354</v>
      </c>
      <c r="T23" s="773">
        <v>0</v>
      </c>
      <c r="U23" s="275" t="s">
        <v>354</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x14ac:dyDescent="0.25">
      <c r="C24" s="771">
        <v>1</v>
      </c>
      <c r="D24" s="775"/>
      <c r="E24" s="775"/>
      <c r="F24" s="776"/>
      <c r="G24" s="764"/>
      <c r="H24" s="776"/>
      <c r="I24" s="764"/>
      <c r="J24" s="776"/>
      <c r="K24" s="764"/>
      <c r="L24" s="764"/>
      <c r="M24" s="764"/>
      <c r="N24" s="776"/>
      <c r="O24" s="764"/>
      <c r="P24" s="776"/>
      <c r="Q24" s="764"/>
      <c r="R24" s="776"/>
      <c r="S24" s="764"/>
      <c r="T24" s="776"/>
      <c r="U24" s="76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55" si="0">EUconst_SumCO2</f>
        <v>SUM_CO2</v>
      </c>
      <c r="BB24" s="218" t="str">
        <f t="shared" ref="BB24:BB55" si="1">EUconst_SumEnergyIN</f>
        <v>SUM_EnergyIN</v>
      </c>
      <c r="BD24" s="8"/>
    </row>
    <row r="25" spans="1:56" x14ac:dyDescent="0.25">
      <c r="C25" s="779">
        <v>2</v>
      </c>
      <c r="D25" s="775"/>
      <c r="E25" s="775"/>
      <c r="F25" s="776"/>
      <c r="G25" s="764"/>
      <c r="H25" s="776"/>
      <c r="I25" s="764"/>
      <c r="J25" s="776"/>
      <c r="K25" s="764"/>
      <c r="L25" s="764"/>
      <c r="M25" s="764"/>
      <c r="N25" s="776"/>
      <c r="O25" s="764"/>
      <c r="P25" s="776"/>
      <c r="Q25" s="764"/>
      <c r="R25" s="776"/>
      <c r="S25" s="764"/>
      <c r="T25" s="776"/>
      <c r="U25" s="76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x14ac:dyDescent="0.25">
      <c r="C26" s="779">
        <v>3</v>
      </c>
      <c r="D26" s="775"/>
      <c r="E26" s="775"/>
      <c r="F26" s="776"/>
      <c r="G26" s="764"/>
      <c r="H26" s="776"/>
      <c r="I26" s="764"/>
      <c r="J26" s="776"/>
      <c r="K26" s="764"/>
      <c r="L26" s="764"/>
      <c r="M26" s="764"/>
      <c r="N26" s="776"/>
      <c r="O26" s="764"/>
      <c r="P26" s="776"/>
      <c r="Q26" s="764"/>
      <c r="R26" s="776"/>
      <c r="S26" s="764"/>
      <c r="T26" s="776"/>
      <c r="U26" s="76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x14ac:dyDescent="0.25">
      <c r="C27" s="779">
        <v>4</v>
      </c>
      <c r="D27" s="775"/>
      <c r="E27" s="775"/>
      <c r="F27" s="776"/>
      <c r="G27" s="764"/>
      <c r="H27" s="776"/>
      <c r="I27" s="764"/>
      <c r="J27" s="776"/>
      <c r="K27" s="764"/>
      <c r="L27" s="764"/>
      <c r="M27" s="764"/>
      <c r="N27" s="776"/>
      <c r="O27" s="764"/>
      <c r="P27" s="776"/>
      <c r="Q27" s="764"/>
      <c r="R27" s="776"/>
      <c r="S27" s="764"/>
      <c r="T27" s="776"/>
      <c r="U27" s="76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x14ac:dyDescent="0.25">
      <c r="C28" s="779">
        <v>5</v>
      </c>
      <c r="D28" s="775"/>
      <c r="E28" s="775"/>
      <c r="F28" s="776"/>
      <c r="G28" s="764"/>
      <c r="H28" s="776"/>
      <c r="I28" s="764"/>
      <c r="J28" s="776"/>
      <c r="K28" s="764"/>
      <c r="L28" s="764"/>
      <c r="M28" s="764"/>
      <c r="N28" s="776"/>
      <c r="O28" s="764"/>
      <c r="P28" s="776"/>
      <c r="Q28" s="764"/>
      <c r="R28" s="776"/>
      <c r="S28" s="764"/>
      <c r="T28" s="776"/>
      <c r="U28" s="76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x14ac:dyDescent="0.25">
      <c r="C29" s="779">
        <v>6</v>
      </c>
      <c r="D29" s="775"/>
      <c r="E29" s="775"/>
      <c r="F29" s="776"/>
      <c r="G29" s="764"/>
      <c r="H29" s="776"/>
      <c r="I29" s="764"/>
      <c r="J29" s="776"/>
      <c r="K29" s="764"/>
      <c r="L29" s="764"/>
      <c r="M29" s="764"/>
      <c r="N29" s="776"/>
      <c r="O29" s="764"/>
      <c r="P29" s="776"/>
      <c r="Q29" s="764"/>
      <c r="R29" s="776"/>
      <c r="S29" s="764"/>
      <c r="T29" s="776"/>
      <c r="U29" s="76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x14ac:dyDescent="0.25">
      <c r="C30" s="779">
        <v>7</v>
      </c>
      <c r="D30" s="775"/>
      <c r="E30" s="775"/>
      <c r="F30" s="776"/>
      <c r="G30" s="764"/>
      <c r="H30" s="776"/>
      <c r="I30" s="764"/>
      <c r="J30" s="776"/>
      <c r="K30" s="764"/>
      <c r="L30" s="764"/>
      <c r="M30" s="764"/>
      <c r="N30" s="776"/>
      <c r="O30" s="764"/>
      <c r="P30" s="776"/>
      <c r="Q30" s="764"/>
      <c r="R30" s="776"/>
      <c r="S30" s="764"/>
      <c r="T30" s="776"/>
      <c r="U30" s="76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x14ac:dyDescent="0.25">
      <c r="C31" s="779">
        <v>8</v>
      </c>
      <c r="D31" s="775"/>
      <c r="E31" s="775"/>
      <c r="F31" s="776"/>
      <c r="G31" s="764"/>
      <c r="H31" s="776"/>
      <c r="I31" s="764"/>
      <c r="J31" s="776"/>
      <c r="K31" s="764"/>
      <c r="L31" s="764"/>
      <c r="M31" s="764"/>
      <c r="N31" s="776"/>
      <c r="O31" s="764"/>
      <c r="P31" s="776"/>
      <c r="Q31" s="764"/>
      <c r="R31" s="776"/>
      <c r="S31" s="764"/>
      <c r="T31" s="776"/>
      <c r="U31" s="76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x14ac:dyDescent="0.25">
      <c r="C32" s="779">
        <v>9</v>
      </c>
      <c r="D32" s="775"/>
      <c r="E32" s="775"/>
      <c r="F32" s="776"/>
      <c r="G32" s="764"/>
      <c r="H32" s="776"/>
      <c r="I32" s="764"/>
      <c r="J32" s="776"/>
      <c r="K32" s="764"/>
      <c r="L32" s="764"/>
      <c r="M32" s="764"/>
      <c r="N32" s="776"/>
      <c r="O32" s="764"/>
      <c r="P32" s="776"/>
      <c r="Q32" s="764"/>
      <c r="R32" s="776"/>
      <c r="S32" s="764"/>
      <c r="T32" s="776"/>
      <c r="U32" s="76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x14ac:dyDescent="0.25">
      <c r="C33" s="779">
        <v>10</v>
      </c>
      <c r="D33" s="775"/>
      <c r="E33" s="775"/>
      <c r="F33" s="776"/>
      <c r="G33" s="764"/>
      <c r="H33" s="776"/>
      <c r="I33" s="764"/>
      <c r="J33" s="776"/>
      <c r="K33" s="764"/>
      <c r="L33" s="764"/>
      <c r="M33" s="764"/>
      <c r="N33" s="776"/>
      <c r="O33" s="764"/>
      <c r="P33" s="776"/>
      <c r="Q33" s="764"/>
      <c r="R33" s="776"/>
      <c r="S33" s="764"/>
      <c r="T33" s="776"/>
      <c r="U33" s="76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x14ac:dyDescent="0.25">
      <c r="C34" s="779">
        <v>11</v>
      </c>
      <c r="D34" s="775"/>
      <c r="E34" s="775"/>
      <c r="F34" s="776"/>
      <c r="G34" s="764"/>
      <c r="H34" s="776"/>
      <c r="I34" s="764"/>
      <c r="J34" s="776"/>
      <c r="K34" s="764"/>
      <c r="L34" s="764"/>
      <c r="M34" s="764"/>
      <c r="N34" s="776"/>
      <c r="O34" s="764"/>
      <c r="P34" s="776"/>
      <c r="Q34" s="764"/>
      <c r="R34" s="776"/>
      <c r="S34" s="764"/>
      <c r="T34" s="776"/>
      <c r="U34" s="76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x14ac:dyDescent="0.25">
      <c r="C35" s="779">
        <v>12</v>
      </c>
      <c r="D35" s="775"/>
      <c r="E35" s="775"/>
      <c r="F35" s="776"/>
      <c r="G35" s="764"/>
      <c r="H35" s="776"/>
      <c r="I35" s="764"/>
      <c r="J35" s="776"/>
      <c r="K35" s="764"/>
      <c r="L35" s="764"/>
      <c r="M35" s="764"/>
      <c r="N35" s="776"/>
      <c r="O35" s="764"/>
      <c r="P35" s="776"/>
      <c r="Q35" s="764"/>
      <c r="R35" s="776"/>
      <c r="S35" s="764"/>
      <c r="T35" s="776"/>
      <c r="U35" s="76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x14ac:dyDescent="0.25">
      <c r="C36" s="779">
        <v>13</v>
      </c>
      <c r="D36" s="775"/>
      <c r="E36" s="775"/>
      <c r="F36" s="776"/>
      <c r="G36" s="764"/>
      <c r="H36" s="776"/>
      <c r="I36" s="764"/>
      <c r="J36" s="776"/>
      <c r="K36" s="764"/>
      <c r="L36" s="764"/>
      <c r="M36" s="764"/>
      <c r="N36" s="776"/>
      <c r="O36" s="764"/>
      <c r="P36" s="776"/>
      <c r="Q36" s="764"/>
      <c r="R36" s="776"/>
      <c r="S36" s="764"/>
      <c r="T36" s="776"/>
      <c r="U36" s="76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x14ac:dyDescent="0.25">
      <c r="C37" s="779">
        <v>14</v>
      </c>
      <c r="D37" s="775"/>
      <c r="E37" s="775"/>
      <c r="F37" s="776"/>
      <c r="G37" s="764"/>
      <c r="H37" s="776"/>
      <c r="I37" s="764"/>
      <c r="J37" s="776"/>
      <c r="K37" s="764"/>
      <c r="L37" s="764"/>
      <c r="M37" s="764"/>
      <c r="N37" s="776"/>
      <c r="O37" s="764"/>
      <c r="P37" s="776"/>
      <c r="Q37" s="764"/>
      <c r="R37" s="776"/>
      <c r="S37" s="764"/>
      <c r="T37" s="776"/>
      <c r="U37" s="76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x14ac:dyDescent="0.25">
      <c r="C38" s="779">
        <v>15</v>
      </c>
      <c r="D38" s="775"/>
      <c r="E38" s="775"/>
      <c r="F38" s="776"/>
      <c r="G38" s="764"/>
      <c r="H38" s="776"/>
      <c r="I38" s="764"/>
      <c r="J38" s="776"/>
      <c r="K38" s="764"/>
      <c r="L38" s="764"/>
      <c r="M38" s="764"/>
      <c r="N38" s="776"/>
      <c r="O38" s="764"/>
      <c r="P38" s="776"/>
      <c r="Q38" s="764"/>
      <c r="R38" s="776"/>
      <c r="S38" s="764"/>
      <c r="T38" s="776"/>
      <c r="U38" s="76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x14ac:dyDescent="0.25">
      <c r="C39" s="779">
        <v>16</v>
      </c>
      <c r="D39" s="775"/>
      <c r="E39" s="775"/>
      <c r="F39" s="776"/>
      <c r="G39" s="764"/>
      <c r="H39" s="776"/>
      <c r="I39" s="764"/>
      <c r="J39" s="776"/>
      <c r="K39" s="764"/>
      <c r="L39" s="764"/>
      <c r="M39" s="764"/>
      <c r="N39" s="776"/>
      <c r="O39" s="764"/>
      <c r="P39" s="776"/>
      <c r="Q39" s="764"/>
      <c r="R39" s="776"/>
      <c r="S39" s="764"/>
      <c r="T39" s="776"/>
      <c r="U39" s="76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x14ac:dyDescent="0.25">
      <c r="C40" s="779">
        <v>17</v>
      </c>
      <c r="D40" s="775"/>
      <c r="E40" s="775"/>
      <c r="F40" s="776"/>
      <c r="G40" s="764"/>
      <c r="H40" s="776"/>
      <c r="I40" s="764"/>
      <c r="J40" s="776"/>
      <c r="K40" s="764"/>
      <c r="L40" s="764"/>
      <c r="M40" s="764"/>
      <c r="N40" s="776"/>
      <c r="O40" s="764"/>
      <c r="P40" s="776"/>
      <c r="Q40" s="764"/>
      <c r="R40" s="776"/>
      <c r="S40" s="764"/>
      <c r="T40" s="776"/>
      <c r="U40" s="76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x14ac:dyDescent="0.25">
      <c r="C41" s="779">
        <v>18</v>
      </c>
      <c r="D41" s="775"/>
      <c r="E41" s="775"/>
      <c r="F41" s="776"/>
      <c r="G41" s="764"/>
      <c r="H41" s="776"/>
      <c r="I41" s="764"/>
      <c r="J41" s="776"/>
      <c r="K41" s="764"/>
      <c r="L41" s="764"/>
      <c r="M41" s="764"/>
      <c r="N41" s="776"/>
      <c r="O41" s="764"/>
      <c r="P41" s="776"/>
      <c r="Q41" s="764"/>
      <c r="R41" s="776"/>
      <c r="S41" s="764"/>
      <c r="T41" s="776"/>
      <c r="U41" s="76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x14ac:dyDescent="0.25">
      <c r="C42" s="779">
        <v>19</v>
      </c>
      <c r="D42" s="775"/>
      <c r="E42" s="775"/>
      <c r="F42" s="776"/>
      <c r="G42" s="764"/>
      <c r="H42" s="776"/>
      <c r="I42" s="764"/>
      <c r="J42" s="776"/>
      <c r="K42" s="764"/>
      <c r="L42" s="764"/>
      <c r="M42" s="764"/>
      <c r="N42" s="776"/>
      <c r="O42" s="764"/>
      <c r="P42" s="776"/>
      <c r="Q42" s="764"/>
      <c r="R42" s="776"/>
      <c r="S42" s="764"/>
      <c r="T42" s="776"/>
      <c r="U42" s="76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x14ac:dyDescent="0.25">
      <c r="C43" s="779">
        <v>20</v>
      </c>
      <c r="D43" s="775"/>
      <c r="E43" s="775"/>
      <c r="F43" s="776"/>
      <c r="G43" s="764"/>
      <c r="H43" s="776"/>
      <c r="I43" s="764"/>
      <c r="J43" s="776"/>
      <c r="K43" s="764"/>
      <c r="L43" s="764"/>
      <c r="M43" s="764"/>
      <c r="N43" s="776"/>
      <c r="O43" s="764"/>
      <c r="P43" s="776"/>
      <c r="Q43" s="764"/>
      <c r="R43" s="776"/>
      <c r="S43" s="764"/>
      <c r="T43" s="776"/>
      <c r="U43" s="76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x14ac:dyDescent="0.25">
      <c r="C44" s="779">
        <v>21</v>
      </c>
      <c r="D44" s="775"/>
      <c r="E44" s="775"/>
      <c r="F44" s="776"/>
      <c r="G44" s="764"/>
      <c r="H44" s="776"/>
      <c r="I44" s="764"/>
      <c r="J44" s="776"/>
      <c r="K44" s="764"/>
      <c r="L44" s="764"/>
      <c r="M44" s="764"/>
      <c r="N44" s="776"/>
      <c r="O44" s="764"/>
      <c r="P44" s="776"/>
      <c r="Q44" s="764"/>
      <c r="R44" s="776"/>
      <c r="S44" s="764"/>
      <c r="T44" s="776"/>
      <c r="U44" s="76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x14ac:dyDescent="0.25">
      <c r="C45" s="779">
        <v>22</v>
      </c>
      <c r="D45" s="775"/>
      <c r="E45" s="775"/>
      <c r="F45" s="776"/>
      <c r="G45" s="764"/>
      <c r="H45" s="776"/>
      <c r="I45" s="764"/>
      <c r="J45" s="776"/>
      <c r="K45" s="764"/>
      <c r="L45" s="764"/>
      <c r="M45" s="764"/>
      <c r="N45" s="776"/>
      <c r="O45" s="764"/>
      <c r="P45" s="776"/>
      <c r="Q45" s="764"/>
      <c r="R45" s="776"/>
      <c r="S45" s="764"/>
      <c r="T45" s="776"/>
      <c r="U45" s="76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x14ac:dyDescent="0.25">
      <c r="C46" s="779">
        <v>23</v>
      </c>
      <c r="D46" s="775"/>
      <c r="E46" s="775"/>
      <c r="F46" s="776"/>
      <c r="G46" s="764"/>
      <c r="H46" s="776"/>
      <c r="I46" s="764"/>
      <c r="J46" s="776"/>
      <c r="K46" s="764"/>
      <c r="L46" s="764"/>
      <c r="M46" s="764"/>
      <c r="N46" s="776"/>
      <c r="O46" s="764"/>
      <c r="P46" s="776"/>
      <c r="Q46" s="764"/>
      <c r="R46" s="776"/>
      <c r="S46" s="764"/>
      <c r="T46" s="776"/>
      <c r="U46" s="76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x14ac:dyDescent="0.25">
      <c r="C47" s="779">
        <v>24</v>
      </c>
      <c r="D47" s="775"/>
      <c r="E47" s="775"/>
      <c r="F47" s="776"/>
      <c r="G47" s="764"/>
      <c r="H47" s="776"/>
      <c r="I47" s="764"/>
      <c r="J47" s="776"/>
      <c r="K47" s="764"/>
      <c r="L47" s="764"/>
      <c r="M47" s="764"/>
      <c r="N47" s="776"/>
      <c r="O47" s="764"/>
      <c r="P47" s="776"/>
      <c r="Q47" s="764"/>
      <c r="R47" s="776"/>
      <c r="S47" s="764"/>
      <c r="T47" s="776"/>
      <c r="U47" s="76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x14ac:dyDescent="0.25">
      <c r="C48" s="779">
        <v>25</v>
      </c>
      <c r="D48" s="775"/>
      <c r="E48" s="775"/>
      <c r="F48" s="776"/>
      <c r="G48" s="764"/>
      <c r="H48" s="776"/>
      <c r="I48" s="764"/>
      <c r="J48" s="776"/>
      <c r="K48" s="764"/>
      <c r="L48" s="764"/>
      <c r="M48" s="764"/>
      <c r="N48" s="776"/>
      <c r="O48" s="764"/>
      <c r="P48" s="776"/>
      <c r="Q48" s="764"/>
      <c r="R48" s="776"/>
      <c r="S48" s="764"/>
      <c r="T48" s="776"/>
      <c r="U48" s="76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x14ac:dyDescent="0.25">
      <c r="C49" s="779">
        <v>26</v>
      </c>
      <c r="D49" s="775"/>
      <c r="E49" s="775"/>
      <c r="F49" s="776"/>
      <c r="G49" s="764"/>
      <c r="H49" s="776"/>
      <c r="I49" s="764"/>
      <c r="J49" s="776"/>
      <c r="K49" s="764"/>
      <c r="L49" s="764"/>
      <c r="M49" s="764"/>
      <c r="N49" s="776"/>
      <c r="O49" s="764"/>
      <c r="P49" s="776"/>
      <c r="Q49" s="764"/>
      <c r="R49" s="776"/>
      <c r="S49" s="764"/>
      <c r="T49" s="776"/>
      <c r="U49" s="76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x14ac:dyDescent="0.25">
      <c r="C50" s="779">
        <v>27</v>
      </c>
      <c r="D50" s="775"/>
      <c r="E50" s="775"/>
      <c r="F50" s="776"/>
      <c r="G50" s="764"/>
      <c r="H50" s="776"/>
      <c r="I50" s="764"/>
      <c r="J50" s="776"/>
      <c r="K50" s="764"/>
      <c r="L50" s="764"/>
      <c r="M50" s="764"/>
      <c r="N50" s="776"/>
      <c r="O50" s="764"/>
      <c r="P50" s="776"/>
      <c r="Q50" s="764"/>
      <c r="R50" s="776"/>
      <c r="S50" s="764"/>
      <c r="T50" s="776"/>
      <c r="U50" s="76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x14ac:dyDescent="0.25">
      <c r="C51" s="779">
        <v>28</v>
      </c>
      <c r="D51" s="775"/>
      <c r="E51" s="775"/>
      <c r="F51" s="776"/>
      <c r="G51" s="764"/>
      <c r="H51" s="776"/>
      <c r="I51" s="764"/>
      <c r="J51" s="776"/>
      <c r="K51" s="764"/>
      <c r="L51" s="764"/>
      <c r="M51" s="764"/>
      <c r="N51" s="776"/>
      <c r="O51" s="764"/>
      <c r="P51" s="776"/>
      <c r="Q51" s="764"/>
      <c r="R51" s="776"/>
      <c r="S51" s="764"/>
      <c r="T51" s="776"/>
      <c r="U51" s="76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x14ac:dyDescent="0.25">
      <c r="C52" s="779">
        <v>29</v>
      </c>
      <c r="D52" s="775"/>
      <c r="E52" s="775"/>
      <c r="F52" s="776"/>
      <c r="G52" s="764"/>
      <c r="H52" s="776"/>
      <c r="I52" s="764"/>
      <c r="J52" s="776"/>
      <c r="K52" s="764"/>
      <c r="L52" s="764"/>
      <c r="M52" s="764"/>
      <c r="N52" s="776"/>
      <c r="O52" s="764"/>
      <c r="P52" s="776"/>
      <c r="Q52" s="764"/>
      <c r="R52" s="776"/>
      <c r="S52" s="764"/>
      <c r="T52" s="776"/>
      <c r="U52" s="76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x14ac:dyDescent="0.25">
      <c r="C53" s="779">
        <v>30</v>
      </c>
      <c r="D53" s="775"/>
      <c r="E53" s="775"/>
      <c r="F53" s="776"/>
      <c r="G53" s="764"/>
      <c r="H53" s="776"/>
      <c r="I53" s="764"/>
      <c r="J53" s="776"/>
      <c r="K53" s="764"/>
      <c r="L53" s="764"/>
      <c r="M53" s="764"/>
      <c r="N53" s="776"/>
      <c r="O53" s="764"/>
      <c r="P53" s="776"/>
      <c r="Q53" s="764"/>
      <c r="R53" s="776"/>
      <c r="S53" s="764"/>
      <c r="T53" s="776"/>
      <c r="U53" s="76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x14ac:dyDescent="0.25">
      <c r="C54" s="779">
        <v>31</v>
      </c>
      <c r="D54" s="775"/>
      <c r="E54" s="775"/>
      <c r="F54" s="776"/>
      <c r="G54" s="764"/>
      <c r="H54" s="776"/>
      <c r="I54" s="764"/>
      <c r="J54" s="776"/>
      <c r="K54" s="764"/>
      <c r="L54" s="764"/>
      <c r="M54" s="764"/>
      <c r="N54" s="776"/>
      <c r="O54" s="764"/>
      <c r="P54" s="776"/>
      <c r="Q54" s="764"/>
      <c r="R54" s="776"/>
      <c r="S54" s="764"/>
      <c r="T54" s="776"/>
      <c r="U54" s="764"/>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x14ac:dyDescent="0.25">
      <c r="C55" s="779">
        <v>32</v>
      </c>
      <c r="D55" s="775"/>
      <c r="E55" s="775"/>
      <c r="F55" s="776"/>
      <c r="G55" s="764"/>
      <c r="H55" s="776"/>
      <c r="I55" s="764"/>
      <c r="J55" s="776"/>
      <c r="K55" s="764"/>
      <c r="L55" s="764"/>
      <c r="M55" s="764"/>
      <c r="N55" s="776"/>
      <c r="O55" s="764"/>
      <c r="P55" s="776"/>
      <c r="Q55" s="764"/>
      <c r="R55" s="776"/>
      <c r="S55" s="764"/>
      <c r="T55" s="776"/>
      <c r="U55" s="76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x14ac:dyDescent="0.25">
      <c r="C56" s="779">
        <v>33</v>
      </c>
      <c r="D56" s="775"/>
      <c r="E56" s="775"/>
      <c r="F56" s="776"/>
      <c r="G56" s="764"/>
      <c r="H56" s="776"/>
      <c r="I56" s="764"/>
      <c r="J56" s="776"/>
      <c r="K56" s="764"/>
      <c r="L56" s="764"/>
      <c r="M56" s="764"/>
      <c r="N56" s="776"/>
      <c r="O56" s="764"/>
      <c r="P56" s="776"/>
      <c r="Q56" s="764"/>
      <c r="R56" s="776"/>
      <c r="S56" s="764"/>
      <c r="T56" s="776"/>
      <c r="U56" s="76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ref="BA56:BA87" si="2">EUconst_SumCO2</f>
        <v>SUM_CO2</v>
      </c>
      <c r="BB56" s="218" t="str">
        <f t="shared" ref="BB56:BB87" si="3">EUconst_SumEnergyIN</f>
        <v>SUM_EnergyIN</v>
      </c>
      <c r="BD56" s="8"/>
    </row>
    <row r="57" spans="3:56" x14ac:dyDescent="0.25">
      <c r="C57" s="779">
        <v>34</v>
      </c>
      <c r="D57" s="775"/>
      <c r="E57" s="775"/>
      <c r="F57" s="776"/>
      <c r="G57" s="764"/>
      <c r="H57" s="776"/>
      <c r="I57" s="764"/>
      <c r="J57" s="776"/>
      <c r="K57" s="764"/>
      <c r="L57" s="764"/>
      <c r="M57" s="764"/>
      <c r="N57" s="776"/>
      <c r="O57" s="764"/>
      <c r="P57" s="776"/>
      <c r="Q57" s="764"/>
      <c r="R57" s="776"/>
      <c r="S57" s="764"/>
      <c r="T57" s="776"/>
      <c r="U57" s="76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2"/>
        <v>SUM_CO2</v>
      </c>
      <c r="BB57" s="218" t="str">
        <f t="shared" si="3"/>
        <v>SUM_EnergyIN</v>
      </c>
      <c r="BD57" s="8"/>
    </row>
    <row r="58" spans="3:56" x14ac:dyDescent="0.25">
      <c r="C58" s="779">
        <v>35</v>
      </c>
      <c r="D58" s="775"/>
      <c r="E58" s="775"/>
      <c r="F58" s="776"/>
      <c r="G58" s="764"/>
      <c r="H58" s="776"/>
      <c r="I58" s="764"/>
      <c r="J58" s="776"/>
      <c r="K58" s="764"/>
      <c r="L58" s="764"/>
      <c r="M58" s="764"/>
      <c r="N58" s="776"/>
      <c r="O58" s="764"/>
      <c r="P58" s="776"/>
      <c r="Q58" s="764"/>
      <c r="R58" s="776"/>
      <c r="S58" s="764"/>
      <c r="T58" s="776"/>
      <c r="U58" s="76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2"/>
        <v>SUM_CO2</v>
      </c>
      <c r="BB58" s="218" t="str">
        <f t="shared" si="3"/>
        <v>SUM_EnergyIN</v>
      </c>
      <c r="BD58" s="8"/>
    </row>
    <row r="59" spans="3:56" x14ac:dyDescent="0.25">
      <c r="C59" s="779">
        <v>36</v>
      </c>
      <c r="D59" s="775"/>
      <c r="E59" s="775"/>
      <c r="F59" s="776"/>
      <c r="G59" s="764"/>
      <c r="H59" s="776"/>
      <c r="I59" s="764"/>
      <c r="J59" s="776"/>
      <c r="K59" s="764"/>
      <c r="L59" s="764"/>
      <c r="M59" s="764"/>
      <c r="N59" s="776"/>
      <c r="O59" s="764"/>
      <c r="P59" s="776"/>
      <c r="Q59" s="764"/>
      <c r="R59" s="776"/>
      <c r="S59" s="764"/>
      <c r="T59" s="776"/>
      <c r="U59" s="76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2"/>
        <v>SUM_CO2</v>
      </c>
      <c r="BB59" s="218" t="str">
        <f t="shared" si="3"/>
        <v>SUM_EnergyIN</v>
      </c>
      <c r="BD59" s="8"/>
    </row>
    <row r="60" spans="3:56" x14ac:dyDescent="0.25">
      <c r="C60" s="779">
        <v>37</v>
      </c>
      <c r="D60" s="775"/>
      <c r="E60" s="775"/>
      <c r="F60" s="776"/>
      <c r="G60" s="764"/>
      <c r="H60" s="776"/>
      <c r="I60" s="764"/>
      <c r="J60" s="776"/>
      <c r="K60" s="764"/>
      <c r="L60" s="764"/>
      <c r="M60" s="764"/>
      <c r="N60" s="776"/>
      <c r="O60" s="764"/>
      <c r="P60" s="776"/>
      <c r="Q60" s="764"/>
      <c r="R60" s="776"/>
      <c r="S60" s="764"/>
      <c r="T60" s="776"/>
      <c r="U60" s="76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2"/>
        <v>SUM_CO2</v>
      </c>
      <c r="BB60" s="218" t="str">
        <f t="shared" si="3"/>
        <v>SUM_EnergyIN</v>
      </c>
      <c r="BD60" s="8"/>
    </row>
    <row r="61" spans="3:56" x14ac:dyDescent="0.25">
      <c r="C61" s="779">
        <v>38</v>
      </c>
      <c r="D61" s="775"/>
      <c r="E61" s="775"/>
      <c r="F61" s="776"/>
      <c r="G61" s="764"/>
      <c r="H61" s="776"/>
      <c r="I61" s="764"/>
      <c r="J61" s="776"/>
      <c r="K61" s="764"/>
      <c r="L61" s="764"/>
      <c r="M61" s="764"/>
      <c r="N61" s="776"/>
      <c r="O61" s="764"/>
      <c r="P61" s="776"/>
      <c r="Q61" s="764"/>
      <c r="R61" s="776"/>
      <c r="S61" s="764"/>
      <c r="T61" s="776"/>
      <c r="U61" s="76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2"/>
        <v>SUM_CO2</v>
      </c>
      <c r="BB61" s="218" t="str">
        <f t="shared" si="3"/>
        <v>SUM_EnergyIN</v>
      </c>
      <c r="BD61" s="8"/>
    </row>
    <row r="62" spans="3:56" x14ac:dyDescent="0.25">
      <c r="C62" s="779">
        <v>39</v>
      </c>
      <c r="D62" s="775"/>
      <c r="E62" s="775"/>
      <c r="F62" s="776"/>
      <c r="G62" s="764"/>
      <c r="H62" s="776"/>
      <c r="I62" s="764"/>
      <c r="J62" s="776"/>
      <c r="K62" s="764"/>
      <c r="L62" s="764"/>
      <c r="M62" s="764"/>
      <c r="N62" s="776"/>
      <c r="O62" s="764"/>
      <c r="P62" s="776"/>
      <c r="Q62" s="764"/>
      <c r="R62" s="776"/>
      <c r="S62" s="764"/>
      <c r="T62" s="776"/>
      <c r="U62" s="76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2"/>
        <v>SUM_CO2</v>
      </c>
      <c r="BB62" s="218" t="str">
        <f t="shared" si="3"/>
        <v>SUM_EnergyIN</v>
      </c>
      <c r="BD62" s="8"/>
    </row>
    <row r="63" spans="3:56" x14ac:dyDescent="0.25">
      <c r="C63" s="779">
        <v>40</v>
      </c>
      <c r="D63" s="775"/>
      <c r="E63" s="775"/>
      <c r="F63" s="776"/>
      <c r="G63" s="764"/>
      <c r="H63" s="776"/>
      <c r="I63" s="764"/>
      <c r="J63" s="776"/>
      <c r="K63" s="764"/>
      <c r="L63" s="764"/>
      <c r="M63" s="764"/>
      <c r="N63" s="776"/>
      <c r="O63" s="764"/>
      <c r="P63" s="776"/>
      <c r="Q63" s="764"/>
      <c r="R63" s="776"/>
      <c r="S63" s="764"/>
      <c r="T63" s="776"/>
      <c r="U63" s="76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2"/>
        <v>SUM_CO2</v>
      </c>
      <c r="BB63" s="218" t="str">
        <f t="shared" si="3"/>
        <v>SUM_EnergyIN</v>
      </c>
      <c r="BD63" s="8"/>
    </row>
    <row r="64" spans="3:56" x14ac:dyDescent="0.25">
      <c r="C64" s="779">
        <v>41</v>
      </c>
      <c r="D64" s="775"/>
      <c r="E64" s="775"/>
      <c r="F64" s="776"/>
      <c r="G64" s="764"/>
      <c r="H64" s="776"/>
      <c r="I64" s="764"/>
      <c r="J64" s="776"/>
      <c r="K64" s="764"/>
      <c r="L64" s="764"/>
      <c r="M64" s="764"/>
      <c r="N64" s="776"/>
      <c r="O64" s="764"/>
      <c r="P64" s="776"/>
      <c r="Q64" s="764"/>
      <c r="R64" s="776"/>
      <c r="S64" s="764"/>
      <c r="T64" s="776"/>
      <c r="U64" s="76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2"/>
        <v>SUM_CO2</v>
      </c>
      <c r="BB64" s="218" t="str">
        <f t="shared" si="3"/>
        <v>SUM_EnergyIN</v>
      </c>
      <c r="BD64" s="8"/>
    </row>
    <row r="65" spans="3:56" x14ac:dyDescent="0.25">
      <c r="C65" s="779">
        <v>42</v>
      </c>
      <c r="D65" s="775"/>
      <c r="E65" s="775"/>
      <c r="F65" s="776"/>
      <c r="G65" s="764"/>
      <c r="H65" s="776"/>
      <c r="I65" s="764"/>
      <c r="J65" s="776"/>
      <c r="K65" s="764"/>
      <c r="L65" s="764"/>
      <c r="M65" s="764"/>
      <c r="N65" s="776"/>
      <c r="O65" s="764"/>
      <c r="P65" s="776"/>
      <c r="Q65" s="764"/>
      <c r="R65" s="776"/>
      <c r="S65" s="764"/>
      <c r="T65" s="776"/>
      <c r="U65" s="76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2"/>
        <v>SUM_CO2</v>
      </c>
      <c r="BB65" s="218" t="str">
        <f t="shared" si="3"/>
        <v>SUM_EnergyIN</v>
      </c>
      <c r="BD65" s="8"/>
    </row>
    <row r="66" spans="3:56" x14ac:dyDescent="0.25">
      <c r="C66" s="779">
        <v>43</v>
      </c>
      <c r="D66" s="775"/>
      <c r="E66" s="775"/>
      <c r="F66" s="776"/>
      <c r="G66" s="764"/>
      <c r="H66" s="776"/>
      <c r="I66" s="764"/>
      <c r="J66" s="776"/>
      <c r="K66" s="764"/>
      <c r="L66" s="764"/>
      <c r="M66" s="764"/>
      <c r="N66" s="776"/>
      <c r="O66" s="764"/>
      <c r="P66" s="776"/>
      <c r="Q66" s="764"/>
      <c r="R66" s="776"/>
      <c r="S66" s="764"/>
      <c r="T66" s="776"/>
      <c r="U66" s="76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2"/>
        <v>SUM_CO2</v>
      </c>
      <c r="BB66" s="218" t="str">
        <f t="shared" si="3"/>
        <v>SUM_EnergyIN</v>
      </c>
      <c r="BD66" s="8"/>
    </row>
    <row r="67" spans="3:56" x14ac:dyDescent="0.25">
      <c r="C67" s="779">
        <v>44</v>
      </c>
      <c r="D67" s="775"/>
      <c r="E67" s="775"/>
      <c r="F67" s="776"/>
      <c r="G67" s="764"/>
      <c r="H67" s="776"/>
      <c r="I67" s="764"/>
      <c r="J67" s="776"/>
      <c r="K67" s="764"/>
      <c r="L67" s="764"/>
      <c r="M67" s="764"/>
      <c r="N67" s="776"/>
      <c r="O67" s="764"/>
      <c r="P67" s="776"/>
      <c r="Q67" s="764"/>
      <c r="R67" s="776"/>
      <c r="S67" s="764"/>
      <c r="T67" s="776"/>
      <c r="U67" s="76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2"/>
        <v>SUM_CO2</v>
      </c>
      <c r="BB67" s="218" t="str">
        <f t="shared" si="3"/>
        <v>SUM_EnergyIN</v>
      </c>
      <c r="BD67" s="8"/>
    </row>
    <row r="68" spans="3:56" x14ac:dyDescent="0.25">
      <c r="C68" s="779">
        <v>45</v>
      </c>
      <c r="D68" s="775"/>
      <c r="E68" s="775"/>
      <c r="F68" s="776"/>
      <c r="G68" s="764"/>
      <c r="H68" s="776"/>
      <c r="I68" s="764"/>
      <c r="J68" s="776"/>
      <c r="K68" s="764"/>
      <c r="L68" s="764"/>
      <c r="M68" s="764"/>
      <c r="N68" s="776"/>
      <c r="O68" s="764"/>
      <c r="P68" s="776"/>
      <c r="Q68" s="764"/>
      <c r="R68" s="776"/>
      <c r="S68" s="764"/>
      <c r="T68" s="776"/>
      <c r="U68" s="76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2"/>
        <v>SUM_CO2</v>
      </c>
      <c r="BB68" s="218" t="str">
        <f t="shared" si="3"/>
        <v>SUM_EnergyIN</v>
      </c>
      <c r="BD68" s="8"/>
    </row>
    <row r="69" spans="3:56" x14ac:dyDescent="0.25">
      <c r="C69" s="779">
        <v>46</v>
      </c>
      <c r="D69" s="775"/>
      <c r="E69" s="775"/>
      <c r="F69" s="776"/>
      <c r="G69" s="764"/>
      <c r="H69" s="776"/>
      <c r="I69" s="764"/>
      <c r="J69" s="776"/>
      <c r="K69" s="764"/>
      <c r="L69" s="764"/>
      <c r="M69" s="764"/>
      <c r="N69" s="776"/>
      <c r="O69" s="764"/>
      <c r="P69" s="776"/>
      <c r="Q69" s="764"/>
      <c r="R69" s="776"/>
      <c r="S69" s="764"/>
      <c r="T69" s="776"/>
      <c r="U69" s="76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2"/>
        <v>SUM_CO2</v>
      </c>
      <c r="BB69" s="218" t="str">
        <f t="shared" si="3"/>
        <v>SUM_EnergyIN</v>
      </c>
      <c r="BD69" s="8"/>
    </row>
    <row r="70" spans="3:56" x14ac:dyDescent="0.25">
      <c r="C70" s="779">
        <v>47</v>
      </c>
      <c r="D70" s="775"/>
      <c r="E70" s="775"/>
      <c r="F70" s="776"/>
      <c r="G70" s="764"/>
      <c r="H70" s="776"/>
      <c r="I70" s="764"/>
      <c r="J70" s="776"/>
      <c r="K70" s="764"/>
      <c r="L70" s="764"/>
      <c r="M70" s="764"/>
      <c r="N70" s="776"/>
      <c r="O70" s="764"/>
      <c r="P70" s="776"/>
      <c r="Q70" s="764"/>
      <c r="R70" s="776"/>
      <c r="S70" s="764"/>
      <c r="T70" s="776"/>
      <c r="U70" s="76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2"/>
        <v>SUM_CO2</v>
      </c>
      <c r="BB70" s="218" t="str">
        <f t="shared" si="3"/>
        <v>SUM_EnergyIN</v>
      </c>
      <c r="BD70" s="8"/>
    </row>
    <row r="71" spans="3:56" x14ac:dyDescent="0.25">
      <c r="C71" s="779">
        <v>48</v>
      </c>
      <c r="D71" s="775"/>
      <c r="E71" s="775"/>
      <c r="F71" s="776"/>
      <c r="G71" s="764"/>
      <c r="H71" s="776"/>
      <c r="I71" s="764"/>
      <c r="J71" s="776"/>
      <c r="K71" s="764"/>
      <c r="L71" s="764"/>
      <c r="M71" s="764"/>
      <c r="N71" s="776"/>
      <c r="O71" s="764"/>
      <c r="P71" s="776"/>
      <c r="Q71" s="764"/>
      <c r="R71" s="776"/>
      <c r="S71" s="764"/>
      <c r="T71" s="776"/>
      <c r="U71" s="76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2"/>
        <v>SUM_CO2</v>
      </c>
      <c r="BB71" s="218" t="str">
        <f t="shared" si="3"/>
        <v>SUM_EnergyIN</v>
      </c>
      <c r="BD71" s="8"/>
    </row>
    <row r="72" spans="3:56" x14ac:dyDescent="0.25">
      <c r="C72" s="779">
        <v>49</v>
      </c>
      <c r="D72" s="775"/>
      <c r="E72" s="775"/>
      <c r="F72" s="776"/>
      <c r="G72" s="764"/>
      <c r="H72" s="776"/>
      <c r="I72" s="764"/>
      <c r="J72" s="776"/>
      <c r="K72" s="764"/>
      <c r="L72" s="764"/>
      <c r="M72" s="764"/>
      <c r="N72" s="776"/>
      <c r="O72" s="764"/>
      <c r="P72" s="776"/>
      <c r="Q72" s="764"/>
      <c r="R72" s="776"/>
      <c r="S72" s="764"/>
      <c r="T72" s="776"/>
      <c r="U72" s="76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2"/>
        <v>SUM_CO2</v>
      </c>
      <c r="BB72" s="218" t="str">
        <f t="shared" si="3"/>
        <v>SUM_EnergyIN</v>
      </c>
      <c r="BD72" s="8"/>
    </row>
    <row r="73" spans="3:56" x14ac:dyDescent="0.25">
      <c r="C73" s="779">
        <v>50</v>
      </c>
      <c r="D73" s="775"/>
      <c r="E73" s="775"/>
      <c r="F73" s="776"/>
      <c r="G73" s="764"/>
      <c r="H73" s="776"/>
      <c r="I73" s="764"/>
      <c r="J73" s="776"/>
      <c r="K73" s="764"/>
      <c r="L73" s="764"/>
      <c r="M73" s="764"/>
      <c r="N73" s="776"/>
      <c r="O73" s="764"/>
      <c r="P73" s="776"/>
      <c r="Q73" s="764"/>
      <c r="R73" s="776"/>
      <c r="S73" s="764"/>
      <c r="T73" s="776"/>
      <c r="U73" s="76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2"/>
        <v>SUM_CO2</v>
      </c>
      <c r="BB73" s="218" t="str">
        <f t="shared" si="3"/>
        <v>SUM_EnergyIN</v>
      </c>
      <c r="BD73" s="8"/>
    </row>
    <row r="74" spans="3:56" x14ac:dyDescent="0.25">
      <c r="C74" s="779">
        <v>51</v>
      </c>
      <c r="D74" s="775"/>
      <c r="E74" s="775"/>
      <c r="F74" s="776"/>
      <c r="G74" s="764"/>
      <c r="H74" s="776"/>
      <c r="I74" s="764"/>
      <c r="J74" s="776"/>
      <c r="K74" s="764"/>
      <c r="L74" s="764"/>
      <c r="M74" s="764"/>
      <c r="N74" s="776"/>
      <c r="O74" s="764"/>
      <c r="P74" s="776"/>
      <c r="Q74" s="764"/>
      <c r="R74" s="776"/>
      <c r="S74" s="764"/>
      <c r="T74" s="776"/>
      <c r="U74" s="76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2"/>
        <v>SUM_CO2</v>
      </c>
      <c r="BB74" s="218" t="str">
        <f t="shared" si="3"/>
        <v>SUM_EnergyIN</v>
      </c>
      <c r="BD74" s="8"/>
    </row>
    <row r="75" spans="3:56" x14ac:dyDescent="0.25">
      <c r="C75" s="779">
        <v>52</v>
      </c>
      <c r="D75" s="775"/>
      <c r="E75" s="775"/>
      <c r="F75" s="776"/>
      <c r="G75" s="764"/>
      <c r="H75" s="776"/>
      <c r="I75" s="764"/>
      <c r="J75" s="776"/>
      <c r="K75" s="764"/>
      <c r="L75" s="764"/>
      <c r="M75" s="764"/>
      <c r="N75" s="776"/>
      <c r="O75" s="764"/>
      <c r="P75" s="776"/>
      <c r="Q75" s="764"/>
      <c r="R75" s="776"/>
      <c r="S75" s="764"/>
      <c r="T75" s="776"/>
      <c r="U75" s="76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2"/>
        <v>SUM_CO2</v>
      </c>
      <c r="BB75" s="218" t="str">
        <f t="shared" si="3"/>
        <v>SUM_EnergyIN</v>
      </c>
      <c r="BD75" s="8"/>
    </row>
    <row r="76" spans="3:56" x14ac:dyDescent="0.25">
      <c r="C76" s="779">
        <v>53</v>
      </c>
      <c r="D76" s="775"/>
      <c r="E76" s="775"/>
      <c r="F76" s="776"/>
      <c r="G76" s="764"/>
      <c r="H76" s="776"/>
      <c r="I76" s="764"/>
      <c r="J76" s="776"/>
      <c r="K76" s="764"/>
      <c r="L76" s="764"/>
      <c r="M76" s="764"/>
      <c r="N76" s="776"/>
      <c r="O76" s="764"/>
      <c r="P76" s="776"/>
      <c r="Q76" s="764"/>
      <c r="R76" s="776"/>
      <c r="S76" s="764"/>
      <c r="T76" s="776"/>
      <c r="U76" s="76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2"/>
        <v>SUM_CO2</v>
      </c>
      <c r="BB76" s="218" t="str">
        <f t="shared" si="3"/>
        <v>SUM_EnergyIN</v>
      </c>
      <c r="BD76" s="8"/>
    </row>
    <row r="77" spans="3:56" x14ac:dyDescent="0.25">
      <c r="C77" s="779">
        <v>54</v>
      </c>
      <c r="D77" s="775"/>
      <c r="E77" s="775"/>
      <c r="F77" s="776"/>
      <c r="G77" s="764"/>
      <c r="H77" s="776"/>
      <c r="I77" s="764"/>
      <c r="J77" s="776"/>
      <c r="K77" s="764"/>
      <c r="L77" s="764"/>
      <c r="M77" s="764"/>
      <c r="N77" s="776"/>
      <c r="O77" s="764"/>
      <c r="P77" s="776"/>
      <c r="Q77" s="764"/>
      <c r="R77" s="776"/>
      <c r="S77" s="764"/>
      <c r="T77" s="776"/>
      <c r="U77" s="76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2"/>
        <v>SUM_CO2</v>
      </c>
      <c r="BB77" s="218" t="str">
        <f t="shared" si="3"/>
        <v>SUM_EnergyIN</v>
      </c>
      <c r="BD77" s="8"/>
    </row>
    <row r="78" spans="3:56" x14ac:dyDescent="0.25">
      <c r="C78" s="779">
        <v>55</v>
      </c>
      <c r="D78" s="775"/>
      <c r="E78" s="775"/>
      <c r="F78" s="776"/>
      <c r="G78" s="764"/>
      <c r="H78" s="776"/>
      <c r="I78" s="764"/>
      <c r="J78" s="776"/>
      <c r="K78" s="764"/>
      <c r="L78" s="764"/>
      <c r="M78" s="764"/>
      <c r="N78" s="776"/>
      <c r="O78" s="764"/>
      <c r="P78" s="776"/>
      <c r="Q78" s="764"/>
      <c r="R78" s="776"/>
      <c r="S78" s="764"/>
      <c r="T78" s="776"/>
      <c r="U78" s="764"/>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2"/>
        <v>SUM_CO2</v>
      </c>
      <c r="BB78" s="218" t="str">
        <f t="shared" si="3"/>
        <v>SUM_EnergyIN</v>
      </c>
      <c r="BD78" s="8"/>
    </row>
    <row r="79" spans="3:56" x14ac:dyDescent="0.25">
      <c r="C79" s="779">
        <v>56</v>
      </c>
      <c r="D79" s="775"/>
      <c r="E79" s="775"/>
      <c r="F79" s="776"/>
      <c r="G79" s="764"/>
      <c r="H79" s="776"/>
      <c r="I79" s="764"/>
      <c r="J79" s="776"/>
      <c r="K79" s="764"/>
      <c r="L79" s="764"/>
      <c r="M79" s="764"/>
      <c r="N79" s="776"/>
      <c r="O79" s="764"/>
      <c r="P79" s="776"/>
      <c r="Q79" s="764"/>
      <c r="R79" s="776"/>
      <c r="S79" s="764"/>
      <c r="T79" s="776"/>
      <c r="U79" s="76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2"/>
        <v>SUM_CO2</v>
      </c>
      <c r="BB79" s="218" t="str">
        <f t="shared" si="3"/>
        <v>SUM_EnergyIN</v>
      </c>
      <c r="BD79" s="8"/>
    </row>
    <row r="80" spans="3:56" x14ac:dyDescent="0.25">
      <c r="C80" s="779">
        <v>57</v>
      </c>
      <c r="D80" s="775"/>
      <c r="E80" s="775"/>
      <c r="F80" s="776"/>
      <c r="G80" s="764"/>
      <c r="H80" s="776"/>
      <c r="I80" s="764"/>
      <c r="J80" s="776"/>
      <c r="K80" s="764"/>
      <c r="L80" s="764"/>
      <c r="M80" s="764"/>
      <c r="N80" s="776"/>
      <c r="O80" s="764"/>
      <c r="P80" s="776"/>
      <c r="Q80" s="764"/>
      <c r="R80" s="776"/>
      <c r="S80" s="764"/>
      <c r="T80" s="776"/>
      <c r="U80" s="76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2"/>
        <v>SUM_CO2</v>
      </c>
      <c r="BB80" s="218" t="str">
        <f t="shared" si="3"/>
        <v>SUM_EnergyIN</v>
      </c>
      <c r="BD80" s="8"/>
    </row>
    <row r="81" spans="3:56" x14ac:dyDescent="0.25">
      <c r="C81" s="779">
        <v>58</v>
      </c>
      <c r="D81" s="775"/>
      <c r="E81" s="775"/>
      <c r="F81" s="776"/>
      <c r="G81" s="764"/>
      <c r="H81" s="776"/>
      <c r="I81" s="764"/>
      <c r="J81" s="776"/>
      <c r="K81" s="764"/>
      <c r="L81" s="764"/>
      <c r="M81" s="764"/>
      <c r="N81" s="776"/>
      <c r="O81" s="764"/>
      <c r="P81" s="776"/>
      <c r="Q81" s="764"/>
      <c r="R81" s="776"/>
      <c r="S81" s="764"/>
      <c r="T81" s="776"/>
      <c r="U81" s="76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2"/>
        <v>SUM_CO2</v>
      </c>
      <c r="BB81" s="218" t="str">
        <f t="shared" si="3"/>
        <v>SUM_EnergyIN</v>
      </c>
      <c r="BD81" s="8"/>
    </row>
    <row r="82" spans="3:56" x14ac:dyDescent="0.25">
      <c r="C82" s="779">
        <v>59</v>
      </c>
      <c r="D82" s="775"/>
      <c r="E82" s="775"/>
      <c r="F82" s="776"/>
      <c r="G82" s="764"/>
      <c r="H82" s="776"/>
      <c r="I82" s="764"/>
      <c r="J82" s="776"/>
      <c r="K82" s="764"/>
      <c r="L82" s="764"/>
      <c r="M82" s="764"/>
      <c r="N82" s="776"/>
      <c r="O82" s="764"/>
      <c r="P82" s="776"/>
      <c r="Q82" s="764"/>
      <c r="R82" s="776"/>
      <c r="S82" s="764"/>
      <c r="T82" s="776"/>
      <c r="U82" s="76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2"/>
        <v>SUM_CO2</v>
      </c>
      <c r="BB82" s="218" t="str">
        <f t="shared" si="3"/>
        <v>SUM_EnergyIN</v>
      </c>
      <c r="BD82" s="8"/>
    </row>
    <row r="83" spans="3:56" x14ac:dyDescent="0.25">
      <c r="C83" s="779">
        <v>60</v>
      </c>
      <c r="D83" s="775"/>
      <c r="E83" s="775"/>
      <c r="F83" s="776"/>
      <c r="G83" s="764"/>
      <c r="H83" s="776"/>
      <c r="I83" s="764"/>
      <c r="J83" s="776"/>
      <c r="K83" s="764"/>
      <c r="L83" s="764"/>
      <c r="M83" s="764"/>
      <c r="N83" s="776"/>
      <c r="O83" s="764"/>
      <c r="P83" s="776"/>
      <c r="Q83" s="764"/>
      <c r="R83" s="776"/>
      <c r="S83" s="764"/>
      <c r="T83" s="776"/>
      <c r="U83" s="76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2"/>
        <v>SUM_CO2</v>
      </c>
      <c r="BB83" s="218" t="str">
        <f t="shared" si="3"/>
        <v>SUM_EnergyIN</v>
      </c>
      <c r="BD83" s="8"/>
    </row>
    <row r="84" spans="3:56" x14ac:dyDescent="0.25">
      <c r="C84" s="779">
        <v>61</v>
      </c>
      <c r="D84" s="775"/>
      <c r="E84" s="775"/>
      <c r="F84" s="776"/>
      <c r="G84" s="764"/>
      <c r="H84" s="776"/>
      <c r="I84" s="764"/>
      <c r="J84" s="776"/>
      <c r="K84" s="764"/>
      <c r="L84" s="764"/>
      <c r="M84" s="764"/>
      <c r="N84" s="776"/>
      <c r="O84" s="764"/>
      <c r="P84" s="776"/>
      <c r="Q84" s="764"/>
      <c r="R84" s="776"/>
      <c r="S84" s="764"/>
      <c r="T84" s="776"/>
      <c r="U84" s="76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2"/>
        <v>SUM_CO2</v>
      </c>
      <c r="BB84" s="218" t="str">
        <f t="shared" si="3"/>
        <v>SUM_EnergyIN</v>
      </c>
      <c r="BD84" s="8"/>
    </row>
    <row r="85" spans="3:56" x14ac:dyDescent="0.25">
      <c r="C85" s="779">
        <v>62</v>
      </c>
      <c r="D85" s="775"/>
      <c r="E85" s="775"/>
      <c r="F85" s="776"/>
      <c r="G85" s="764"/>
      <c r="H85" s="776"/>
      <c r="I85" s="764"/>
      <c r="J85" s="776"/>
      <c r="K85" s="764"/>
      <c r="L85" s="764"/>
      <c r="M85" s="764"/>
      <c r="N85" s="776"/>
      <c r="O85" s="764"/>
      <c r="P85" s="776"/>
      <c r="Q85" s="764"/>
      <c r="R85" s="776"/>
      <c r="S85" s="764"/>
      <c r="T85" s="776"/>
      <c r="U85" s="76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2"/>
        <v>SUM_CO2</v>
      </c>
      <c r="BB85" s="218" t="str">
        <f t="shared" si="3"/>
        <v>SUM_EnergyIN</v>
      </c>
      <c r="BD85" s="8"/>
    </row>
    <row r="86" spans="3:56" x14ac:dyDescent="0.25">
      <c r="C86" s="779">
        <v>63</v>
      </c>
      <c r="D86" s="775"/>
      <c r="E86" s="775"/>
      <c r="F86" s="776"/>
      <c r="G86" s="764"/>
      <c r="H86" s="776"/>
      <c r="I86" s="764"/>
      <c r="J86" s="776"/>
      <c r="K86" s="764"/>
      <c r="L86" s="764"/>
      <c r="M86" s="764"/>
      <c r="N86" s="776"/>
      <c r="O86" s="764"/>
      <c r="P86" s="776"/>
      <c r="Q86" s="764"/>
      <c r="R86" s="776"/>
      <c r="S86" s="764"/>
      <c r="T86" s="776"/>
      <c r="U86" s="76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2"/>
        <v>SUM_CO2</v>
      </c>
      <c r="BB86" s="218" t="str">
        <f t="shared" si="3"/>
        <v>SUM_EnergyIN</v>
      </c>
      <c r="BD86" s="8"/>
    </row>
    <row r="87" spans="3:56" x14ac:dyDescent="0.25">
      <c r="C87" s="779">
        <v>64</v>
      </c>
      <c r="D87" s="775"/>
      <c r="E87" s="775"/>
      <c r="F87" s="776"/>
      <c r="G87" s="764"/>
      <c r="H87" s="776"/>
      <c r="I87" s="764"/>
      <c r="J87" s="776"/>
      <c r="K87" s="764"/>
      <c r="L87" s="764"/>
      <c r="M87" s="764"/>
      <c r="N87" s="776"/>
      <c r="O87" s="764"/>
      <c r="P87" s="776"/>
      <c r="Q87" s="764"/>
      <c r="R87" s="776"/>
      <c r="S87" s="764"/>
      <c r="T87" s="776"/>
      <c r="U87" s="76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2"/>
        <v>SUM_CO2</v>
      </c>
      <c r="BB87" s="218" t="str">
        <f t="shared" si="3"/>
        <v>SUM_EnergyIN</v>
      </c>
      <c r="BD87" s="8"/>
    </row>
    <row r="88" spans="3:56" x14ac:dyDescent="0.25">
      <c r="C88" s="779">
        <v>65</v>
      </c>
      <c r="D88" s="775"/>
      <c r="E88" s="775"/>
      <c r="F88" s="776"/>
      <c r="G88" s="764"/>
      <c r="H88" s="776"/>
      <c r="I88" s="764"/>
      <c r="J88" s="776"/>
      <c r="K88" s="764"/>
      <c r="L88" s="764"/>
      <c r="M88" s="764"/>
      <c r="N88" s="776"/>
      <c r="O88" s="764"/>
      <c r="P88" s="776"/>
      <c r="Q88" s="764"/>
      <c r="R88" s="776"/>
      <c r="S88" s="764"/>
      <c r="T88" s="776"/>
      <c r="U88" s="76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4">EUconst_SumCO2</f>
        <v>SUM_CO2</v>
      </c>
      <c r="BB88" s="218" t="str">
        <f t="shared" ref="BB88:BB98" si="5">EUconst_SumEnergyIN</f>
        <v>SUM_EnergyIN</v>
      </c>
      <c r="BD88" s="8"/>
    </row>
    <row r="89" spans="3:56" x14ac:dyDescent="0.25">
      <c r="C89" s="779">
        <v>66</v>
      </c>
      <c r="D89" s="775"/>
      <c r="E89" s="775"/>
      <c r="F89" s="776"/>
      <c r="G89" s="764"/>
      <c r="H89" s="776"/>
      <c r="I89" s="764"/>
      <c r="J89" s="776"/>
      <c r="K89" s="764"/>
      <c r="L89" s="764"/>
      <c r="M89" s="764"/>
      <c r="N89" s="776"/>
      <c r="O89" s="764"/>
      <c r="P89" s="776"/>
      <c r="Q89" s="764"/>
      <c r="R89" s="776"/>
      <c r="S89" s="764"/>
      <c r="T89" s="776"/>
      <c r="U89" s="76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4"/>
        <v>SUM_CO2</v>
      </c>
      <c r="BB89" s="218" t="str">
        <f t="shared" si="5"/>
        <v>SUM_EnergyIN</v>
      </c>
      <c r="BD89" s="8"/>
    </row>
    <row r="90" spans="3:56" x14ac:dyDescent="0.25">
      <c r="C90" s="779">
        <v>67</v>
      </c>
      <c r="D90" s="775"/>
      <c r="E90" s="775"/>
      <c r="F90" s="776"/>
      <c r="G90" s="764"/>
      <c r="H90" s="776"/>
      <c r="I90" s="764"/>
      <c r="J90" s="776"/>
      <c r="K90" s="764"/>
      <c r="L90" s="764"/>
      <c r="M90" s="764"/>
      <c r="N90" s="776"/>
      <c r="O90" s="764"/>
      <c r="P90" s="776"/>
      <c r="Q90" s="764"/>
      <c r="R90" s="776"/>
      <c r="S90" s="764"/>
      <c r="T90" s="776"/>
      <c r="U90" s="76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4"/>
        <v>SUM_CO2</v>
      </c>
      <c r="BB90" s="218" t="str">
        <f t="shared" si="5"/>
        <v>SUM_EnergyIN</v>
      </c>
      <c r="BD90" s="8"/>
    </row>
    <row r="91" spans="3:56" x14ac:dyDescent="0.25">
      <c r="C91" s="779">
        <v>68</v>
      </c>
      <c r="D91" s="775"/>
      <c r="E91" s="775"/>
      <c r="F91" s="776"/>
      <c r="G91" s="764"/>
      <c r="H91" s="776"/>
      <c r="I91" s="764"/>
      <c r="J91" s="776"/>
      <c r="K91" s="764"/>
      <c r="L91" s="764"/>
      <c r="M91" s="764"/>
      <c r="N91" s="776"/>
      <c r="O91" s="764"/>
      <c r="P91" s="776"/>
      <c r="Q91" s="764"/>
      <c r="R91" s="776"/>
      <c r="S91" s="764"/>
      <c r="T91" s="776"/>
      <c r="U91" s="76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4"/>
        <v>SUM_CO2</v>
      </c>
      <c r="BB91" s="218" t="str">
        <f t="shared" si="5"/>
        <v>SUM_EnergyIN</v>
      </c>
      <c r="BD91" s="8"/>
    </row>
    <row r="92" spans="3:56" x14ac:dyDescent="0.25">
      <c r="C92" s="779">
        <v>69</v>
      </c>
      <c r="D92" s="775"/>
      <c r="E92" s="775"/>
      <c r="F92" s="776"/>
      <c r="G92" s="764"/>
      <c r="H92" s="776"/>
      <c r="I92" s="764"/>
      <c r="J92" s="776"/>
      <c r="K92" s="764"/>
      <c r="L92" s="764"/>
      <c r="M92" s="764"/>
      <c r="N92" s="776"/>
      <c r="O92" s="764"/>
      <c r="P92" s="776"/>
      <c r="Q92" s="764"/>
      <c r="R92" s="776"/>
      <c r="S92" s="764"/>
      <c r="T92" s="776"/>
      <c r="U92" s="76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4"/>
        <v>SUM_CO2</v>
      </c>
      <c r="BB92" s="218" t="str">
        <f t="shared" si="5"/>
        <v>SUM_EnergyIN</v>
      </c>
      <c r="BD92" s="8"/>
    </row>
    <row r="93" spans="3:56" x14ac:dyDescent="0.25">
      <c r="C93" s="779">
        <v>70</v>
      </c>
      <c r="D93" s="775"/>
      <c r="E93" s="775"/>
      <c r="F93" s="776"/>
      <c r="G93" s="764"/>
      <c r="H93" s="776"/>
      <c r="I93" s="764"/>
      <c r="J93" s="776"/>
      <c r="K93" s="764"/>
      <c r="L93" s="764"/>
      <c r="M93" s="764"/>
      <c r="N93" s="776"/>
      <c r="O93" s="764"/>
      <c r="P93" s="776"/>
      <c r="Q93" s="764"/>
      <c r="R93" s="776"/>
      <c r="S93" s="764"/>
      <c r="T93" s="776"/>
      <c r="U93" s="76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4"/>
        <v>SUM_CO2</v>
      </c>
      <c r="BB93" s="218" t="str">
        <f t="shared" si="5"/>
        <v>SUM_EnergyIN</v>
      </c>
      <c r="BD93" s="8"/>
    </row>
    <row r="94" spans="3:56" x14ac:dyDescent="0.25">
      <c r="C94" s="779">
        <v>71</v>
      </c>
      <c r="D94" s="775"/>
      <c r="E94" s="775"/>
      <c r="F94" s="776"/>
      <c r="G94" s="764"/>
      <c r="H94" s="776"/>
      <c r="I94" s="764"/>
      <c r="J94" s="776"/>
      <c r="K94" s="764"/>
      <c r="L94" s="764"/>
      <c r="M94" s="764"/>
      <c r="N94" s="776"/>
      <c r="O94" s="764"/>
      <c r="P94" s="776"/>
      <c r="Q94" s="764"/>
      <c r="R94" s="776"/>
      <c r="S94" s="764"/>
      <c r="T94" s="776"/>
      <c r="U94" s="76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4"/>
        <v>SUM_CO2</v>
      </c>
      <c r="BB94" s="218" t="str">
        <f t="shared" si="5"/>
        <v>SUM_EnergyIN</v>
      </c>
      <c r="BD94" s="8"/>
    </row>
    <row r="95" spans="3:56" x14ac:dyDescent="0.25">
      <c r="C95" s="779">
        <v>72</v>
      </c>
      <c r="D95" s="775"/>
      <c r="E95" s="775"/>
      <c r="F95" s="776"/>
      <c r="G95" s="764"/>
      <c r="H95" s="776"/>
      <c r="I95" s="764"/>
      <c r="J95" s="776"/>
      <c r="K95" s="764"/>
      <c r="L95" s="764"/>
      <c r="M95" s="764"/>
      <c r="N95" s="776"/>
      <c r="O95" s="764"/>
      <c r="P95" s="776"/>
      <c r="Q95" s="764"/>
      <c r="R95" s="776"/>
      <c r="S95" s="764"/>
      <c r="T95" s="776"/>
      <c r="U95" s="76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4"/>
        <v>SUM_CO2</v>
      </c>
      <c r="BB95" s="218" t="str">
        <f t="shared" si="5"/>
        <v>SUM_EnergyIN</v>
      </c>
      <c r="BD95" s="8"/>
    </row>
    <row r="96" spans="3:56" x14ac:dyDescent="0.25">
      <c r="C96" s="779">
        <v>73</v>
      </c>
      <c r="D96" s="775"/>
      <c r="E96" s="775"/>
      <c r="F96" s="776"/>
      <c r="G96" s="764"/>
      <c r="H96" s="776"/>
      <c r="I96" s="764"/>
      <c r="J96" s="776"/>
      <c r="K96" s="764"/>
      <c r="L96" s="764"/>
      <c r="M96" s="764"/>
      <c r="N96" s="776"/>
      <c r="O96" s="764"/>
      <c r="P96" s="776"/>
      <c r="Q96" s="764"/>
      <c r="R96" s="776"/>
      <c r="S96" s="764"/>
      <c r="T96" s="776"/>
      <c r="U96" s="76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4"/>
        <v>SUM_CO2</v>
      </c>
      <c r="BB96" s="218" t="str">
        <f t="shared" si="5"/>
        <v>SUM_EnergyIN</v>
      </c>
      <c r="BD96" s="8"/>
    </row>
    <row r="97" spans="3:56" x14ac:dyDescent="0.25">
      <c r="C97" s="779">
        <v>74</v>
      </c>
      <c r="D97" s="775"/>
      <c r="E97" s="775"/>
      <c r="F97" s="776"/>
      <c r="G97" s="764"/>
      <c r="H97" s="776"/>
      <c r="I97" s="764"/>
      <c r="J97" s="776"/>
      <c r="K97" s="764"/>
      <c r="L97" s="764"/>
      <c r="M97" s="764"/>
      <c r="N97" s="776"/>
      <c r="O97" s="764"/>
      <c r="P97" s="776"/>
      <c r="Q97" s="764"/>
      <c r="R97" s="776"/>
      <c r="S97" s="764"/>
      <c r="T97" s="776"/>
      <c r="U97" s="76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4"/>
        <v>SUM_CO2</v>
      </c>
      <c r="BB97" s="218" t="str">
        <f t="shared" si="5"/>
        <v>SUM_EnergyIN</v>
      </c>
      <c r="BD97" s="8"/>
    </row>
    <row r="98" spans="3:56" x14ac:dyDescent="0.25">
      <c r="C98" s="779">
        <v>75</v>
      </c>
      <c r="D98" s="775"/>
      <c r="E98" s="775"/>
      <c r="F98" s="776"/>
      <c r="G98" s="764"/>
      <c r="H98" s="776"/>
      <c r="I98" s="764"/>
      <c r="J98" s="776"/>
      <c r="K98" s="764"/>
      <c r="L98" s="764"/>
      <c r="M98" s="764"/>
      <c r="N98" s="776"/>
      <c r="O98" s="764"/>
      <c r="P98" s="776"/>
      <c r="Q98" s="764"/>
      <c r="R98" s="776"/>
      <c r="S98" s="764"/>
      <c r="T98" s="776"/>
      <c r="U98" s="76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4"/>
        <v>SUM_CO2</v>
      </c>
      <c r="BB98" s="218" t="str">
        <f t="shared" si="5"/>
        <v>SUM_EnergyIN</v>
      </c>
      <c r="BD98" s="8"/>
    </row>
    <row r="99" spans="3:56" x14ac:dyDescent="0.25">
      <c r="BD99" s="8"/>
    </row>
    <row r="100" spans="3:56" ht="50.1" customHeight="1" thickBot="1" x14ac:dyDescent="0.45">
      <c r="D100" s="196" t="str">
        <f>Translations!$B$339</f>
        <v>PFC Source Streams</v>
      </c>
      <c r="BD100" s="8"/>
    </row>
    <row r="101" spans="3:56" ht="50.1" customHeight="1" thickBot="1" x14ac:dyDescent="0.3">
      <c r="C101" s="197" t="s">
        <v>2540</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x14ac:dyDescent="0.25">
      <c r="C102" s="771" t="str">
        <f>Translations!$B$341</f>
        <v>Ex.</v>
      </c>
      <c r="D102" s="772" t="str">
        <f>Translations!$B$342</f>
        <v>PFC Emissions</v>
      </c>
      <c r="E102" s="772" t="str">
        <f>Translations!$B$343</f>
        <v>Centre Worked Pre-Bake (CWPB); Anode type A</v>
      </c>
      <c r="F102" s="773">
        <v>5000</v>
      </c>
      <c r="G102" s="275" t="s">
        <v>702</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x14ac:dyDescent="0.25">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6">EUconst_SumPFC</f>
        <v>SUM_PFC</v>
      </c>
      <c r="BB103" s="218" t="str">
        <f t="shared" ref="BB103:BB112" si="7">EUconst_SumEnergyIN</f>
        <v>SUM_EnergyIN</v>
      </c>
      <c r="BD103" s="8"/>
    </row>
    <row r="104" spans="3:56" x14ac:dyDescent="0.25">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6"/>
        <v>SUM_PFC</v>
      </c>
      <c r="BB104" s="218" t="str">
        <f t="shared" si="7"/>
        <v>SUM_EnergyIN</v>
      </c>
      <c r="BD104" s="8"/>
    </row>
    <row r="105" spans="3:56" x14ac:dyDescent="0.25">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6"/>
        <v>SUM_PFC</v>
      </c>
      <c r="BB105" s="218" t="str">
        <f t="shared" si="7"/>
        <v>SUM_EnergyIN</v>
      </c>
      <c r="BD105" s="8"/>
    </row>
    <row r="106" spans="3:56" x14ac:dyDescent="0.25">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6"/>
        <v>SUM_PFC</v>
      </c>
      <c r="BB106" s="218" t="str">
        <f t="shared" si="7"/>
        <v>SUM_EnergyIN</v>
      </c>
      <c r="BD106" s="8"/>
    </row>
    <row r="107" spans="3:56" x14ac:dyDescent="0.25">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6"/>
        <v>SUM_PFC</v>
      </c>
      <c r="BB107" s="218" t="str">
        <f t="shared" si="7"/>
        <v>SUM_EnergyIN</v>
      </c>
      <c r="BD107" s="8"/>
    </row>
    <row r="108" spans="3:56" x14ac:dyDescent="0.25">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6"/>
        <v>SUM_PFC</v>
      </c>
      <c r="BB108" s="218" t="str">
        <f t="shared" si="7"/>
        <v>SUM_EnergyIN</v>
      </c>
      <c r="BD108" s="8"/>
    </row>
    <row r="109" spans="3:56" x14ac:dyDescent="0.25">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6"/>
        <v>SUM_PFC</v>
      </c>
      <c r="BB109" s="218" t="str">
        <f t="shared" si="7"/>
        <v>SUM_EnergyIN</v>
      </c>
      <c r="BD109" s="8"/>
    </row>
    <row r="110" spans="3:56" x14ac:dyDescent="0.25">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6"/>
        <v>SUM_PFC</v>
      </c>
      <c r="BB110" s="218" t="str">
        <f t="shared" si="7"/>
        <v>SUM_EnergyIN</v>
      </c>
      <c r="BD110" s="8"/>
    </row>
    <row r="111" spans="3:56" x14ac:dyDescent="0.25">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6"/>
        <v>SUM_PFC</v>
      </c>
      <c r="BB111" s="218" t="str">
        <f t="shared" si="7"/>
        <v>SUM_EnergyIN</v>
      </c>
      <c r="BD111" s="8"/>
    </row>
    <row r="112" spans="3:56" x14ac:dyDescent="0.25">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6"/>
        <v>SUM_PFC</v>
      </c>
      <c r="BB112" s="218" t="str">
        <f t="shared" si="7"/>
        <v>SUM_EnergyIN</v>
      </c>
      <c r="BD112" s="8"/>
    </row>
    <row r="113" spans="3:56" x14ac:dyDescent="0.25">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x14ac:dyDescent="0.45">
      <c r="D114" s="196" t="str">
        <f>Translations!$B$344</f>
        <v>Emissions Sources (Measurement-Based Approaches)</v>
      </c>
      <c r="AF114" s="788"/>
      <c r="BD114" s="8"/>
    </row>
    <row r="115" spans="3:56" ht="50.1" customHeight="1" thickBot="1" x14ac:dyDescent="0.3">
      <c r="C115" s="197" t="s">
        <v>2540</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x14ac:dyDescent="0.25">
      <c r="C116" s="771" t="str">
        <f>Translations!$B$330</f>
        <v>Ex.1</v>
      </c>
      <c r="D116" s="772" t="s">
        <v>729</v>
      </c>
      <c r="E116" s="772" t="str">
        <f>Translations!$B$345</f>
        <v>Nitric acid line 1</v>
      </c>
      <c r="F116" s="780"/>
      <c r="G116" s="314"/>
      <c r="H116" s="780"/>
      <c r="I116" s="314"/>
      <c r="J116" s="780"/>
      <c r="K116" s="314"/>
      <c r="L116" s="314"/>
      <c r="M116" s="314"/>
      <c r="N116" s="780"/>
      <c r="O116" s="314"/>
      <c r="P116" s="780"/>
      <c r="Q116" s="314"/>
      <c r="R116" s="781">
        <v>0</v>
      </c>
      <c r="S116" s="275" t="s">
        <v>354</v>
      </c>
      <c r="T116" s="781">
        <v>0</v>
      </c>
      <c r="U116" s="275" t="s">
        <v>354</v>
      </c>
      <c r="V116" s="781">
        <v>64.292500000000004</v>
      </c>
      <c r="W116" s="275" t="s">
        <v>2546</v>
      </c>
      <c r="X116" s="781">
        <v>4</v>
      </c>
      <c r="Y116" s="275" t="str">
        <f>Translations!$B$346</f>
        <v>h/year</v>
      </c>
      <c r="Z116" s="781">
        <v>265</v>
      </c>
      <c r="AA116" s="275" t="str">
        <f>Translations!$B$347</f>
        <v>1000Nm3/h</v>
      </c>
      <c r="AB116" s="781">
        <v>1060</v>
      </c>
      <c r="AC116" s="275" t="str">
        <f>Translations!$B$348</f>
        <v>1000Nm3/year</v>
      </c>
      <c r="AD116" s="781">
        <v>68</v>
      </c>
      <c r="AE116" s="275" t="s">
        <v>702</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x14ac:dyDescent="0.25">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354</v>
      </c>
      <c r="T117" s="781">
        <v>0</v>
      </c>
      <c r="U117" s="275" t="s">
        <v>354</v>
      </c>
      <c r="V117" s="781">
        <v>1820</v>
      </c>
      <c r="W117" s="275" t="s">
        <v>2546</v>
      </c>
      <c r="X117" s="781">
        <v>5000</v>
      </c>
      <c r="Y117" s="275" t="str">
        <f>Translations!$B$346</f>
        <v>h/year</v>
      </c>
      <c r="Z117" s="781">
        <v>50</v>
      </c>
      <c r="AA117" s="275" t="str">
        <f>Translations!$B$347</f>
        <v>1000Nm3/h</v>
      </c>
      <c r="AB117" s="781">
        <v>250000</v>
      </c>
      <c r="AC117" s="275" t="str">
        <f>Translations!$B$348</f>
        <v>1000Nm3/year</v>
      </c>
      <c r="AD117" s="781">
        <v>455000</v>
      </c>
      <c r="AE117" s="275" t="s">
        <v>702</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x14ac:dyDescent="0.25">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8">IF(SUM(AF118)&gt;1,EUconst_SumN2O,IF(SUM(AU118:AV118)&lt;0,EUconst_SumTransferCO2,EUconst_SumCO2))</f>
        <v>SUM_CO2</v>
      </c>
      <c r="BB118" s="218" t="str">
        <f t="shared" ref="BB118:BB127" si="9">EUconst_SumEnergyIN</f>
        <v>SUM_EnergyIN</v>
      </c>
      <c r="BD118" s="8"/>
    </row>
    <row r="119" spans="3:56" x14ac:dyDescent="0.25">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8"/>
        <v>SUM_CO2</v>
      </c>
      <c r="BB119" s="218" t="str">
        <f t="shared" si="9"/>
        <v>SUM_EnergyIN</v>
      </c>
      <c r="BD119" s="8"/>
    </row>
    <row r="120" spans="3:56" x14ac:dyDescent="0.25">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8"/>
        <v>SUM_CO2</v>
      </c>
      <c r="BB120" s="218" t="str">
        <f t="shared" si="9"/>
        <v>SUM_EnergyIN</v>
      </c>
      <c r="BD120" s="8"/>
    </row>
    <row r="121" spans="3:56" x14ac:dyDescent="0.25">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8"/>
        <v>SUM_CO2</v>
      </c>
      <c r="BB121" s="218" t="str">
        <f t="shared" si="9"/>
        <v>SUM_EnergyIN</v>
      </c>
      <c r="BD121" s="8"/>
    </row>
    <row r="122" spans="3:56" x14ac:dyDescent="0.25">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8"/>
        <v>SUM_CO2</v>
      </c>
      <c r="BB122" s="218" t="str">
        <f t="shared" si="9"/>
        <v>SUM_EnergyIN</v>
      </c>
      <c r="BD122" s="8"/>
    </row>
    <row r="123" spans="3:56" x14ac:dyDescent="0.25">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8"/>
        <v>SUM_CO2</v>
      </c>
      <c r="BB123" s="218" t="str">
        <f t="shared" si="9"/>
        <v>SUM_EnergyIN</v>
      </c>
      <c r="BD123" s="8"/>
    </row>
    <row r="124" spans="3:56" x14ac:dyDescent="0.25">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8"/>
        <v>SUM_CO2</v>
      </c>
      <c r="BB124" s="218" t="str">
        <f t="shared" si="9"/>
        <v>SUM_EnergyIN</v>
      </c>
      <c r="BD124" s="8"/>
    </row>
    <row r="125" spans="3:56" x14ac:dyDescent="0.25">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8"/>
        <v>SUM_CO2</v>
      </c>
      <c r="BB125" s="218" t="str">
        <f t="shared" si="9"/>
        <v>SUM_EnergyIN</v>
      </c>
      <c r="BD125" s="8"/>
    </row>
    <row r="126" spans="3:56" x14ac:dyDescent="0.25">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8"/>
        <v>SUM_CO2</v>
      </c>
      <c r="BB126" s="218" t="str">
        <f t="shared" si="9"/>
        <v>SUM_EnergyIN</v>
      </c>
      <c r="BD126" s="8"/>
    </row>
    <row r="127" spans="3:56" x14ac:dyDescent="0.25">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8"/>
        <v>SUM_CO2</v>
      </c>
      <c r="BB127" s="218" t="str">
        <f t="shared" si="9"/>
        <v>SUM_EnergyIN</v>
      </c>
      <c r="BD127" s="8"/>
    </row>
    <row r="128" spans="3:56" x14ac:dyDescent="0.25">
      <c r="BD128" s="8"/>
    </row>
    <row r="129" spans="1:56" ht="50.1" customHeight="1" thickBot="1" x14ac:dyDescent="0.45">
      <c r="D129" s="196" t="str">
        <f>Translations!$B$271</f>
        <v>Fall-back</v>
      </c>
      <c r="BD129" s="8"/>
    </row>
    <row r="130" spans="1:56" ht="50.1" customHeight="1" thickBot="1" x14ac:dyDescent="0.3">
      <c r="C130" s="197" t="s">
        <v>2540</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x14ac:dyDescent="0.25">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x14ac:dyDescent="0.25">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x14ac:dyDescent="0.25">
      <c r="AZ133" s="753"/>
      <c r="BD133" s="8"/>
    </row>
    <row r="134" spans="1:56" s="145" customFormat="1" hidden="1" x14ac:dyDescent="0.25">
      <c r="A134" s="145" t="s">
        <v>187</v>
      </c>
      <c r="B134" s="145" t="s">
        <v>287</v>
      </c>
      <c r="C134" s="145" t="s">
        <v>287</v>
      </c>
      <c r="D134" s="145" t="s">
        <v>287</v>
      </c>
      <c r="E134" s="145" t="s">
        <v>287</v>
      </c>
      <c r="F134" s="145" t="s">
        <v>287</v>
      </c>
      <c r="G134" s="145" t="s">
        <v>287</v>
      </c>
      <c r="H134" s="145" t="s">
        <v>287</v>
      </c>
      <c r="I134" s="145" t="s">
        <v>287</v>
      </c>
      <c r="J134" s="145" t="s">
        <v>287</v>
      </c>
      <c r="K134" s="145" t="s">
        <v>287</v>
      </c>
      <c r="L134" s="145" t="s">
        <v>287</v>
      </c>
      <c r="M134" s="145" t="s">
        <v>287</v>
      </c>
      <c r="N134" s="145" t="s">
        <v>287</v>
      </c>
      <c r="O134" s="145" t="s">
        <v>287</v>
      </c>
      <c r="P134" s="145" t="s">
        <v>287</v>
      </c>
      <c r="Q134" s="145" t="s">
        <v>287</v>
      </c>
      <c r="R134" s="145" t="s">
        <v>287</v>
      </c>
      <c r="S134" s="145" t="s">
        <v>287</v>
      </c>
      <c r="T134" s="145" t="s">
        <v>287</v>
      </c>
      <c r="U134" s="145" t="s">
        <v>287</v>
      </c>
      <c r="V134" s="145" t="s">
        <v>287</v>
      </c>
      <c r="W134" s="145" t="s">
        <v>287</v>
      </c>
      <c r="X134" s="145" t="s">
        <v>287</v>
      </c>
      <c r="Y134" s="145" t="s">
        <v>287</v>
      </c>
      <c r="Z134" s="145" t="s">
        <v>287</v>
      </c>
      <c r="AA134" s="145" t="s">
        <v>287</v>
      </c>
      <c r="AB134" s="145" t="s">
        <v>287</v>
      </c>
      <c r="AC134" s="145" t="s">
        <v>287</v>
      </c>
      <c r="AD134" s="145" t="s">
        <v>287</v>
      </c>
      <c r="AE134" s="145" t="s">
        <v>287</v>
      </c>
      <c r="AF134" s="145" t="s">
        <v>287</v>
      </c>
      <c r="AG134" s="145" t="s">
        <v>287</v>
      </c>
      <c r="AH134" s="145" t="s">
        <v>287</v>
      </c>
      <c r="AI134" s="145" t="s">
        <v>287</v>
      </c>
      <c r="AJ134" s="145" t="s">
        <v>287</v>
      </c>
      <c r="AK134" s="145" t="s">
        <v>287</v>
      </c>
      <c r="AL134" s="145" t="s">
        <v>287</v>
      </c>
      <c r="AM134" s="145" t="s">
        <v>287</v>
      </c>
      <c r="AN134" s="145" t="s">
        <v>287</v>
      </c>
      <c r="AO134" s="145" t="s">
        <v>287</v>
      </c>
      <c r="AP134" s="145" t="s">
        <v>287</v>
      </c>
      <c r="AQ134" s="145" t="s">
        <v>287</v>
      </c>
      <c r="AR134" s="145" t="s">
        <v>287</v>
      </c>
      <c r="AS134" s="145" t="s">
        <v>287</v>
      </c>
      <c r="AT134" s="145" t="s">
        <v>287</v>
      </c>
      <c r="AU134" s="145" t="s">
        <v>287</v>
      </c>
      <c r="AV134" s="145" t="s">
        <v>287</v>
      </c>
      <c r="AW134" s="145" t="s">
        <v>287</v>
      </c>
      <c r="AX134" s="145" t="s">
        <v>287</v>
      </c>
      <c r="AY134" s="145" t="s">
        <v>287</v>
      </c>
      <c r="AZ134" s="145" t="s">
        <v>287</v>
      </c>
      <c r="BA134" s="145" t="s">
        <v>287</v>
      </c>
      <c r="BB134" s="145" t="s">
        <v>287</v>
      </c>
      <c r="BC134" s="150"/>
    </row>
    <row r="135" spans="1:56" hidden="1" x14ac:dyDescent="0.25">
      <c r="C135" s="8"/>
      <c r="BD135" s="8"/>
    </row>
  </sheetData>
  <sheetProtection algorithmName="SHA-512" hashValue="nESLPBY3fOwFHADfkq1BjzAfZnI4RSHlp3kP7m65AzAFqMm0XSsyyPsKjRbxdhpBEE8xpIJ+W9ZjsVrNbZZZZA==" saltValue="lvIACPvFZMwcJHuJEWcsmA==" spinCount="100000"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98 AU24:AY98 D103:G112 AG103:AY112 D118:E127 R118:AF127 AU118:AY127 AU132:AY132">
    <cfRule type="expression" dxfId="4" priority="3" stopIfTrue="1">
      <formula>MSconst_AllowInstEmmisionTotals</formula>
    </cfRule>
  </conditionalFormatting>
  <hyperlinks>
    <hyperlink ref="F2:G2" location="JUMP_TOC_Home" display="Table of contents" xr:uid="{1FBDA5DA-B814-4BFB-A6DC-A83E64719D96}"/>
    <hyperlink ref="L2:M2" location="JUMP_K_I" display="Summary" xr:uid="{CA78FCF6-899A-4414-82EC-50FA984A5D65}"/>
    <hyperlink ref="J2:K2" location="JUMP_BY2_Top" display="JUMP_BY2_Top" xr:uid="{CDDC2B9F-D607-4D25-A026-DFB8D43B23ED}"/>
    <hyperlink ref="E3" location="JUMP_B_I" display="JUMP_B_I" xr:uid="{F7BBF9E3-6952-4B1F-A69E-494032A45005}"/>
    <hyperlink ref="H2:I2" location="K_Summary!C6" display="K_Summary!C6" xr:uid="{48A8048F-CEB1-4BCE-8D0E-4E382D6C061F}"/>
    <hyperlink ref="F3:G3" location="JUMP_BY1_Source" display="Source streams (excl. PFC)" xr:uid="{C7C6B45C-C030-4986-B851-1F18F2FFC514}"/>
    <hyperlink ref="H3:I3" location="JUMP_BY1_PFC" display="PFC source streams" xr:uid="{DBCAED1A-1652-4827-8286-4CBA28322F1B}"/>
    <hyperlink ref="J3:K3" location="JUMP_BY1_Emissions" display="Emission Sources (CEMS)" xr:uid="{4B6FAC6B-73CF-46D4-AA11-AE32102D53A7}"/>
    <hyperlink ref="L3:M3" location="JUMP_BY1_Fallback" display="Fall-back" xr:uid="{6F319B09-CE65-4975-AAF5-57B43575D36A}"/>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9E6B1-9D5F-43A0-87E0-C1C8E25DFE14}">
  <sheetPr codeName="Tabelle4">
    <tabColor rgb="FFCCFFCC"/>
    <pageSetUpPr fitToPage="1"/>
  </sheetPr>
  <dimension ref="A1:BD136"/>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3.44140625" style="190" hidden="1" customWidth="1"/>
    <col min="2" max="2" width="3.44140625" style="8" customWidth="1"/>
    <col min="3" max="3" width="6.109375" style="202" customWidth="1"/>
    <col min="4" max="4" width="21.5546875" style="8" bestFit="1" customWidth="1"/>
    <col min="5" max="5" width="35.6640625" style="8" customWidth="1"/>
    <col min="6" max="6" width="15.6640625" style="8" customWidth="1"/>
    <col min="7" max="51" width="12.6640625" style="8" customWidth="1"/>
    <col min="52" max="52" width="9.109375" style="8" customWidth="1"/>
    <col min="53" max="55" width="11.44140625" style="190" hidden="1" customWidth="1"/>
    <col min="56" max="16384" width="11.44140625" style="753" hidden="1"/>
  </cols>
  <sheetData>
    <row r="1" spans="1:56" ht="13.8" hidden="1" thickBot="1" x14ac:dyDescent="0.3">
      <c r="A1" s="190" t="s">
        <v>187</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187</v>
      </c>
      <c r="BB1" s="190" t="s">
        <v>187</v>
      </c>
      <c r="BC1" s="190" t="s">
        <v>187</v>
      </c>
      <c r="BD1" s="8"/>
    </row>
    <row r="2" spans="1:56" ht="13.5" customHeight="1" thickBot="1" x14ac:dyDescent="0.3">
      <c r="B2" s="1282" t="str">
        <f>Translations!$B$267</f>
        <v>B+C Annual Emissions Data</v>
      </c>
      <c r="C2" s="1779"/>
      <c r="D2" s="1780"/>
      <c r="E2" s="320" t="str">
        <f>Translations!$B$2</f>
        <v>Navigation area:</v>
      </c>
      <c r="F2" s="1291" t="str">
        <f>Translations!$B$18</f>
        <v>Table of contents</v>
      </c>
      <c r="G2" s="1147"/>
      <c r="H2" s="1147" t="str">
        <f>Translations!$B$19</f>
        <v>Previous sheet</v>
      </c>
      <c r="I2" s="1797"/>
      <c r="J2" s="1147" t="str">
        <f>Translations!$B$3</f>
        <v>Next sheet</v>
      </c>
      <c r="K2" s="1797"/>
      <c r="L2" s="1147" t="str">
        <f>Translations!$B$4</f>
        <v>Summary</v>
      </c>
      <c r="M2" s="1797"/>
      <c r="BA2" s="767" t="s">
        <v>2533</v>
      </c>
      <c r="BB2" s="768">
        <v>2</v>
      </c>
      <c r="BD2" s="8"/>
    </row>
    <row r="3" spans="1:56" ht="13.8" thickBot="1" x14ac:dyDescent="0.3">
      <c r="B3" s="1781"/>
      <c r="C3" s="1782"/>
      <c r="D3" s="1783"/>
      <c r="E3" s="482" t="str">
        <f>Translations!$B$5</f>
        <v>Top of sheet</v>
      </c>
      <c r="F3" s="1792" t="str">
        <f>Translations!$B$268</f>
        <v>Source streams (excl. PFC)</v>
      </c>
      <c r="G3" s="1278"/>
      <c r="H3" s="1278" t="str">
        <f>Translations!$B$269</f>
        <v>PFC source streams</v>
      </c>
      <c r="I3" s="1278"/>
      <c r="J3" s="1278" t="str">
        <f>Translations!$B$270</f>
        <v>Emission Sources (CEMS)</v>
      </c>
      <c r="K3" s="1278"/>
      <c r="L3" s="1278" t="str">
        <f>Translations!$B$271</f>
        <v>Fall-back</v>
      </c>
      <c r="M3" s="1793"/>
      <c r="BA3" s="767" t="s">
        <v>2534</v>
      </c>
      <c r="BB3" s="234">
        <f>INDEX(EUconst_ReportingYears,BB2)+(IF(CNTR_BaselinePeriod=EUconst_NA,0,CNTR_BaselinePeriod-1)*5)</f>
        <v>2020</v>
      </c>
      <c r="BD3" s="8"/>
    </row>
    <row r="4" spans="1:56" ht="13.8" thickBot="1" x14ac:dyDescent="0.3">
      <c r="B4" s="1784">
        <f>BB3</f>
        <v>2020</v>
      </c>
      <c r="C4" s="1785"/>
      <c r="D4" s="1786"/>
      <c r="E4" s="321"/>
      <c r="F4" s="1788"/>
      <c r="G4" s="1798"/>
      <c r="H4" s="1790"/>
      <c r="I4" s="1790"/>
      <c r="J4" s="1790"/>
      <c r="K4" s="1790"/>
      <c r="L4" s="1790"/>
      <c r="M4" s="1796"/>
      <c r="N4" s="202">
        <f>$B$4</f>
        <v>2020</v>
      </c>
      <c r="P4" s="202">
        <f>$B$4</f>
        <v>2020</v>
      </c>
      <c r="R4" s="202">
        <f>$B$4</f>
        <v>2020</v>
      </c>
      <c r="T4" s="202">
        <f>$B$4</f>
        <v>2020</v>
      </c>
      <c r="V4" s="202">
        <f>$B$4</f>
        <v>2020</v>
      </c>
      <c r="X4" s="202">
        <f>$B$4</f>
        <v>2020</v>
      </c>
      <c r="Z4" s="202">
        <f>$B$4</f>
        <v>2020</v>
      </c>
      <c r="AB4" s="202">
        <f>$B$4</f>
        <v>2020</v>
      </c>
      <c r="AD4" s="202">
        <f>$B$4</f>
        <v>2020</v>
      </c>
      <c r="AF4" s="202">
        <f>$B$4</f>
        <v>2020</v>
      </c>
      <c r="AH4" s="202">
        <f>$B$4</f>
        <v>2020</v>
      </c>
      <c r="AJ4" s="202">
        <f>$B$4</f>
        <v>2020</v>
      </c>
      <c r="AL4" s="202">
        <f>$B$4</f>
        <v>2020</v>
      </c>
      <c r="AN4" s="202">
        <f>$B$4</f>
        <v>2020</v>
      </c>
      <c r="AP4" s="202">
        <f>$B$4</f>
        <v>2020</v>
      </c>
      <c r="AR4" s="202">
        <f>$B$4</f>
        <v>2020</v>
      </c>
      <c r="AT4" s="202">
        <f>$B$4</f>
        <v>2020</v>
      </c>
      <c r="AV4" s="202">
        <f>$B$4</f>
        <v>2020</v>
      </c>
      <c r="AX4" s="202">
        <f>$B$4</f>
        <v>2020</v>
      </c>
      <c r="BB4" s="769"/>
      <c r="BD4" s="8"/>
    </row>
    <row r="5" spans="1:56" x14ac:dyDescent="0.25">
      <c r="C5" s="6"/>
      <c r="F5" s="202"/>
      <c r="G5" s="202"/>
      <c r="H5" s="202"/>
      <c r="BB5" s="769"/>
      <c r="BD5" s="8"/>
    </row>
    <row r="6" spans="1:56" ht="53.4" customHeight="1" x14ac:dyDescent="0.25">
      <c r="C6" s="10" t="s">
        <v>2547</v>
      </c>
      <c r="D6" s="1794" t="s">
        <v>2535</v>
      </c>
      <c r="E6" s="1794"/>
      <c r="F6" s="1794"/>
      <c r="G6" s="1794"/>
      <c r="H6" s="1794"/>
      <c r="I6" s="1795"/>
      <c r="J6" s="1787">
        <f>B4</f>
        <v>2020</v>
      </c>
      <c r="K6" s="1787"/>
      <c r="N6" s="625"/>
      <c r="BA6" s="11" t="s">
        <v>188</v>
      </c>
      <c r="BB6" s="11" t="s">
        <v>188</v>
      </c>
      <c r="BD6" s="8"/>
    </row>
    <row r="7" spans="1:56" x14ac:dyDescent="0.25">
      <c r="C7" s="8"/>
      <c r="BA7" s="12" t="s">
        <v>189</v>
      </c>
      <c r="BB7" s="12" t="s">
        <v>189</v>
      </c>
      <c r="BD7" s="8"/>
    </row>
    <row r="8" spans="1:56" s="276" customFormat="1" ht="15.6" x14ac:dyDescent="0.3">
      <c r="A8" s="145"/>
      <c r="B8" s="8"/>
      <c r="C8" s="13" t="s">
        <v>3</v>
      </c>
      <c r="D8" s="1791" t="str">
        <f>Translations!$B$273</f>
        <v>General guidance for source stream data</v>
      </c>
      <c r="E8" s="1791"/>
      <c r="F8" s="1791"/>
      <c r="G8" s="1791"/>
      <c r="H8" s="1791"/>
      <c r="I8" s="1791"/>
      <c r="J8" s="1791"/>
      <c r="K8" s="1791"/>
      <c r="L8" s="1791"/>
      <c r="M8" s="1791"/>
      <c r="N8" s="179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x14ac:dyDescent="0.25">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x14ac:dyDescent="0.25">
      <c r="A10" s="145"/>
      <c r="B10" s="8"/>
      <c r="C10" s="15"/>
      <c r="D10" s="1208" t="s">
        <v>2536</v>
      </c>
      <c r="E10" s="1208"/>
      <c r="F10" s="1208"/>
      <c r="G10" s="1208"/>
      <c r="H10" s="1208"/>
      <c r="I10" s="1433"/>
      <c r="J10" s="1777" t="b">
        <f>NOT(MSconst_AllowInstEmmisionTotals)</f>
        <v>0</v>
      </c>
      <c r="K10" s="177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x14ac:dyDescent="0.25">
      <c r="A11" s="145"/>
      <c r="B11" s="17"/>
      <c r="C11" s="17"/>
      <c r="D11" s="1314" t="str">
        <f>Translations!$B$275</f>
        <v>If this is set to "false", entries here are optional and only provide annual total emissions in section D.I.</v>
      </c>
      <c r="E11" s="1314"/>
      <c r="F11" s="1314"/>
      <c r="G11" s="1314"/>
      <c r="H11" s="1314"/>
      <c r="I11" s="1314"/>
      <c r="J11" s="1314"/>
      <c r="K11" s="1314"/>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x14ac:dyDescent="0.25">
      <c r="A12" s="145"/>
      <c r="B12" s="17"/>
      <c r="C12" s="17"/>
      <c r="D12" s="1799" t="str">
        <f>IF(MSconst_AllowInstEmmisionTotals,HYPERLINK(BB12,EUconst_ERR_Goto_DI2),"")</f>
        <v>Please go on with entering emission totals in section D.I.2 in sheet 'D_Emissions'!</v>
      </c>
      <c r="E12" s="1799"/>
      <c r="F12" s="1799"/>
      <c r="G12" s="1799"/>
      <c r="H12" s="1799"/>
      <c r="I12" s="1799"/>
      <c r="J12" s="1799"/>
      <c r="K12" s="179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334</v>
      </c>
      <c r="BB12" s="372" t="str">
        <f>"#JUMP_D_I"</f>
        <v>#JUMP_D_I</v>
      </c>
      <c r="BC12" s="190"/>
      <c r="BD12" s="8"/>
    </row>
    <row r="13" spans="1:56" s="276" customFormat="1" x14ac:dyDescent="0.2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x14ac:dyDescent="0.3">
      <c r="A14" s="145"/>
      <c r="B14" s="8"/>
      <c r="C14" s="13" t="s">
        <v>4</v>
      </c>
      <c r="D14" s="1175" t="s">
        <v>2537</v>
      </c>
      <c r="E14" s="1175"/>
      <c r="F14" s="1175"/>
      <c r="G14" s="1175"/>
      <c r="H14" s="1175"/>
      <c r="I14" s="1175"/>
      <c r="J14" s="1175"/>
      <c r="K14" s="1175"/>
      <c r="L14" s="1175"/>
      <c r="M14" s="1175"/>
      <c r="N14" s="117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x14ac:dyDescent="0.25">
      <c r="A15" s="145"/>
      <c r="B15" s="17"/>
      <c r="C15" s="17"/>
      <c r="D15" s="1314" t="str">
        <f>Translations!$B$277</f>
        <v>The tables below are identical to sheet "Accounting" in the Annual Emissions Report template provided by the Commission.</v>
      </c>
      <c r="E15" s="1314"/>
      <c r="F15" s="1314"/>
      <c r="G15" s="1314"/>
      <c r="H15" s="1314"/>
      <c r="I15" s="1314"/>
      <c r="J15" s="1314"/>
      <c r="K15" s="1314"/>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x14ac:dyDescent="0.25">
      <c r="A16" s="145"/>
      <c r="B16" s="17"/>
      <c r="C16" s="17"/>
      <c r="D16" s="1314" t="str">
        <f>Translations!$B$278</f>
        <v>You can therefore copy data for each table from the Annual Emissions Report template without further entries and also find further guidance there.</v>
      </c>
      <c r="E16" s="1314"/>
      <c r="F16" s="1314"/>
      <c r="G16" s="1314"/>
      <c r="H16" s="1314"/>
      <c r="I16" s="1314"/>
      <c r="J16" s="1314"/>
      <c r="K16" s="1314"/>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x14ac:dyDescent="0.25">
      <c r="A17" s="145"/>
      <c r="B17" s="17"/>
      <c r="C17" s="17"/>
      <c r="D17" s="1314" t="s">
        <v>2538</v>
      </c>
      <c r="E17" s="1314"/>
      <c r="F17" s="1314"/>
      <c r="G17" s="1314"/>
      <c r="H17" s="1314"/>
      <c r="I17" s="1314"/>
      <c r="J17" s="1314"/>
      <c r="K17" s="131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x14ac:dyDescent="0.25">
      <c r="A18" s="145"/>
      <c r="B18" s="17"/>
      <c r="C18" s="17"/>
      <c r="D18" s="1778" t="s">
        <v>2539</v>
      </c>
      <c r="E18" s="1778"/>
      <c r="F18" s="1778"/>
      <c r="G18" s="1778"/>
      <c r="H18" s="1778"/>
      <c r="I18" s="1778"/>
      <c r="J18" s="1778"/>
      <c r="K18" s="177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x14ac:dyDescent="0.45">
      <c r="D19" s="196" t="str">
        <f>Translations!$B$281</f>
        <v>Source Streams (excluding PFC emissions)</v>
      </c>
      <c r="BD19" s="8"/>
    </row>
    <row r="20" spans="1:56" ht="50.1" customHeight="1" thickBot="1" x14ac:dyDescent="0.3">
      <c r="C20" s="197" t="s">
        <v>2540</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x14ac:dyDescent="0.25">
      <c r="C21" s="771" t="str">
        <f>Translations!$B$330</f>
        <v>Ex.1</v>
      </c>
      <c r="D21" s="772" t="str">
        <f>Translations!$B$331</f>
        <v>Combustion</v>
      </c>
      <c r="E21" s="772" t="str">
        <f>Translations!$B$332</f>
        <v>Heavy fuel oil</v>
      </c>
      <c r="F21" s="773">
        <v>252000</v>
      </c>
      <c r="G21" s="275" t="s">
        <v>702</v>
      </c>
      <c r="H21" s="773">
        <v>45</v>
      </c>
      <c r="I21" s="275" t="s">
        <v>2541</v>
      </c>
      <c r="J21" s="773">
        <v>73</v>
      </c>
      <c r="K21" s="275" t="s">
        <v>2542</v>
      </c>
      <c r="L21" s="275"/>
      <c r="M21" s="275" t="s">
        <v>2543</v>
      </c>
      <c r="N21" s="773">
        <v>100</v>
      </c>
      <c r="O21" s="275" t="s">
        <v>354</v>
      </c>
      <c r="P21" s="773"/>
      <c r="Q21" s="275" t="s">
        <v>354</v>
      </c>
      <c r="R21" s="773">
        <v>0</v>
      </c>
      <c r="S21" s="275" t="s">
        <v>354</v>
      </c>
      <c r="T21" s="773">
        <v>0</v>
      </c>
      <c r="U21" s="275" t="s">
        <v>354</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x14ac:dyDescent="0.25">
      <c r="C22" s="771" t="str">
        <f>Translations!$B$333</f>
        <v>Ex.2</v>
      </c>
      <c r="D22" s="772" t="str">
        <f>Translations!$B$334</f>
        <v>Process Emissions</v>
      </c>
      <c r="E22" s="772" t="str">
        <f>Translations!$B$335</f>
        <v>Clay</v>
      </c>
      <c r="F22" s="773">
        <v>121000</v>
      </c>
      <c r="G22" s="275" t="s">
        <v>702</v>
      </c>
      <c r="H22" s="773"/>
      <c r="I22" s="275" t="s">
        <v>2543</v>
      </c>
      <c r="J22" s="773">
        <v>8.7940000000000004E-2</v>
      </c>
      <c r="K22" s="275" t="s">
        <v>2544</v>
      </c>
      <c r="L22" s="275"/>
      <c r="M22" s="275" t="s">
        <v>2543</v>
      </c>
      <c r="N22" s="773"/>
      <c r="O22" s="275" t="s">
        <v>354</v>
      </c>
      <c r="P22" s="773"/>
      <c r="Q22" s="275" t="s">
        <v>354</v>
      </c>
      <c r="R22" s="773">
        <v>0</v>
      </c>
      <c r="S22" s="275" t="s">
        <v>354</v>
      </c>
      <c r="T22" s="773">
        <v>0</v>
      </c>
      <c r="U22" s="275" t="s">
        <v>354</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x14ac:dyDescent="0.25">
      <c r="C23" s="771" t="str">
        <f>Translations!$B$336</f>
        <v>Ex.3</v>
      </c>
      <c r="D23" s="772" t="str">
        <f>Translations!$B$337</f>
        <v>Mass balance</v>
      </c>
      <c r="E23" s="772" t="str">
        <f>Translations!$B$338</f>
        <v>Steel</v>
      </c>
      <c r="F23" s="773">
        <v>-1808226</v>
      </c>
      <c r="G23" s="275" t="s">
        <v>702</v>
      </c>
      <c r="H23" s="773"/>
      <c r="I23" s="275" t="s">
        <v>2543</v>
      </c>
      <c r="J23" s="773">
        <v>0</v>
      </c>
      <c r="K23" s="275" t="s">
        <v>2543</v>
      </c>
      <c r="L23" s="275">
        <v>0.38779999999999998</v>
      </c>
      <c r="M23" s="275" t="s">
        <v>2545</v>
      </c>
      <c r="N23" s="773"/>
      <c r="O23" s="275" t="s">
        <v>354</v>
      </c>
      <c r="P23" s="773">
        <v>100</v>
      </c>
      <c r="Q23" s="275" t="s">
        <v>354</v>
      </c>
      <c r="R23" s="773">
        <v>0</v>
      </c>
      <c r="S23" s="275" t="s">
        <v>354</v>
      </c>
      <c r="T23" s="773">
        <v>0</v>
      </c>
      <c r="U23" s="275" t="s">
        <v>354</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x14ac:dyDescent="0.25">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x14ac:dyDescent="0.25">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x14ac:dyDescent="0.25">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x14ac:dyDescent="0.25">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x14ac:dyDescent="0.25">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x14ac:dyDescent="0.25">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x14ac:dyDescent="0.25">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x14ac:dyDescent="0.25">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x14ac:dyDescent="0.25">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x14ac:dyDescent="0.25">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x14ac:dyDescent="0.25">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x14ac:dyDescent="0.25">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x14ac:dyDescent="0.25">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x14ac:dyDescent="0.25">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x14ac:dyDescent="0.25">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x14ac:dyDescent="0.25">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x14ac:dyDescent="0.25">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x14ac:dyDescent="0.25">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x14ac:dyDescent="0.25">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x14ac:dyDescent="0.25">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x14ac:dyDescent="0.25">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x14ac:dyDescent="0.25">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x14ac:dyDescent="0.25">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x14ac:dyDescent="0.25">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x14ac:dyDescent="0.25">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x14ac:dyDescent="0.25">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x14ac:dyDescent="0.25">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x14ac:dyDescent="0.25">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x14ac:dyDescent="0.25">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x14ac:dyDescent="0.25">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x14ac:dyDescent="0.25">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x14ac:dyDescent="0.25">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x14ac:dyDescent="0.25">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x14ac:dyDescent="0.25">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x14ac:dyDescent="0.25">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x14ac:dyDescent="0.25">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x14ac:dyDescent="0.25">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x14ac:dyDescent="0.25">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x14ac:dyDescent="0.25">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x14ac:dyDescent="0.25">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x14ac:dyDescent="0.25">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x14ac:dyDescent="0.25">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x14ac:dyDescent="0.25">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x14ac:dyDescent="0.25">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x14ac:dyDescent="0.25">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x14ac:dyDescent="0.25">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x14ac:dyDescent="0.25">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x14ac:dyDescent="0.25">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x14ac:dyDescent="0.25">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x14ac:dyDescent="0.25">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x14ac:dyDescent="0.25">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x14ac:dyDescent="0.25">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x14ac:dyDescent="0.25">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x14ac:dyDescent="0.25">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x14ac:dyDescent="0.25">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x14ac:dyDescent="0.25">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x14ac:dyDescent="0.25">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x14ac:dyDescent="0.25">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x14ac:dyDescent="0.25">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x14ac:dyDescent="0.25">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x14ac:dyDescent="0.25">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x14ac:dyDescent="0.25">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x14ac:dyDescent="0.25">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x14ac:dyDescent="0.25">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x14ac:dyDescent="0.25">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x14ac:dyDescent="0.25">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x14ac:dyDescent="0.25">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x14ac:dyDescent="0.25">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x14ac:dyDescent="0.25">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x14ac:dyDescent="0.25">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x14ac:dyDescent="0.25">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x14ac:dyDescent="0.25">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x14ac:dyDescent="0.25">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x14ac:dyDescent="0.25">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x14ac:dyDescent="0.25">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x14ac:dyDescent="0.25">
      <c r="BD99" s="8"/>
    </row>
    <row r="100" spans="3:56" ht="50.1" customHeight="1" thickBot="1" x14ac:dyDescent="0.45">
      <c r="D100" s="196" t="str">
        <f>Translations!$B$339</f>
        <v>PFC Source Streams</v>
      </c>
      <c r="BD100" s="8"/>
    </row>
    <row r="101" spans="3:56" ht="50.1" customHeight="1" thickBot="1" x14ac:dyDescent="0.3">
      <c r="C101" s="197" t="s">
        <v>2540</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x14ac:dyDescent="0.25">
      <c r="C102" s="771" t="str">
        <f>Translations!$B$341</f>
        <v>Ex.</v>
      </c>
      <c r="D102" s="772" t="str">
        <f>Translations!$B$342</f>
        <v>PFC Emissions</v>
      </c>
      <c r="E102" s="772" t="str">
        <f>Translations!$B$343</f>
        <v>Centre Worked Pre-Bake (CWPB); Anode type A</v>
      </c>
      <c r="F102" s="773">
        <v>5000</v>
      </c>
      <c r="G102" s="275" t="s">
        <v>702</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x14ac:dyDescent="0.25">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x14ac:dyDescent="0.25">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x14ac:dyDescent="0.25">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x14ac:dyDescent="0.25">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x14ac:dyDescent="0.25">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x14ac:dyDescent="0.25">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x14ac:dyDescent="0.25">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x14ac:dyDescent="0.25">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x14ac:dyDescent="0.25">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x14ac:dyDescent="0.25">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x14ac:dyDescent="0.25">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x14ac:dyDescent="0.45">
      <c r="D114" s="196" t="str">
        <f>Translations!$B$344</f>
        <v>Emissions Sources (Measurement-Based Approaches)</v>
      </c>
      <c r="AF114" s="788"/>
      <c r="BD114" s="8"/>
    </row>
    <row r="115" spans="3:56" ht="50.1" customHeight="1" thickBot="1" x14ac:dyDescent="0.3">
      <c r="C115" s="197" t="s">
        <v>2540</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x14ac:dyDescent="0.25">
      <c r="C116" s="771" t="str">
        <f>Translations!$B$330</f>
        <v>Ex.1</v>
      </c>
      <c r="D116" s="772" t="s">
        <v>729</v>
      </c>
      <c r="E116" s="772" t="str">
        <f>Translations!$B$345</f>
        <v>Nitric acid line 1</v>
      </c>
      <c r="F116" s="780"/>
      <c r="G116" s="314"/>
      <c r="H116" s="780"/>
      <c r="I116" s="314"/>
      <c r="J116" s="780"/>
      <c r="K116" s="314"/>
      <c r="L116" s="314"/>
      <c r="M116" s="314"/>
      <c r="N116" s="780"/>
      <c r="O116" s="314"/>
      <c r="P116" s="780"/>
      <c r="Q116" s="314"/>
      <c r="R116" s="781">
        <v>0</v>
      </c>
      <c r="S116" s="275" t="s">
        <v>354</v>
      </c>
      <c r="T116" s="781">
        <v>0</v>
      </c>
      <c r="U116" s="275" t="s">
        <v>354</v>
      </c>
      <c r="V116" s="781">
        <v>64.292500000000004</v>
      </c>
      <c r="W116" s="275" t="s">
        <v>2546</v>
      </c>
      <c r="X116" s="781">
        <v>4</v>
      </c>
      <c r="Y116" s="275" t="str">
        <f>Translations!$B$346</f>
        <v>h/year</v>
      </c>
      <c r="Z116" s="781">
        <v>265</v>
      </c>
      <c r="AA116" s="275" t="str">
        <f>Translations!$B$347</f>
        <v>1000Nm3/h</v>
      </c>
      <c r="AB116" s="781">
        <v>1060</v>
      </c>
      <c r="AC116" s="275" t="str">
        <f>Translations!$B$348</f>
        <v>1000Nm3/year</v>
      </c>
      <c r="AD116" s="781">
        <v>68</v>
      </c>
      <c r="AE116" s="275" t="s">
        <v>702</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x14ac:dyDescent="0.25">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354</v>
      </c>
      <c r="T117" s="781">
        <v>0</v>
      </c>
      <c r="U117" s="275" t="s">
        <v>354</v>
      </c>
      <c r="V117" s="781">
        <v>1820</v>
      </c>
      <c r="W117" s="275" t="s">
        <v>2546</v>
      </c>
      <c r="X117" s="781">
        <v>5000</v>
      </c>
      <c r="Y117" s="275" t="str">
        <f>Translations!$B$346</f>
        <v>h/year</v>
      </c>
      <c r="Z117" s="781">
        <v>50</v>
      </c>
      <c r="AA117" s="275" t="str">
        <f>Translations!$B$347</f>
        <v>1000Nm3/h</v>
      </c>
      <c r="AB117" s="781">
        <v>250000</v>
      </c>
      <c r="AC117" s="275" t="str">
        <f>Translations!$B$348</f>
        <v>1000Nm3/year</v>
      </c>
      <c r="AD117" s="781">
        <v>455000</v>
      </c>
      <c r="AE117" s="275" t="s">
        <v>702</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x14ac:dyDescent="0.25">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x14ac:dyDescent="0.25">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x14ac:dyDescent="0.25">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x14ac:dyDescent="0.25">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x14ac:dyDescent="0.25">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x14ac:dyDescent="0.25">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x14ac:dyDescent="0.25">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x14ac:dyDescent="0.25">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x14ac:dyDescent="0.25">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x14ac:dyDescent="0.25">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x14ac:dyDescent="0.25">
      <c r="BD128" s="8"/>
    </row>
    <row r="129" spans="1:56" ht="50.1" customHeight="1" thickBot="1" x14ac:dyDescent="0.45">
      <c r="D129" s="196" t="str">
        <f>Translations!$B$271</f>
        <v>Fall-back</v>
      </c>
      <c r="BD129" s="8"/>
    </row>
    <row r="130" spans="1:56" ht="50.1" customHeight="1" thickBot="1" x14ac:dyDescent="0.3">
      <c r="C130" s="197" t="s">
        <v>2540</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x14ac:dyDescent="0.25">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x14ac:dyDescent="0.25">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x14ac:dyDescent="0.25">
      <c r="AZ133" s="753"/>
      <c r="BD133" s="8"/>
    </row>
    <row r="134" spans="1:56" s="145" customFormat="1" hidden="1" x14ac:dyDescent="0.25">
      <c r="A134" s="145" t="s">
        <v>187</v>
      </c>
      <c r="B134" s="145" t="s">
        <v>287</v>
      </c>
      <c r="C134" s="145" t="s">
        <v>287</v>
      </c>
      <c r="D134" s="145" t="s">
        <v>287</v>
      </c>
      <c r="E134" s="145" t="s">
        <v>287</v>
      </c>
      <c r="F134" s="145" t="s">
        <v>287</v>
      </c>
      <c r="G134" s="145" t="s">
        <v>287</v>
      </c>
      <c r="H134" s="145" t="s">
        <v>287</v>
      </c>
      <c r="I134" s="145" t="s">
        <v>287</v>
      </c>
      <c r="J134" s="145" t="s">
        <v>287</v>
      </c>
      <c r="K134" s="145" t="s">
        <v>287</v>
      </c>
      <c r="L134" s="145" t="s">
        <v>287</v>
      </c>
      <c r="M134" s="145" t="s">
        <v>287</v>
      </c>
      <c r="N134" s="145" t="s">
        <v>287</v>
      </c>
      <c r="O134" s="145" t="s">
        <v>287</v>
      </c>
      <c r="P134" s="145" t="s">
        <v>287</v>
      </c>
      <c r="Q134" s="145" t="s">
        <v>287</v>
      </c>
      <c r="R134" s="145" t="s">
        <v>287</v>
      </c>
      <c r="S134" s="145" t="s">
        <v>287</v>
      </c>
      <c r="T134" s="145" t="s">
        <v>287</v>
      </c>
      <c r="U134" s="145" t="s">
        <v>287</v>
      </c>
      <c r="V134" s="145" t="s">
        <v>287</v>
      </c>
      <c r="W134" s="145" t="s">
        <v>287</v>
      </c>
      <c r="X134" s="145" t="s">
        <v>287</v>
      </c>
      <c r="Y134" s="145" t="s">
        <v>287</v>
      </c>
      <c r="Z134" s="145" t="s">
        <v>287</v>
      </c>
      <c r="AA134" s="145" t="s">
        <v>287</v>
      </c>
      <c r="AB134" s="145" t="s">
        <v>287</v>
      </c>
      <c r="AC134" s="145" t="s">
        <v>287</v>
      </c>
      <c r="AD134" s="145" t="s">
        <v>287</v>
      </c>
      <c r="AE134" s="145" t="s">
        <v>287</v>
      </c>
      <c r="AF134" s="145" t="s">
        <v>287</v>
      </c>
      <c r="AG134" s="145" t="s">
        <v>287</v>
      </c>
      <c r="AH134" s="145" t="s">
        <v>287</v>
      </c>
      <c r="AI134" s="145" t="s">
        <v>287</v>
      </c>
      <c r="AJ134" s="145" t="s">
        <v>287</v>
      </c>
      <c r="AK134" s="145" t="s">
        <v>287</v>
      </c>
      <c r="AL134" s="145" t="s">
        <v>287</v>
      </c>
      <c r="AM134" s="145" t="s">
        <v>287</v>
      </c>
      <c r="AN134" s="145" t="s">
        <v>287</v>
      </c>
      <c r="AO134" s="145" t="s">
        <v>287</v>
      </c>
      <c r="AP134" s="145" t="s">
        <v>287</v>
      </c>
      <c r="AQ134" s="145" t="s">
        <v>287</v>
      </c>
      <c r="AR134" s="145" t="s">
        <v>287</v>
      </c>
      <c r="AS134" s="145" t="s">
        <v>287</v>
      </c>
      <c r="AT134" s="145" t="s">
        <v>287</v>
      </c>
      <c r="AU134" s="145" t="s">
        <v>287</v>
      </c>
      <c r="AV134" s="145" t="s">
        <v>287</v>
      </c>
      <c r="AW134" s="145" t="s">
        <v>287</v>
      </c>
      <c r="AX134" s="145" t="s">
        <v>287</v>
      </c>
      <c r="AY134" s="145" t="s">
        <v>287</v>
      </c>
      <c r="AZ134" s="145" t="s">
        <v>287</v>
      </c>
      <c r="BA134" s="145" t="s">
        <v>287</v>
      </c>
      <c r="BB134" s="145" t="s">
        <v>287</v>
      </c>
      <c r="BC134" s="150"/>
    </row>
    <row r="135" spans="1:56" hidden="1" x14ac:dyDescent="0.25">
      <c r="C135" s="8"/>
      <c r="BD135" s="8"/>
    </row>
    <row r="136" spans="1:56" hidden="1" x14ac:dyDescent="0.25">
      <c r="C136" s="8"/>
      <c r="BD136" s="8"/>
    </row>
  </sheetData>
  <sheetProtection algorithmName="SHA-512" hashValue="Wy/Vrh0jAmxJIqg8XStEdFz6tq2mOZHuoDIvdw88Gzyniny/3WX+GYLev5zg2PBFlor9MfyB9U/XSvAJ7yhXVA==" saltValue="XviCqORucno4Ld1TILFBBw==" spinCount="100000" sheet="1" objects="1" scenarios="1"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U98 AU24:AY98 D103:G112 AG103:AY112 D118:E127 R118:AF127 AU118:AY127 AU132:AY132">
    <cfRule type="expression" dxfId="3" priority="1" stopIfTrue="1">
      <formula>MSconst_AllowInstEmmisionTotals</formula>
    </cfRule>
  </conditionalFormatting>
  <hyperlinks>
    <hyperlink ref="F2:G2" location="JUMP_TOC_Home" display="Table of contents" xr:uid="{69763A5C-FD33-4AC7-875F-11417BA6F54D}"/>
    <hyperlink ref="L2:M2" location="JUMP_K_I" display="Summary" xr:uid="{C470B96B-6623-4AF7-A547-4B5AA10D9442}"/>
    <hyperlink ref="J2:K2" location="JUMP_BY3_Top" display="JUMP_BY3_Top" xr:uid="{4DCEABA8-1089-4D43-8923-5EC7AA3790A1}"/>
    <hyperlink ref="H2:I2" location="JUMP_BY1_Top" display="JUMP_BY1_Top" xr:uid="{ED0273E7-76C5-4280-B3E7-53D8160F309E}"/>
    <hyperlink ref="E3" location="JUMP_BY2_Top" display="JUMP_BY2_Top" xr:uid="{180ACF6B-2FD0-4C69-BEA0-E70D48B01BC7}"/>
    <hyperlink ref="F3:G3" location="JUMP_BY2_Source" display="Source streams (excl. PFC)" xr:uid="{A6EB3FCA-E914-4B32-8972-99A1C1ADF7A6}"/>
    <hyperlink ref="H3:I3" location="JUMP_BY2_PFC" display="PFC source streams" xr:uid="{92C9D761-E136-4D9A-AE5B-836D7A42B843}"/>
    <hyperlink ref="J3:K3" location="JUMP_BY2_Emissions" display="Emission Sources (CEMS)" xr:uid="{3663A5E1-DBDA-4606-B339-BA183D8EDB8A}"/>
    <hyperlink ref="L3:M3" location="JUMP_BY2_Fallback" display="Fall-back" xr:uid="{FC8B6EE5-5590-4E2A-BEC8-FA553971B26A}"/>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2166C-C734-43D0-AC94-3C2D3CF69135}">
  <sheetPr codeName="Tabelle5">
    <tabColor rgb="FFCCFFCC"/>
    <pageSetUpPr fitToPage="1"/>
  </sheetPr>
  <dimension ref="A1:BD135"/>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3.44140625" style="190" hidden="1" customWidth="1"/>
    <col min="2" max="2" width="3.44140625" style="8" customWidth="1"/>
    <col min="3" max="3" width="6.109375" style="202" customWidth="1"/>
    <col min="4" max="4" width="21.5546875" style="8" bestFit="1" customWidth="1"/>
    <col min="5" max="5" width="35.6640625" style="8" customWidth="1"/>
    <col min="6" max="6" width="15.6640625" style="8" customWidth="1"/>
    <col min="7" max="51" width="12.6640625" style="8" customWidth="1"/>
    <col min="52" max="52" width="9.109375" style="8" customWidth="1"/>
    <col min="53" max="55" width="11.44140625" style="190" hidden="1" customWidth="1"/>
    <col min="56" max="16384" width="11.44140625" style="753" hidden="1"/>
  </cols>
  <sheetData>
    <row r="1" spans="1:56" ht="13.8" hidden="1" thickBot="1" x14ac:dyDescent="0.3">
      <c r="A1" s="190" t="s">
        <v>187</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187</v>
      </c>
      <c r="BB1" s="190" t="s">
        <v>187</v>
      </c>
      <c r="BC1" s="190" t="s">
        <v>187</v>
      </c>
      <c r="BD1" s="8"/>
    </row>
    <row r="2" spans="1:56" ht="13.5" customHeight="1" thickBot="1" x14ac:dyDescent="0.3">
      <c r="B2" s="1282" t="str">
        <f>Translations!$B$267</f>
        <v>B+C Annual Emissions Data</v>
      </c>
      <c r="C2" s="1779"/>
      <c r="D2" s="1780"/>
      <c r="E2" s="320" t="str">
        <f>Translations!$B$2</f>
        <v>Navigation area:</v>
      </c>
      <c r="F2" s="1291" t="str">
        <f>Translations!$B$18</f>
        <v>Table of contents</v>
      </c>
      <c r="G2" s="1147"/>
      <c r="H2" s="1147" t="str">
        <f>Translations!$B$19</f>
        <v>Previous sheet</v>
      </c>
      <c r="I2" s="1797"/>
      <c r="J2" s="1147" t="str">
        <f>Translations!$B$3</f>
        <v>Next sheet</v>
      </c>
      <c r="K2" s="1797"/>
      <c r="L2" s="1147" t="str">
        <f>Translations!$B$4</f>
        <v>Summary</v>
      </c>
      <c r="M2" s="1797"/>
      <c r="BA2" s="767" t="s">
        <v>2533</v>
      </c>
      <c r="BB2" s="768">
        <v>3</v>
      </c>
      <c r="BD2" s="8"/>
    </row>
    <row r="3" spans="1:56" ht="13.8" thickBot="1" x14ac:dyDescent="0.3">
      <c r="B3" s="1781"/>
      <c r="C3" s="1782"/>
      <c r="D3" s="1783"/>
      <c r="E3" s="482" t="str">
        <f>Translations!$B$5</f>
        <v>Top of sheet</v>
      </c>
      <c r="F3" s="1792" t="str">
        <f>Translations!$B$268</f>
        <v>Source streams (excl. PFC)</v>
      </c>
      <c r="G3" s="1278"/>
      <c r="H3" s="1278" t="str">
        <f>Translations!$B$269</f>
        <v>PFC source streams</v>
      </c>
      <c r="I3" s="1278"/>
      <c r="J3" s="1278" t="str">
        <f>Translations!$B$270</f>
        <v>Emission Sources (CEMS)</v>
      </c>
      <c r="K3" s="1278"/>
      <c r="L3" s="1278" t="str">
        <f>Translations!$B$271</f>
        <v>Fall-back</v>
      </c>
      <c r="M3" s="1793"/>
      <c r="BA3" s="767" t="s">
        <v>2534</v>
      </c>
      <c r="BB3" s="234">
        <f>INDEX(EUconst_ReportingYears,BB2)+(IF(CNTR_BaselinePeriod=EUconst_NA,0,CNTR_BaselinePeriod-1)*5)</f>
        <v>2021</v>
      </c>
      <c r="BD3" s="8"/>
    </row>
    <row r="4" spans="1:56" ht="13.8" thickBot="1" x14ac:dyDescent="0.3">
      <c r="B4" s="1784">
        <f>BB3</f>
        <v>2021</v>
      </c>
      <c r="C4" s="1785"/>
      <c r="D4" s="1786"/>
      <c r="E4" s="321"/>
      <c r="F4" s="1788"/>
      <c r="G4" s="1798"/>
      <c r="H4" s="1790"/>
      <c r="I4" s="1790"/>
      <c r="J4" s="1790"/>
      <c r="K4" s="1790"/>
      <c r="L4" s="1790"/>
      <c r="M4" s="1796"/>
      <c r="N4" s="202">
        <f>$B$4</f>
        <v>2021</v>
      </c>
      <c r="P4" s="202">
        <f>$B$4</f>
        <v>2021</v>
      </c>
      <c r="R4" s="202">
        <f>$B$4</f>
        <v>2021</v>
      </c>
      <c r="T4" s="202">
        <f>$B$4</f>
        <v>2021</v>
      </c>
      <c r="V4" s="202">
        <f>$B$4</f>
        <v>2021</v>
      </c>
      <c r="X4" s="202">
        <f>$B$4</f>
        <v>2021</v>
      </c>
      <c r="Z4" s="202">
        <f>$B$4</f>
        <v>2021</v>
      </c>
      <c r="AB4" s="202">
        <f>$B$4</f>
        <v>2021</v>
      </c>
      <c r="AD4" s="202">
        <f>$B$4</f>
        <v>2021</v>
      </c>
      <c r="AF4" s="202">
        <f>$B$4</f>
        <v>2021</v>
      </c>
      <c r="AH4" s="202">
        <f>$B$4</f>
        <v>2021</v>
      </c>
      <c r="AJ4" s="202">
        <f>$B$4</f>
        <v>2021</v>
      </c>
      <c r="AL4" s="202">
        <f>$B$4</f>
        <v>2021</v>
      </c>
      <c r="AN4" s="202">
        <f>$B$4</f>
        <v>2021</v>
      </c>
      <c r="AP4" s="202">
        <f>$B$4</f>
        <v>2021</v>
      </c>
      <c r="AR4" s="202">
        <f>$B$4</f>
        <v>2021</v>
      </c>
      <c r="AT4" s="202">
        <f>$B$4</f>
        <v>2021</v>
      </c>
      <c r="AV4" s="202">
        <f>$B$4</f>
        <v>2021</v>
      </c>
      <c r="AX4" s="202">
        <f>$B$4</f>
        <v>2021</v>
      </c>
      <c r="BB4" s="769"/>
      <c r="BD4" s="8"/>
    </row>
    <row r="5" spans="1:56" x14ac:dyDescent="0.25">
      <c r="C5" s="6"/>
      <c r="F5" s="202"/>
      <c r="G5" s="202"/>
      <c r="H5" s="202"/>
      <c r="BB5" s="769"/>
      <c r="BD5" s="8"/>
    </row>
    <row r="6" spans="1:56" ht="54" customHeight="1" x14ac:dyDescent="0.25">
      <c r="C6" s="10" t="s">
        <v>2547</v>
      </c>
      <c r="D6" s="1794" t="s">
        <v>2535</v>
      </c>
      <c r="E6" s="1794"/>
      <c r="F6" s="1794"/>
      <c r="G6" s="1794"/>
      <c r="H6" s="1794"/>
      <c r="I6" s="1795"/>
      <c r="J6" s="1787">
        <f>B4</f>
        <v>2021</v>
      </c>
      <c r="K6" s="1787"/>
      <c r="N6" s="625"/>
      <c r="BA6" s="11" t="s">
        <v>188</v>
      </c>
      <c r="BB6" s="11" t="s">
        <v>188</v>
      </c>
      <c r="BD6" s="8"/>
    </row>
    <row r="7" spans="1:56" x14ac:dyDescent="0.25">
      <c r="C7" s="8"/>
      <c r="BA7" s="12" t="s">
        <v>189</v>
      </c>
      <c r="BB7" s="12" t="s">
        <v>189</v>
      </c>
      <c r="BD7" s="8"/>
    </row>
    <row r="8" spans="1:56" s="276" customFormat="1" ht="15.6" x14ac:dyDescent="0.3">
      <c r="A8" s="145"/>
      <c r="B8" s="8"/>
      <c r="C8" s="13" t="s">
        <v>3</v>
      </c>
      <c r="D8" s="1791" t="str">
        <f>Translations!$B$273</f>
        <v>General guidance for source stream data</v>
      </c>
      <c r="E8" s="1791"/>
      <c r="F8" s="1791"/>
      <c r="G8" s="1791"/>
      <c r="H8" s="1791"/>
      <c r="I8" s="1791"/>
      <c r="J8" s="1791"/>
      <c r="K8" s="1791"/>
      <c r="L8" s="1791"/>
      <c r="M8" s="1791"/>
      <c r="N8" s="179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x14ac:dyDescent="0.25">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x14ac:dyDescent="0.25">
      <c r="A10" s="145"/>
      <c r="B10" s="8"/>
      <c r="C10" s="15"/>
      <c r="D10" s="1208" t="s">
        <v>2536</v>
      </c>
      <c r="E10" s="1208"/>
      <c r="F10" s="1208"/>
      <c r="G10" s="1208"/>
      <c r="H10" s="1208"/>
      <c r="I10" s="1433"/>
      <c r="J10" s="1777" t="b">
        <f>NOT(MSconst_AllowInstEmmisionTotals)</f>
        <v>0</v>
      </c>
      <c r="K10" s="177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x14ac:dyDescent="0.25">
      <c r="A11" s="145"/>
      <c r="B11" s="17"/>
      <c r="C11" s="17"/>
      <c r="D11" s="1314" t="str">
        <f>Translations!$B$275</f>
        <v>If this is set to "false", entries here are optional and only provide annual total emissions in section D.I.</v>
      </c>
      <c r="E11" s="1314"/>
      <c r="F11" s="1314"/>
      <c r="G11" s="1314"/>
      <c r="H11" s="1314"/>
      <c r="I11" s="1314"/>
      <c r="J11" s="1314"/>
      <c r="K11" s="1314"/>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x14ac:dyDescent="0.25">
      <c r="A12" s="145"/>
      <c r="B12" s="17"/>
      <c r="C12" s="17"/>
      <c r="D12" s="1799" t="str">
        <f>IF(MSconst_AllowInstEmmisionTotals,HYPERLINK(BB12,EUconst_ERR_Goto_DI2),"")</f>
        <v>Please go on with entering emission totals in section D.I.2 in sheet 'D_Emissions'!</v>
      </c>
      <c r="E12" s="1799"/>
      <c r="F12" s="1799"/>
      <c r="G12" s="1799"/>
      <c r="H12" s="1799"/>
      <c r="I12" s="1799"/>
      <c r="J12" s="1799"/>
      <c r="K12" s="179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334</v>
      </c>
      <c r="BB12" s="372" t="str">
        <f>"#JUMP_D_I"</f>
        <v>#JUMP_D_I</v>
      </c>
      <c r="BC12" s="190"/>
      <c r="BD12" s="8"/>
    </row>
    <row r="13" spans="1:56" s="276" customFormat="1" x14ac:dyDescent="0.2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x14ac:dyDescent="0.3">
      <c r="A14" s="145"/>
      <c r="B14" s="8"/>
      <c r="C14" s="13" t="s">
        <v>4</v>
      </c>
      <c r="D14" s="1175" t="s">
        <v>2537</v>
      </c>
      <c r="E14" s="1175"/>
      <c r="F14" s="1175"/>
      <c r="G14" s="1175"/>
      <c r="H14" s="1175"/>
      <c r="I14" s="1175"/>
      <c r="J14" s="1175"/>
      <c r="K14" s="1175"/>
      <c r="L14" s="1175"/>
      <c r="M14" s="1175"/>
      <c r="N14" s="117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x14ac:dyDescent="0.25">
      <c r="A15" s="145"/>
      <c r="B15" s="17"/>
      <c r="C15" s="17"/>
      <c r="D15" s="1314" t="str">
        <f>Translations!$B$277</f>
        <v>The tables below are identical to sheet "Accounting" in the Annual Emissions Report template provided by the Commission.</v>
      </c>
      <c r="E15" s="1314"/>
      <c r="F15" s="1314"/>
      <c r="G15" s="1314"/>
      <c r="H15" s="1314"/>
      <c r="I15" s="1314"/>
      <c r="J15" s="1314"/>
      <c r="K15" s="1314"/>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x14ac:dyDescent="0.25">
      <c r="A16" s="145"/>
      <c r="B16" s="17"/>
      <c r="C16" s="17"/>
      <c r="D16" s="1314" t="str">
        <f>Translations!$B$278</f>
        <v>You can therefore copy data for each table from the Annual Emissions Report template without further entries and also find further guidance there.</v>
      </c>
      <c r="E16" s="1314"/>
      <c r="F16" s="1314"/>
      <c r="G16" s="1314"/>
      <c r="H16" s="1314"/>
      <c r="I16" s="1314"/>
      <c r="J16" s="1314"/>
      <c r="K16" s="1314"/>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x14ac:dyDescent="0.25">
      <c r="A17" s="145"/>
      <c r="B17" s="17"/>
      <c r="C17" s="17"/>
      <c r="D17" s="1314" t="s">
        <v>2538</v>
      </c>
      <c r="E17" s="1314"/>
      <c r="F17" s="1314"/>
      <c r="G17" s="1314"/>
      <c r="H17" s="1314"/>
      <c r="I17" s="1314"/>
      <c r="J17" s="1314"/>
      <c r="K17" s="131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x14ac:dyDescent="0.25">
      <c r="A18" s="145"/>
      <c r="B18" s="17"/>
      <c r="C18" s="17"/>
      <c r="D18" s="1778" t="s">
        <v>2539</v>
      </c>
      <c r="E18" s="1778"/>
      <c r="F18" s="1778"/>
      <c r="G18" s="1778"/>
      <c r="H18" s="1778"/>
      <c r="I18" s="1778"/>
      <c r="J18" s="1778"/>
      <c r="K18" s="177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x14ac:dyDescent="0.45">
      <c r="D19" s="196" t="str">
        <f>Translations!$B$281</f>
        <v>Source Streams (excluding PFC emissions)</v>
      </c>
      <c r="BD19" s="8"/>
    </row>
    <row r="20" spans="1:56" ht="50.1" customHeight="1" thickBot="1" x14ac:dyDescent="0.3">
      <c r="C20" s="197" t="s">
        <v>2540</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x14ac:dyDescent="0.25">
      <c r="C21" s="771" t="str">
        <f>Translations!$B$330</f>
        <v>Ex.1</v>
      </c>
      <c r="D21" s="772" t="str">
        <f>Translations!$B$331</f>
        <v>Combustion</v>
      </c>
      <c r="E21" s="772" t="str">
        <f>Translations!$B$332</f>
        <v>Heavy fuel oil</v>
      </c>
      <c r="F21" s="773">
        <v>252000</v>
      </c>
      <c r="G21" s="275" t="s">
        <v>702</v>
      </c>
      <c r="H21" s="773">
        <v>45</v>
      </c>
      <c r="I21" s="275" t="s">
        <v>2541</v>
      </c>
      <c r="J21" s="773">
        <v>73</v>
      </c>
      <c r="K21" s="275" t="s">
        <v>2542</v>
      </c>
      <c r="L21" s="275"/>
      <c r="M21" s="275" t="s">
        <v>2543</v>
      </c>
      <c r="N21" s="773">
        <v>100</v>
      </c>
      <c r="O21" s="275" t="s">
        <v>354</v>
      </c>
      <c r="P21" s="773"/>
      <c r="Q21" s="275" t="s">
        <v>354</v>
      </c>
      <c r="R21" s="773">
        <v>0</v>
      </c>
      <c r="S21" s="275" t="s">
        <v>354</v>
      </c>
      <c r="T21" s="773">
        <v>0</v>
      </c>
      <c r="U21" s="275" t="s">
        <v>354</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x14ac:dyDescent="0.25">
      <c r="C22" s="771" t="str">
        <f>Translations!$B$333</f>
        <v>Ex.2</v>
      </c>
      <c r="D22" s="772" t="str">
        <f>Translations!$B$334</f>
        <v>Process Emissions</v>
      </c>
      <c r="E22" s="772" t="str">
        <f>Translations!$B$335</f>
        <v>Clay</v>
      </c>
      <c r="F22" s="773">
        <v>121000</v>
      </c>
      <c r="G22" s="275" t="s">
        <v>702</v>
      </c>
      <c r="H22" s="773"/>
      <c r="I22" s="275" t="s">
        <v>2543</v>
      </c>
      <c r="J22" s="773">
        <v>8.7940000000000004E-2</v>
      </c>
      <c r="K22" s="275" t="s">
        <v>2544</v>
      </c>
      <c r="L22" s="275"/>
      <c r="M22" s="275" t="s">
        <v>2543</v>
      </c>
      <c r="N22" s="773"/>
      <c r="O22" s="275" t="s">
        <v>354</v>
      </c>
      <c r="P22" s="773"/>
      <c r="Q22" s="275" t="s">
        <v>354</v>
      </c>
      <c r="R22" s="773">
        <v>0</v>
      </c>
      <c r="S22" s="275" t="s">
        <v>354</v>
      </c>
      <c r="T22" s="773">
        <v>0</v>
      </c>
      <c r="U22" s="275" t="s">
        <v>354</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x14ac:dyDescent="0.25">
      <c r="C23" s="771" t="str">
        <f>Translations!$B$336</f>
        <v>Ex.3</v>
      </c>
      <c r="D23" s="772" t="str">
        <f>Translations!$B$337</f>
        <v>Mass balance</v>
      </c>
      <c r="E23" s="772" t="str">
        <f>Translations!$B$338</f>
        <v>Steel</v>
      </c>
      <c r="F23" s="773">
        <v>-1808226</v>
      </c>
      <c r="G23" s="275" t="s">
        <v>702</v>
      </c>
      <c r="H23" s="773"/>
      <c r="I23" s="275" t="s">
        <v>2543</v>
      </c>
      <c r="J23" s="773">
        <v>0</v>
      </c>
      <c r="K23" s="275" t="s">
        <v>2543</v>
      </c>
      <c r="L23" s="275">
        <v>0.38779999999999998</v>
      </c>
      <c r="M23" s="275" t="s">
        <v>2545</v>
      </c>
      <c r="N23" s="773"/>
      <c r="O23" s="275" t="s">
        <v>354</v>
      </c>
      <c r="P23" s="773">
        <v>100</v>
      </c>
      <c r="Q23" s="275" t="s">
        <v>354</v>
      </c>
      <c r="R23" s="773">
        <v>0</v>
      </c>
      <c r="S23" s="275" t="s">
        <v>354</v>
      </c>
      <c r="T23" s="773">
        <v>0</v>
      </c>
      <c r="U23" s="275" t="s">
        <v>354</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x14ac:dyDescent="0.25">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x14ac:dyDescent="0.25">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x14ac:dyDescent="0.25">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x14ac:dyDescent="0.25">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x14ac:dyDescent="0.25">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x14ac:dyDescent="0.25">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x14ac:dyDescent="0.25">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x14ac:dyDescent="0.25">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x14ac:dyDescent="0.25">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x14ac:dyDescent="0.25">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x14ac:dyDescent="0.25">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x14ac:dyDescent="0.25">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x14ac:dyDescent="0.25">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x14ac:dyDescent="0.25">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x14ac:dyDescent="0.25">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x14ac:dyDescent="0.25">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x14ac:dyDescent="0.25">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x14ac:dyDescent="0.25">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x14ac:dyDescent="0.25">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x14ac:dyDescent="0.25">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x14ac:dyDescent="0.25">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x14ac:dyDescent="0.25">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x14ac:dyDescent="0.25">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x14ac:dyDescent="0.25">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x14ac:dyDescent="0.25">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x14ac:dyDescent="0.25">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x14ac:dyDescent="0.25">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x14ac:dyDescent="0.25">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x14ac:dyDescent="0.25">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x14ac:dyDescent="0.25">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x14ac:dyDescent="0.25">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x14ac:dyDescent="0.25">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x14ac:dyDescent="0.25">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x14ac:dyDescent="0.25">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x14ac:dyDescent="0.25">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x14ac:dyDescent="0.25">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x14ac:dyDescent="0.25">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x14ac:dyDescent="0.25">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x14ac:dyDescent="0.25">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x14ac:dyDescent="0.25">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x14ac:dyDescent="0.25">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x14ac:dyDescent="0.25">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x14ac:dyDescent="0.25">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x14ac:dyDescent="0.25">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x14ac:dyDescent="0.25">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x14ac:dyDescent="0.25">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x14ac:dyDescent="0.25">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x14ac:dyDescent="0.25">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x14ac:dyDescent="0.25">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x14ac:dyDescent="0.25">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x14ac:dyDescent="0.25">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x14ac:dyDescent="0.25">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x14ac:dyDescent="0.25">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x14ac:dyDescent="0.25">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x14ac:dyDescent="0.25">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x14ac:dyDescent="0.25">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x14ac:dyDescent="0.25">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x14ac:dyDescent="0.25">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x14ac:dyDescent="0.25">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x14ac:dyDescent="0.25">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x14ac:dyDescent="0.25">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x14ac:dyDescent="0.25">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x14ac:dyDescent="0.25">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x14ac:dyDescent="0.25">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x14ac:dyDescent="0.25">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x14ac:dyDescent="0.25">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x14ac:dyDescent="0.25">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x14ac:dyDescent="0.25">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x14ac:dyDescent="0.25">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x14ac:dyDescent="0.25">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x14ac:dyDescent="0.25">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x14ac:dyDescent="0.25">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x14ac:dyDescent="0.25">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x14ac:dyDescent="0.25">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x14ac:dyDescent="0.25">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x14ac:dyDescent="0.25">
      <c r="BD99" s="8"/>
    </row>
    <row r="100" spans="3:56" ht="50.1" customHeight="1" thickBot="1" x14ac:dyDescent="0.45">
      <c r="D100" s="196" t="str">
        <f>Translations!$B$339</f>
        <v>PFC Source Streams</v>
      </c>
      <c r="BD100" s="8"/>
    </row>
    <row r="101" spans="3:56" ht="50.1" customHeight="1" thickBot="1" x14ac:dyDescent="0.3">
      <c r="C101" s="197" t="s">
        <v>2540</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x14ac:dyDescent="0.25">
      <c r="C102" s="771" t="str">
        <f>Translations!$B$341</f>
        <v>Ex.</v>
      </c>
      <c r="D102" s="772" t="str">
        <f>Translations!$B$342</f>
        <v>PFC Emissions</v>
      </c>
      <c r="E102" s="772" t="str">
        <f>Translations!$B$343</f>
        <v>Centre Worked Pre-Bake (CWPB); Anode type A</v>
      </c>
      <c r="F102" s="773">
        <v>5000</v>
      </c>
      <c r="G102" s="275" t="s">
        <v>702</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x14ac:dyDescent="0.25">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x14ac:dyDescent="0.25">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x14ac:dyDescent="0.25">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x14ac:dyDescent="0.25">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x14ac:dyDescent="0.25">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x14ac:dyDescent="0.25">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x14ac:dyDescent="0.25">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x14ac:dyDescent="0.25">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x14ac:dyDescent="0.25">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x14ac:dyDescent="0.25">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x14ac:dyDescent="0.25">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x14ac:dyDescent="0.45">
      <c r="D114" s="196" t="str">
        <f>Translations!$B$344</f>
        <v>Emissions Sources (Measurement-Based Approaches)</v>
      </c>
      <c r="AF114" s="788"/>
      <c r="BD114" s="8"/>
    </row>
    <row r="115" spans="3:56" ht="50.1" customHeight="1" thickBot="1" x14ac:dyDescent="0.3">
      <c r="C115" s="197" t="s">
        <v>2540</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x14ac:dyDescent="0.25">
      <c r="C116" s="771" t="str">
        <f>Translations!$B$330</f>
        <v>Ex.1</v>
      </c>
      <c r="D116" s="772" t="s">
        <v>729</v>
      </c>
      <c r="E116" s="772" t="str">
        <f>Translations!$B$345</f>
        <v>Nitric acid line 1</v>
      </c>
      <c r="F116" s="780"/>
      <c r="G116" s="314"/>
      <c r="H116" s="780"/>
      <c r="I116" s="314"/>
      <c r="J116" s="780"/>
      <c r="K116" s="314"/>
      <c r="L116" s="314"/>
      <c r="M116" s="314"/>
      <c r="N116" s="780"/>
      <c r="O116" s="314"/>
      <c r="P116" s="780"/>
      <c r="Q116" s="314"/>
      <c r="R116" s="781">
        <v>0</v>
      </c>
      <c r="S116" s="275" t="s">
        <v>354</v>
      </c>
      <c r="T116" s="781">
        <v>0</v>
      </c>
      <c r="U116" s="275" t="s">
        <v>354</v>
      </c>
      <c r="V116" s="781">
        <v>64.292500000000004</v>
      </c>
      <c r="W116" s="275" t="s">
        <v>2546</v>
      </c>
      <c r="X116" s="781">
        <v>4</v>
      </c>
      <c r="Y116" s="275" t="str">
        <f>Translations!$B$346</f>
        <v>h/year</v>
      </c>
      <c r="Z116" s="781">
        <v>265</v>
      </c>
      <c r="AA116" s="275" t="str">
        <f>Translations!$B$347</f>
        <v>1000Nm3/h</v>
      </c>
      <c r="AB116" s="781">
        <v>1060</v>
      </c>
      <c r="AC116" s="275" t="str">
        <f>Translations!$B$348</f>
        <v>1000Nm3/year</v>
      </c>
      <c r="AD116" s="781">
        <v>68</v>
      </c>
      <c r="AE116" s="275" t="s">
        <v>702</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x14ac:dyDescent="0.25">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354</v>
      </c>
      <c r="T117" s="781">
        <v>0</v>
      </c>
      <c r="U117" s="275" t="s">
        <v>354</v>
      </c>
      <c r="V117" s="781">
        <v>1820</v>
      </c>
      <c r="W117" s="275" t="s">
        <v>2546</v>
      </c>
      <c r="X117" s="781">
        <v>5000</v>
      </c>
      <c r="Y117" s="275" t="str">
        <f>Translations!$B$346</f>
        <v>h/year</v>
      </c>
      <c r="Z117" s="781">
        <v>50</v>
      </c>
      <c r="AA117" s="275" t="str">
        <f>Translations!$B$347</f>
        <v>1000Nm3/h</v>
      </c>
      <c r="AB117" s="781">
        <v>250000</v>
      </c>
      <c r="AC117" s="275" t="str">
        <f>Translations!$B$348</f>
        <v>1000Nm3/year</v>
      </c>
      <c r="AD117" s="781">
        <v>455000</v>
      </c>
      <c r="AE117" s="275" t="s">
        <v>702</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x14ac:dyDescent="0.25">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x14ac:dyDescent="0.25">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x14ac:dyDescent="0.25">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x14ac:dyDescent="0.25">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x14ac:dyDescent="0.25">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x14ac:dyDescent="0.25">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x14ac:dyDescent="0.25">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x14ac:dyDescent="0.25">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x14ac:dyDescent="0.25">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x14ac:dyDescent="0.25">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x14ac:dyDescent="0.25">
      <c r="BD128" s="8"/>
    </row>
    <row r="129" spans="1:56" ht="50.1" customHeight="1" thickBot="1" x14ac:dyDescent="0.45">
      <c r="D129" s="196" t="str">
        <f>Translations!$B$271</f>
        <v>Fall-back</v>
      </c>
      <c r="BD129" s="8"/>
    </row>
    <row r="130" spans="1:56" ht="50.1" customHeight="1" thickBot="1" x14ac:dyDescent="0.3">
      <c r="C130" s="197" t="s">
        <v>2540</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x14ac:dyDescent="0.25">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x14ac:dyDescent="0.25">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x14ac:dyDescent="0.25">
      <c r="AZ133" s="753"/>
      <c r="BD133" s="8"/>
    </row>
    <row r="134" spans="1:56" s="145" customFormat="1" hidden="1" x14ac:dyDescent="0.25">
      <c r="A134" s="145" t="s">
        <v>187</v>
      </c>
      <c r="B134" s="145" t="s">
        <v>287</v>
      </c>
      <c r="C134" s="145" t="s">
        <v>287</v>
      </c>
      <c r="D134" s="145" t="s">
        <v>287</v>
      </c>
      <c r="E134" s="145" t="s">
        <v>287</v>
      </c>
      <c r="F134" s="145" t="s">
        <v>287</v>
      </c>
      <c r="G134" s="145" t="s">
        <v>287</v>
      </c>
      <c r="H134" s="145" t="s">
        <v>287</v>
      </c>
      <c r="I134" s="145" t="s">
        <v>287</v>
      </c>
      <c r="J134" s="145" t="s">
        <v>287</v>
      </c>
      <c r="K134" s="145" t="s">
        <v>287</v>
      </c>
      <c r="L134" s="145" t="s">
        <v>287</v>
      </c>
      <c r="M134" s="145" t="s">
        <v>287</v>
      </c>
      <c r="N134" s="145" t="s">
        <v>287</v>
      </c>
      <c r="O134" s="145" t="s">
        <v>287</v>
      </c>
      <c r="P134" s="145" t="s">
        <v>287</v>
      </c>
      <c r="Q134" s="145" t="s">
        <v>287</v>
      </c>
      <c r="R134" s="145" t="s">
        <v>287</v>
      </c>
      <c r="S134" s="145" t="s">
        <v>287</v>
      </c>
      <c r="T134" s="145" t="s">
        <v>287</v>
      </c>
      <c r="U134" s="145" t="s">
        <v>287</v>
      </c>
      <c r="V134" s="145" t="s">
        <v>287</v>
      </c>
      <c r="W134" s="145" t="s">
        <v>287</v>
      </c>
      <c r="X134" s="145" t="s">
        <v>287</v>
      </c>
      <c r="Y134" s="145" t="s">
        <v>287</v>
      </c>
      <c r="Z134" s="145" t="s">
        <v>287</v>
      </c>
      <c r="AA134" s="145" t="s">
        <v>287</v>
      </c>
      <c r="AB134" s="145" t="s">
        <v>287</v>
      </c>
      <c r="AC134" s="145" t="s">
        <v>287</v>
      </c>
      <c r="AD134" s="145" t="s">
        <v>287</v>
      </c>
      <c r="AE134" s="145" t="s">
        <v>287</v>
      </c>
      <c r="AF134" s="145" t="s">
        <v>287</v>
      </c>
      <c r="AG134" s="145" t="s">
        <v>287</v>
      </c>
      <c r="AH134" s="145" t="s">
        <v>287</v>
      </c>
      <c r="AI134" s="145" t="s">
        <v>287</v>
      </c>
      <c r="AJ134" s="145" t="s">
        <v>287</v>
      </c>
      <c r="AK134" s="145" t="s">
        <v>287</v>
      </c>
      <c r="AL134" s="145" t="s">
        <v>287</v>
      </c>
      <c r="AM134" s="145" t="s">
        <v>287</v>
      </c>
      <c r="AN134" s="145" t="s">
        <v>287</v>
      </c>
      <c r="AO134" s="145" t="s">
        <v>287</v>
      </c>
      <c r="AP134" s="145" t="s">
        <v>287</v>
      </c>
      <c r="AQ134" s="145" t="s">
        <v>287</v>
      </c>
      <c r="AR134" s="145" t="s">
        <v>287</v>
      </c>
      <c r="AS134" s="145" t="s">
        <v>287</v>
      </c>
      <c r="AT134" s="145" t="s">
        <v>287</v>
      </c>
      <c r="AU134" s="145" t="s">
        <v>287</v>
      </c>
      <c r="AV134" s="145" t="s">
        <v>287</v>
      </c>
      <c r="AW134" s="145" t="s">
        <v>287</v>
      </c>
      <c r="AX134" s="145" t="s">
        <v>287</v>
      </c>
      <c r="AY134" s="145" t="s">
        <v>287</v>
      </c>
      <c r="AZ134" s="145" t="s">
        <v>287</v>
      </c>
      <c r="BA134" s="145" t="s">
        <v>287</v>
      </c>
      <c r="BB134" s="145" t="s">
        <v>287</v>
      </c>
      <c r="BC134" s="150"/>
    </row>
    <row r="135" spans="1:56" hidden="1" x14ac:dyDescent="0.25">
      <c r="C135" s="8"/>
      <c r="BD135" s="8"/>
    </row>
  </sheetData>
  <sheetProtection algorithmName="SHA-512" hashValue="ij6kFlqWoka/I33v5LyqI1F/bUC/x6y0W5hsG+6gJiXv/1tNevxvnz8akQEo9DQ8V3N9aXUOoZDRYKOmaZyNPg==" saltValue="7ehR+h87EQnMyRMRFqKTmA==" spinCount="100000" sheet="1" objects="1" scenarios="1"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U98 AU24:AY98 D103:G112 AG103:AY112 D118:E127 R118:AF127 AU118:AY127 AU132:AY132">
    <cfRule type="expression" dxfId="2" priority="1" stopIfTrue="1">
      <formula>MSconst_AllowInstEmmisionTotals</formula>
    </cfRule>
  </conditionalFormatting>
  <hyperlinks>
    <hyperlink ref="F2:G2" location="JUMP_TOC_Home" display="Table of contents" xr:uid="{207A8B45-FC0B-4443-A4AE-0826F7BC8DB5}"/>
    <hyperlink ref="L2:M2" location="JUMP_K_I" display="Summary" xr:uid="{E23469E0-7AF0-43B8-9218-C68125D8934D}"/>
    <hyperlink ref="J2:K2" location="JUMP_BY4_Top" display="JUMP_BY4_Top" xr:uid="{E248B384-CBC4-4E32-8C1E-6D39553C98B9}"/>
    <hyperlink ref="H2:I2" location="JUMP_BY2_Top" display="JUMP_BY2_Top" xr:uid="{39457021-B769-4688-964D-D7593531E55D}"/>
    <hyperlink ref="E3" location="JUMP_BY3_Top" display="JUMP_BY3_Top" xr:uid="{1398631D-B525-49B7-8C83-76058627A89C}"/>
    <hyperlink ref="F3:G3" location="JUMP_BY3_Source" display="Source streams (excl. PFC)" xr:uid="{5CB3E1A8-D83A-48D1-8F3D-1D2D723FE33E}"/>
    <hyperlink ref="H3:I3" location="JUMP_BY3_PFC" display="PFC source streams" xr:uid="{32878BF0-33AE-4984-8C62-88814B267C4D}"/>
    <hyperlink ref="J3:K3" location="JUMP_BY3_Emissions" display="Emission Sources (CEMS)" xr:uid="{845919C9-4EE6-44EC-98F2-8997A38682E6}"/>
    <hyperlink ref="L3:M3" location="JUMP_BY3_Fallback" display="Fall-back" xr:uid="{81BE92BF-3E00-48CD-A8E2-E856081B336B}"/>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351B-E387-46B2-940D-0CB5914A829B}">
  <sheetPr codeName="Tabelle12">
    <tabColor rgb="FFCCFFCC"/>
    <pageSetUpPr fitToPage="1"/>
  </sheetPr>
  <dimension ref="A1:BD136"/>
  <sheetViews>
    <sheetView topLeftCell="B1" zoomScaleNormal="100" workbookViewId="0">
      <pane ySplit="4" topLeftCell="A5" activePane="bottomLeft" state="frozen"/>
      <selection activeCell="C2" sqref="C2"/>
      <selection pane="bottomLeft" activeCell="B5" sqref="B5"/>
    </sheetView>
  </sheetViews>
  <sheetFormatPr defaultColWidth="0" defaultRowHeight="13.2" zeroHeight="1" x14ac:dyDescent="0.25"/>
  <cols>
    <col min="1" max="1" width="3.44140625" style="190" hidden="1" customWidth="1"/>
    <col min="2" max="2" width="3.44140625" style="8" customWidth="1"/>
    <col min="3" max="3" width="6.109375" style="202" customWidth="1"/>
    <col min="4" max="4" width="21.5546875" style="8" bestFit="1" customWidth="1"/>
    <col min="5" max="5" width="35.6640625" style="8" customWidth="1"/>
    <col min="6" max="6" width="15.6640625" style="8" customWidth="1"/>
    <col min="7" max="51" width="12.6640625" style="8" customWidth="1"/>
    <col min="52" max="52" width="9.109375" style="8" customWidth="1"/>
    <col min="53" max="55" width="11.44140625" style="190" hidden="1" customWidth="1"/>
    <col min="56" max="16384" width="11.44140625" style="753" hidden="1"/>
  </cols>
  <sheetData>
    <row r="1" spans="1:56" ht="13.8" hidden="1" thickBot="1" x14ac:dyDescent="0.3">
      <c r="A1" s="190" t="s">
        <v>187</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187</v>
      </c>
      <c r="BB1" s="190" t="s">
        <v>187</v>
      </c>
      <c r="BC1" s="190" t="s">
        <v>187</v>
      </c>
      <c r="BD1" s="8"/>
    </row>
    <row r="2" spans="1:56" ht="13.5" customHeight="1" thickBot="1" x14ac:dyDescent="0.3">
      <c r="B2" s="1282" t="str">
        <f>Translations!$B$267</f>
        <v>B+C Annual Emissions Data</v>
      </c>
      <c r="C2" s="1779"/>
      <c r="D2" s="1780"/>
      <c r="E2" s="320" t="str">
        <f>Translations!$B$2</f>
        <v>Navigation area:</v>
      </c>
      <c r="F2" s="1291" t="str">
        <f>Translations!$B$18</f>
        <v>Table of contents</v>
      </c>
      <c r="G2" s="1147"/>
      <c r="H2" s="1147" t="str">
        <f>Translations!$B$19</f>
        <v>Previous sheet</v>
      </c>
      <c r="I2" s="1797"/>
      <c r="J2" s="1147" t="str">
        <f>Translations!$B$3</f>
        <v>Next sheet</v>
      </c>
      <c r="K2" s="1797"/>
      <c r="L2" s="1147" t="str">
        <f>Translations!$B$4</f>
        <v>Summary</v>
      </c>
      <c r="M2" s="1797"/>
      <c r="BA2" s="767" t="s">
        <v>2533</v>
      </c>
      <c r="BB2" s="768">
        <v>4</v>
      </c>
      <c r="BD2" s="8"/>
    </row>
    <row r="3" spans="1:56" ht="13.8" thickBot="1" x14ac:dyDescent="0.3">
      <c r="B3" s="1781"/>
      <c r="C3" s="1782"/>
      <c r="D3" s="1783"/>
      <c r="E3" s="482" t="str">
        <f>Translations!$B$5</f>
        <v>Top of sheet</v>
      </c>
      <c r="F3" s="1792" t="str">
        <f>Translations!$B$268</f>
        <v>Source streams (excl. PFC)</v>
      </c>
      <c r="G3" s="1278"/>
      <c r="H3" s="1278" t="str">
        <f>Translations!$B$269</f>
        <v>PFC source streams</v>
      </c>
      <c r="I3" s="1278"/>
      <c r="J3" s="1278" t="str">
        <f>Translations!$B$270</f>
        <v>Emission Sources (CEMS)</v>
      </c>
      <c r="K3" s="1278"/>
      <c r="L3" s="1278" t="str">
        <f>Translations!$B$271</f>
        <v>Fall-back</v>
      </c>
      <c r="M3" s="1793"/>
      <c r="BA3" s="767" t="s">
        <v>2534</v>
      </c>
      <c r="BB3" s="234">
        <f>INDEX(EUconst_ReportingYears,BB2)+(IF(CNTR_BaselinePeriod=EUconst_NA,0,CNTR_BaselinePeriod-1)*5)</f>
        <v>2022</v>
      </c>
      <c r="BD3" s="8"/>
    </row>
    <row r="4" spans="1:56" ht="13.8" thickBot="1" x14ac:dyDescent="0.3">
      <c r="B4" s="1784">
        <f>BB3</f>
        <v>2022</v>
      </c>
      <c r="C4" s="1785"/>
      <c r="D4" s="1786"/>
      <c r="E4" s="321"/>
      <c r="F4" s="1788"/>
      <c r="G4" s="1798"/>
      <c r="H4" s="1790"/>
      <c r="I4" s="1790"/>
      <c r="J4" s="1790"/>
      <c r="K4" s="1790"/>
      <c r="L4" s="1790"/>
      <c r="M4" s="1796"/>
      <c r="N4" s="202">
        <f>$B$4</f>
        <v>2022</v>
      </c>
      <c r="P4" s="202">
        <f>$B$4</f>
        <v>2022</v>
      </c>
      <c r="R4" s="202">
        <f>$B$4</f>
        <v>2022</v>
      </c>
      <c r="T4" s="202">
        <f>$B$4</f>
        <v>2022</v>
      </c>
      <c r="V4" s="202">
        <f>$B$4</f>
        <v>2022</v>
      </c>
      <c r="X4" s="202">
        <f>$B$4</f>
        <v>2022</v>
      </c>
      <c r="Z4" s="202">
        <f>$B$4</f>
        <v>2022</v>
      </c>
      <c r="AB4" s="202">
        <f>$B$4</f>
        <v>2022</v>
      </c>
      <c r="AD4" s="202">
        <f>$B$4</f>
        <v>2022</v>
      </c>
      <c r="AF4" s="202">
        <f>$B$4</f>
        <v>2022</v>
      </c>
      <c r="AH4" s="202">
        <f>$B$4</f>
        <v>2022</v>
      </c>
      <c r="AJ4" s="202">
        <f>$B$4</f>
        <v>2022</v>
      </c>
      <c r="AL4" s="202">
        <f>$B$4</f>
        <v>2022</v>
      </c>
      <c r="AN4" s="202">
        <f>$B$4</f>
        <v>2022</v>
      </c>
      <c r="AP4" s="202">
        <f>$B$4</f>
        <v>2022</v>
      </c>
      <c r="AR4" s="202">
        <f>$B$4</f>
        <v>2022</v>
      </c>
      <c r="AT4" s="202">
        <f>$B$4</f>
        <v>2022</v>
      </c>
      <c r="AV4" s="202">
        <f>$B$4</f>
        <v>2022</v>
      </c>
      <c r="AX4" s="202">
        <f>$B$4</f>
        <v>2022</v>
      </c>
      <c r="BB4" s="769"/>
      <c r="BD4" s="8"/>
    </row>
    <row r="5" spans="1:56" x14ac:dyDescent="0.25">
      <c r="C5" s="6"/>
      <c r="F5" s="202"/>
      <c r="G5" s="202"/>
      <c r="H5" s="202"/>
      <c r="BB5" s="769"/>
      <c r="BD5" s="8"/>
    </row>
    <row r="6" spans="1:56" ht="51" customHeight="1" x14ac:dyDescent="0.25">
      <c r="C6" s="10" t="s">
        <v>2547</v>
      </c>
      <c r="D6" s="1794" t="s">
        <v>2535</v>
      </c>
      <c r="E6" s="1794"/>
      <c r="F6" s="1794"/>
      <c r="G6" s="1794"/>
      <c r="H6" s="1794"/>
      <c r="I6" s="1795"/>
      <c r="J6" s="1787">
        <f>B4</f>
        <v>2022</v>
      </c>
      <c r="K6" s="1787"/>
      <c r="N6" s="625"/>
      <c r="BA6" s="11" t="s">
        <v>188</v>
      </c>
      <c r="BB6" s="11" t="s">
        <v>188</v>
      </c>
      <c r="BD6" s="8"/>
    </row>
    <row r="7" spans="1:56" x14ac:dyDescent="0.25">
      <c r="C7" s="8"/>
      <c r="BA7" s="12" t="s">
        <v>189</v>
      </c>
      <c r="BB7" s="12" t="s">
        <v>189</v>
      </c>
      <c r="BD7" s="8"/>
    </row>
    <row r="8" spans="1:56" s="276" customFormat="1" ht="15.6" x14ac:dyDescent="0.3">
      <c r="A8" s="145"/>
      <c r="B8" s="8"/>
      <c r="C8" s="13" t="s">
        <v>3</v>
      </c>
      <c r="D8" s="1791" t="str">
        <f>Translations!$B$273</f>
        <v>General guidance for source stream data</v>
      </c>
      <c r="E8" s="1791"/>
      <c r="F8" s="1791"/>
      <c r="G8" s="1791"/>
      <c r="H8" s="1791"/>
      <c r="I8" s="1791"/>
      <c r="J8" s="1791"/>
      <c r="K8" s="1791"/>
      <c r="L8" s="1791"/>
      <c r="M8" s="1791"/>
      <c r="N8" s="179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x14ac:dyDescent="0.25">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x14ac:dyDescent="0.25">
      <c r="A10" s="145"/>
      <c r="B10" s="8"/>
      <c r="C10" s="15"/>
      <c r="D10" s="1208" t="s">
        <v>2536</v>
      </c>
      <c r="E10" s="1208"/>
      <c r="F10" s="1208"/>
      <c r="G10" s="1208"/>
      <c r="H10" s="1208"/>
      <c r="I10" s="1433"/>
      <c r="J10" s="1777" t="b">
        <f>NOT(MSconst_AllowInstEmmisionTotals)</f>
        <v>0</v>
      </c>
      <c r="K10" s="177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x14ac:dyDescent="0.25">
      <c r="A11" s="145"/>
      <c r="B11" s="17"/>
      <c r="C11" s="17"/>
      <c r="D11" s="1314" t="str">
        <f>Translations!$B$275</f>
        <v>If this is set to "false", entries here are optional and only provide annual total emissions in section D.I.</v>
      </c>
      <c r="E11" s="1314"/>
      <c r="F11" s="1314"/>
      <c r="G11" s="1314"/>
      <c r="H11" s="1314"/>
      <c r="I11" s="1314"/>
      <c r="J11" s="1314"/>
      <c r="K11" s="1314"/>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x14ac:dyDescent="0.25">
      <c r="A12" s="145"/>
      <c r="B12" s="17"/>
      <c r="C12" s="17"/>
      <c r="D12" s="1799" t="str">
        <f>IF(MSconst_AllowInstEmmisionTotals,HYPERLINK(BB12,EUconst_ERR_Goto_DI2),"")</f>
        <v>Please go on with entering emission totals in section D.I.2 in sheet 'D_Emissions'!</v>
      </c>
      <c r="E12" s="1799"/>
      <c r="F12" s="1799"/>
      <c r="G12" s="1799"/>
      <c r="H12" s="1799"/>
      <c r="I12" s="1799"/>
      <c r="J12" s="1799"/>
      <c r="K12" s="179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334</v>
      </c>
      <c r="BB12" s="372" t="str">
        <f>"#JUMP_D_I"</f>
        <v>#JUMP_D_I</v>
      </c>
      <c r="BC12" s="190"/>
      <c r="BD12" s="8"/>
    </row>
    <row r="13" spans="1:56" s="276" customFormat="1" x14ac:dyDescent="0.2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x14ac:dyDescent="0.3">
      <c r="A14" s="145"/>
      <c r="B14" s="8"/>
      <c r="C14" s="13" t="s">
        <v>4</v>
      </c>
      <c r="D14" s="1175" t="s">
        <v>2537</v>
      </c>
      <c r="E14" s="1175"/>
      <c r="F14" s="1175"/>
      <c r="G14" s="1175"/>
      <c r="H14" s="1175"/>
      <c r="I14" s="1175"/>
      <c r="J14" s="1175"/>
      <c r="K14" s="1175"/>
      <c r="L14" s="1175"/>
      <c r="M14" s="1175"/>
      <c r="N14" s="117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x14ac:dyDescent="0.25">
      <c r="A15" s="145"/>
      <c r="B15" s="17"/>
      <c r="C15" s="17"/>
      <c r="D15" s="1314" t="str">
        <f>Translations!$B$277</f>
        <v>The tables below are identical to sheet "Accounting" in the Annual Emissions Report template provided by the Commission.</v>
      </c>
      <c r="E15" s="1314"/>
      <c r="F15" s="1314"/>
      <c r="G15" s="1314"/>
      <c r="H15" s="1314"/>
      <c r="I15" s="1314"/>
      <c r="J15" s="1314"/>
      <c r="K15" s="1314"/>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x14ac:dyDescent="0.25">
      <c r="A16" s="145"/>
      <c r="B16" s="17"/>
      <c r="C16" s="17"/>
      <c r="D16" s="1314" t="str">
        <f>Translations!$B$278</f>
        <v>You can therefore copy data for each table from the Annual Emissions Report template without further entries and also find further guidance there.</v>
      </c>
      <c r="E16" s="1314"/>
      <c r="F16" s="1314"/>
      <c r="G16" s="1314"/>
      <c r="H16" s="1314"/>
      <c r="I16" s="1314"/>
      <c r="J16" s="1314"/>
      <c r="K16" s="1314"/>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x14ac:dyDescent="0.25">
      <c r="A17" s="145"/>
      <c r="B17" s="17"/>
      <c r="C17" s="17"/>
      <c r="D17" s="1314" t="s">
        <v>2538</v>
      </c>
      <c r="E17" s="1314"/>
      <c r="F17" s="1314"/>
      <c r="G17" s="1314"/>
      <c r="H17" s="1314"/>
      <c r="I17" s="1314"/>
      <c r="J17" s="1314"/>
      <c r="K17" s="131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x14ac:dyDescent="0.25">
      <c r="A18" s="145"/>
      <c r="B18" s="17"/>
      <c r="C18" s="17"/>
      <c r="D18" s="1778" t="s">
        <v>2539</v>
      </c>
      <c r="E18" s="1778"/>
      <c r="F18" s="1778"/>
      <c r="G18" s="1778"/>
      <c r="H18" s="1778"/>
      <c r="I18" s="1778"/>
      <c r="J18" s="1778"/>
      <c r="K18" s="177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x14ac:dyDescent="0.45">
      <c r="D19" s="196" t="str">
        <f>Translations!$B$281</f>
        <v>Source Streams (excluding PFC emissions)</v>
      </c>
      <c r="BD19" s="8"/>
    </row>
    <row r="20" spans="1:56" ht="50.1" customHeight="1" thickBot="1" x14ac:dyDescent="0.3">
      <c r="C20" s="197" t="s">
        <v>2540</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x14ac:dyDescent="0.25">
      <c r="C21" s="771" t="str">
        <f>Translations!$B$330</f>
        <v>Ex.1</v>
      </c>
      <c r="D21" s="772" t="str">
        <f>Translations!$B$331</f>
        <v>Combustion</v>
      </c>
      <c r="E21" s="772" t="str">
        <f>Translations!$B$332</f>
        <v>Heavy fuel oil</v>
      </c>
      <c r="F21" s="773">
        <v>252000</v>
      </c>
      <c r="G21" s="275" t="s">
        <v>702</v>
      </c>
      <c r="H21" s="773">
        <v>45</v>
      </c>
      <c r="I21" s="275" t="s">
        <v>2541</v>
      </c>
      <c r="J21" s="773">
        <v>73</v>
      </c>
      <c r="K21" s="275" t="s">
        <v>2542</v>
      </c>
      <c r="L21" s="275"/>
      <c r="M21" s="275" t="s">
        <v>2543</v>
      </c>
      <c r="N21" s="773">
        <v>100</v>
      </c>
      <c r="O21" s="275" t="s">
        <v>354</v>
      </c>
      <c r="P21" s="773"/>
      <c r="Q21" s="275" t="s">
        <v>354</v>
      </c>
      <c r="R21" s="773">
        <v>0</v>
      </c>
      <c r="S21" s="275" t="s">
        <v>354</v>
      </c>
      <c r="T21" s="773">
        <v>0</v>
      </c>
      <c r="U21" s="275" t="s">
        <v>354</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x14ac:dyDescent="0.25">
      <c r="C22" s="771" t="str">
        <f>Translations!$B$333</f>
        <v>Ex.2</v>
      </c>
      <c r="D22" s="772" t="str">
        <f>Translations!$B$334</f>
        <v>Process Emissions</v>
      </c>
      <c r="E22" s="772" t="str">
        <f>Translations!$B$335</f>
        <v>Clay</v>
      </c>
      <c r="F22" s="773">
        <v>121000</v>
      </c>
      <c r="G22" s="275" t="s">
        <v>702</v>
      </c>
      <c r="H22" s="773"/>
      <c r="I22" s="275" t="s">
        <v>2543</v>
      </c>
      <c r="J22" s="773">
        <v>8.7940000000000004E-2</v>
      </c>
      <c r="K22" s="275" t="s">
        <v>2544</v>
      </c>
      <c r="L22" s="275"/>
      <c r="M22" s="275" t="s">
        <v>2543</v>
      </c>
      <c r="N22" s="773"/>
      <c r="O22" s="275" t="s">
        <v>354</v>
      </c>
      <c r="P22" s="773"/>
      <c r="Q22" s="275" t="s">
        <v>354</v>
      </c>
      <c r="R22" s="773">
        <v>0</v>
      </c>
      <c r="S22" s="275" t="s">
        <v>354</v>
      </c>
      <c r="T22" s="773">
        <v>0</v>
      </c>
      <c r="U22" s="275" t="s">
        <v>354</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x14ac:dyDescent="0.25">
      <c r="C23" s="771" t="str">
        <f>Translations!$B$336</f>
        <v>Ex.3</v>
      </c>
      <c r="D23" s="772" t="str">
        <f>Translations!$B$337</f>
        <v>Mass balance</v>
      </c>
      <c r="E23" s="772" t="str">
        <f>Translations!$B$338</f>
        <v>Steel</v>
      </c>
      <c r="F23" s="773">
        <v>-1808226</v>
      </c>
      <c r="G23" s="275" t="s">
        <v>702</v>
      </c>
      <c r="H23" s="773"/>
      <c r="I23" s="275" t="s">
        <v>2543</v>
      </c>
      <c r="J23" s="773">
        <v>0</v>
      </c>
      <c r="K23" s="275" t="s">
        <v>2543</v>
      </c>
      <c r="L23" s="275">
        <v>0.38779999999999998</v>
      </c>
      <c r="M23" s="275" t="s">
        <v>2545</v>
      </c>
      <c r="N23" s="773"/>
      <c r="O23" s="275" t="s">
        <v>354</v>
      </c>
      <c r="P23" s="773">
        <v>100</v>
      </c>
      <c r="Q23" s="275" t="s">
        <v>354</v>
      </c>
      <c r="R23" s="773">
        <v>0</v>
      </c>
      <c r="S23" s="275" t="s">
        <v>354</v>
      </c>
      <c r="T23" s="773">
        <v>0</v>
      </c>
      <c r="U23" s="275" t="s">
        <v>354</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x14ac:dyDescent="0.25">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x14ac:dyDescent="0.25">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x14ac:dyDescent="0.25">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x14ac:dyDescent="0.25">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x14ac:dyDescent="0.25">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x14ac:dyDescent="0.25">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x14ac:dyDescent="0.25">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x14ac:dyDescent="0.25">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x14ac:dyDescent="0.25">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x14ac:dyDescent="0.25">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x14ac:dyDescent="0.25">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x14ac:dyDescent="0.25">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x14ac:dyDescent="0.25">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x14ac:dyDescent="0.25">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x14ac:dyDescent="0.25">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x14ac:dyDescent="0.25">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x14ac:dyDescent="0.25">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x14ac:dyDescent="0.25">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x14ac:dyDescent="0.25">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x14ac:dyDescent="0.25">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x14ac:dyDescent="0.25">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x14ac:dyDescent="0.25">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x14ac:dyDescent="0.25">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x14ac:dyDescent="0.25">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x14ac:dyDescent="0.25">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x14ac:dyDescent="0.25">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x14ac:dyDescent="0.25">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x14ac:dyDescent="0.25">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x14ac:dyDescent="0.25">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x14ac:dyDescent="0.25">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x14ac:dyDescent="0.25">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x14ac:dyDescent="0.25">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x14ac:dyDescent="0.25">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x14ac:dyDescent="0.25">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x14ac:dyDescent="0.25">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x14ac:dyDescent="0.25">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x14ac:dyDescent="0.25">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x14ac:dyDescent="0.25">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x14ac:dyDescent="0.25">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x14ac:dyDescent="0.25">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x14ac:dyDescent="0.25">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x14ac:dyDescent="0.25">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x14ac:dyDescent="0.25">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x14ac:dyDescent="0.25">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x14ac:dyDescent="0.25">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x14ac:dyDescent="0.25">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x14ac:dyDescent="0.25">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x14ac:dyDescent="0.25">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x14ac:dyDescent="0.25">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x14ac:dyDescent="0.25">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x14ac:dyDescent="0.25">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x14ac:dyDescent="0.25">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x14ac:dyDescent="0.25">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x14ac:dyDescent="0.25">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x14ac:dyDescent="0.25">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x14ac:dyDescent="0.25">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x14ac:dyDescent="0.25">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x14ac:dyDescent="0.25">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x14ac:dyDescent="0.25">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x14ac:dyDescent="0.25">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x14ac:dyDescent="0.25">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x14ac:dyDescent="0.25">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x14ac:dyDescent="0.25">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x14ac:dyDescent="0.25">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x14ac:dyDescent="0.25">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x14ac:dyDescent="0.25">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x14ac:dyDescent="0.25">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x14ac:dyDescent="0.25">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x14ac:dyDescent="0.25">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x14ac:dyDescent="0.25">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x14ac:dyDescent="0.25">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x14ac:dyDescent="0.25">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x14ac:dyDescent="0.25">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x14ac:dyDescent="0.25">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x14ac:dyDescent="0.25">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x14ac:dyDescent="0.25">
      <c r="BD99" s="8"/>
    </row>
    <row r="100" spans="3:56" ht="50.1" customHeight="1" thickBot="1" x14ac:dyDescent="0.45">
      <c r="D100" s="196" t="str">
        <f>Translations!$B$339</f>
        <v>PFC Source Streams</v>
      </c>
      <c r="BD100" s="8"/>
    </row>
    <row r="101" spans="3:56" ht="50.1" customHeight="1" thickBot="1" x14ac:dyDescent="0.3">
      <c r="C101" s="197" t="s">
        <v>2540</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x14ac:dyDescent="0.25">
      <c r="C102" s="771" t="str">
        <f>Translations!$B$341</f>
        <v>Ex.</v>
      </c>
      <c r="D102" s="772" t="str">
        <f>Translations!$B$342</f>
        <v>PFC Emissions</v>
      </c>
      <c r="E102" s="772" t="str">
        <f>Translations!$B$343</f>
        <v>Centre Worked Pre-Bake (CWPB); Anode type A</v>
      </c>
      <c r="F102" s="773">
        <v>5000</v>
      </c>
      <c r="G102" s="275" t="s">
        <v>702</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x14ac:dyDescent="0.25">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x14ac:dyDescent="0.25">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x14ac:dyDescent="0.25">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x14ac:dyDescent="0.25">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x14ac:dyDescent="0.25">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x14ac:dyDescent="0.25">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x14ac:dyDescent="0.25">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x14ac:dyDescent="0.25">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x14ac:dyDescent="0.25">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x14ac:dyDescent="0.25">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x14ac:dyDescent="0.25">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x14ac:dyDescent="0.45">
      <c r="D114" s="196" t="str">
        <f>Translations!$B$344</f>
        <v>Emissions Sources (Measurement-Based Approaches)</v>
      </c>
      <c r="AF114" s="788"/>
      <c r="BD114" s="8"/>
    </row>
    <row r="115" spans="3:56" ht="50.1" customHeight="1" thickBot="1" x14ac:dyDescent="0.3">
      <c r="C115" s="197" t="s">
        <v>2540</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x14ac:dyDescent="0.25">
      <c r="C116" s="771" t="str">
        <f>Translations!$B$330</f>
        <v>Ex.1</v>
      </c>
      <c r="D116" s="772" t="s">
        <v>729</v>
      </c>
      <c r="E116" s="772" t="str">
        <f>Translations!$B$345</f>
        <v>Nitric acid line 1</v>
      </c>
      <c r="F116" s="780"/>
      <c r="G116" s="314"/>
      <c r="H116" s="780"/>
      <c r="I116" s="314"/>
      <c r="J116" s="780"/>
      <c r="K116" s="314"/>
      <c r="L116" s="314"/>
      <c r="M116" s="314"/>
      <c r="N116" s="780"/>
      <c r="O116" s="314"/>
      <c r="P116" s="780"/>
      <c r="Q116" s="314"/>
      <c r="R116" s="781">
        <v>0</v>
      </c>
      <c r="S116" s="275" t="s">
        <v>354</v>
      </c>
      <c r="T116" s="781">
        <v>0</v>
      </c>
      <c r="U116" s="275" t="s">
        <v>354</v>
      </c>
      <c r="V116" s="781">
        <v>64.292500000000004</v>
      </c>
      <c r="W116" s="275" t="s">
        <v>2546</v>
      </c>
      <c r="X116" s="781">
        <v>4</v>
      </c>
      <c r="Y116" s="275" t="str">
        <f>Translations!$B$346</f>
        <v>h/year</v>
      </c>
      <c r="Z116" s="781">
        <v>265</v>
      </c>
      <c r="AA116" s="275" t="str">
        <f>Translations!$B$347</f>
        <v>1000Nm3/h</v>
      </c>
      <c r="AB116" s="781">
        <v>1060</v>
      </c>
      <c r="AC116" s="275" t="str">
        <f>Translations!$B$348</f>
        <v>1000Nm3/year</v>
      </c>
      <c r="AD116" s="781">
        <v>68</v>
      </c>
      <c r="AE116" s="275" t="s">
        <v>702</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x14ac:dyDescent="0.25">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354</v>
      </c>
      <c r="T117" s="781">
        <v>0</v>
      </c>
      <c r="U117" s="275" t="s">
        <v>354</v>
      </c>
      <c r="V117" s="781">
        <v>1820</v>
      </c>
      <c r="W117" s="275" t="s">
        <v>2546</v>
      </c>
      <c r="X117" s="781">
        <v>5000</v>
      </c>
      <c r="Y117" s="275" t="str">
        <f>Translations!$B$346</f>
        <v>h/year</v>
      </c>
      <c r="Z117" s="781">
        <v>50</v>
      </c>
      <c r="AA117" s="275" t="str">
        <f>Translations!$B$347</f>
        <v>1000Nm3/h</v>
      </c>
      <c r="AB117" s="781">
        <v>250000</v>
      </c>
      <c r="AC117" s="275" t="str">
        <f>Translations!$B$348</f>
        <v>1000Nm3/year</v>
      </c>
      <c r="AD117" s="781">
        <v>455000</v>
      </c>
      <c r="AE117" s="275" t="s">
        <v>702</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x14ac:dyDescent="0.25">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IF(SUM(AF118)&gt;1,EUconst_SumN2O,IF(SUM(AU118:AV118)&lt;0,EUconst_SumTransferCO2,EUconst_SumCO2))</f>
        <v>SUM_CO2</v>
      </c>
      <c r="BB118" s="218" t="str">
        <f t="shared" ref="BB118:BB127" si="6">EUconst_SumEnergyIN</f>
        <v>SUM_EnergyIN</v>
      </c>
      <c r="BD118" s="8"/>
    </row>
    <row r="119" spans="3:56" x14ac:dyDescent="0.25">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ref="BA119:BA127" si="7">IF(SUM(AF119)&gt;1,EUconst_SumN2O,IF(SUM(AU119:AV119)&lt;0,EUconst_SumTransferCO2,EUconst_SumCO2))</f>
        <v>SUM_CO2</v>
      </c>
      <c r="BB119" s="218" t="str">
        <f t="shared" si="6"/>
        <v>SUM_EnergyIN</v>
      </c>
      <c r="BD119" s="8"/>
    </row>
    <row r="120" spans="3:56" x14ac:dyDescent="0.25">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7"/>
        <v>SUM_CO2</v>
      </c>
      <c r="BB120" s="218" t="str">
        <f t="shared" si="6"/>
        <v>SUM_EnergyIN</v>
      </c>
      <c r="BD120" s="8"/>
    </row>
    <row r="121" spans="3:56" x14ac:dyDescent="0.25">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7"/>
        <v>SUM_CO2</v>
      </c>
      <c r="BB121" s="218" t="str">
        <f t="shared" si="6"/>
        <v>SUM_EnergyIN</v>
      </c>
      <c r="BD121" s="8"/>
    </row>
    <row r="122" spans="3:56" x14ac:dyDescent="0.25">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7"/>
        <v>SUM_CO2</v>
      </c>
      <c r="BB122" s="218" t="str">
        <f t="shared" si="6"/>
        <v>SUM_EnergyIN</v>
      </c>
      <c r="BD122" s="8"/>
    </row>
    <row r="123" spans="3:56" x14ac:dyDescent="0.25">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7"/>
        <v>SUM_CO2</v>
      </c>
      <c r="BB123" s="218" t="str">
        <f t="shared" si="6"/>
        <v>SUM_EnergyIN</v>
      </c>
      <c r="BD123" s="8"/>
    </row>
    <row r="124" spans="3:56" x14ac:dyDescent="0.25">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7"/>
        <v>SUM_CO2</v>
      </c>
      <c r="BB124" s="218" t="str">
        <f t="shared" si="6"/>
        <v>SUM_EnergyIN</v>
      </c>
      <c r="BD124" s="8"/>
    </row>
    <row r="125" spans="3:56" x14ac:dyDescent="0.25">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7"/>
        <v>SUM_CO2</v>
      </c>
      <c r="BB125" s="218" t="str">
        <f t="shared" si="6"/>
        <v>SUM_EnergyIN</v>
      </c>
      <c r="BD125" s="8"/>
    </row>
    <row r="126" spans="3:56" x14ac:dyDescent="0.25">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7"/>
        <v>SUM_CO2</v>
      </c>
      <c r="BB126" s="218" t="str">
        <f t="shared" si="6"/>
        <v>SUM_EnergyIN</v>
      </c>
      <c r="BD126" s="8"/>
    </row>
    <row r="127" spans="3:56" x14ac:dyDescent="0.25">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7"/>
        <v>SUM_CO2</v>
      </c>
      <c r="BB127" s="218" t="str">
        <f t="shared" si="6"/>
        <v>SUM_EnergyIN</v>
      </c>
      <c r="BD127" s="8"/>
    </row>
    <row r="128" spans="3:56" x14ac:dyDescent="0.25">
      <c r="BD128" s="8"/>
    </row>
    <row r="129" spans="1:56" ht="50.1" customHeight="1" thickBot="1" x14ac:dyDescent="0.45">
      <c r="D129" s="196" t="str">
        <f>Translations!$B$271</f>
        <v>Fall-back</v>
      </c>
      <c r="BD129" s="8"/>
    </row>
    <row r="130" spans="1:56" ht="50.1" customHeight="1" thickBot="1" x14ac:dyDescent="0.3">
      <c r="C130" s="197" t="s">
        <v>2540</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x14ac:dyDescent="0.25">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x14ac:dyDescent="0.25">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x14ac:dyDescent="0.25">
      <c r="AZ133" s="753"/>
      <c r="BD133" s="8"/>
    </row>
    <row r="134" spans="1:56" s="145" customFormat="1" hidden="1" x14ac:dyDescent="0.25">
      <c r="A134" s="145" t="s">
        <v>187</v>
      </c>
      <c r="B134" s="145" t="s">
        <v>287</v>
      </c>
      <c r="C134" s="145" t="s">
        <v>287</v>
      </c>
      <c r="D134" s="145" t="s">
        <v>287</v>
      </c>
      <c r="E134" s="145" t="s">
        <v>287</v>
      </c>
      <c r="F134" s="145" t="s">
        <v>287</v>
      </c>
      <c r="G134" s="145" t="s">
        <v>287</v>
      </c>
      <c r="H134" s="145" t="s">
        <v>287</v>
      </c>
      <c r="I134" s="145" t="s">
        <v>287</v>
      </c>
      <c r="J134" s="145" t="s">
        <v>287</v>
      </c>
      <c r="K134" s="145" t="s">
        <v>287</v>
      </c>
      <c r="L134" s="145" t="s">
        <v>287</v>
      </c>
      <c r="M134" s="145" t="s">
        <v>287</v>
      </c>
      <c r="N134" s="145" t="s">
        <v>287</v>
      </c>
      <c r="O134" s="145" t="s">
        <v>287</v>
      </c>
      <c r="P134" s="145" t="s">
        <v>287</v>
      </c>
      <c r="Q134" s="145" t="s">
        <v>287</v>
      </c>
      <c r="R134" s="145" t="s">
        <v>287</v>
      </c>
      <c r="S134" s="145" t="s">
        <v>287</v>
      </c>
      <c r="T134" s="145" t="s">
        <v>287</v>
      </c>
      <c r="U134" s="145" t="s">
        <v>287</v>
      </c>
      <c r="V134" s="145" t="s">
        <v>287</v>
      </c>
      <c r="W134" s="145" t="s">
        <v>287</v>
      </c>
      <c r="X134" s="145" t="s">
        <v>287</v>
      </c>
      <c r="Y134" s="145" t="s">
        <v>287</v>
      </c>
      <c r="Z134" s="145" t="s">
        <v>287</v>
      </c>
      <c r="AA134" s="145" t="s">
        <v>287</v>
      </c>
      <c r="AB134" s="145" t="s">
        <v>287</v>
      </c>
      <c r="AC134" s="145" t="s">
        <v>287</v>
      </c>
      <c r="AD134" s="145" t="s">
        <v>287</v>
      </c>
      <c r="AE134" s="145" t="s">
        <v>287</v>
      </c>
      <c r="AF134" s="145" t="s">
        <v>287</v>
      </c>
      <c r="AG134" s="145" t="s">
        <v>287</v>
      </c>
      <c r="AH134" s="145" t="s">
        <v>287</v>
      </c>
      <c r="AI134" s="145" t="s">
        <v>287</v>
      </c>
      <c r="AJ134" s="145" t="s">
        <v>287</v>
      </c>
      <c r="AK134" s="145" t="s">
        <v>287</v>
      </c>
      <c r="AL134" s="145" t="s">
        <v>287</v>
      </c>
      <c r="AM134" s="145" t="s">
        <v>287</v>
      </c>
      <c r="AN134" s="145" t="s">
        <v>287</v>
      </c>
      <c r="AO134" s="145" t="s">
        <v>287</v>
      </c>
      <c r="AP134" s="145" t="s">
        <v>287</v>
      </c>
      <c r="AQ134" s="145" t="s">
        <v>287</v>
      </c>
      <c r="AR134" s="145" t="s">
        <v>287</v>
      </c>
      <c r="AS134" s="145" t="s">
        <v>287</v>
      </c>
      <c r="AT134" s="145" t="s">
        <v>287</v>
      </c>
      <c r="AU134" s="145" t="s">
        <v>287</v>
      </c>
      <c r="AV134" s="145" t="s">
        <v>287</v>
      </c>
      <c r="AW134" s="145" t="s">
        <v>287</v>
      </c>
      <c r="AX134" s="145" t="s">
        <v>287</v>
      </c>
      <c r="AY134" s="145" t="s">
        <v>287</v>
      </c>
      <c r="AZ134" s="145" t="s">
        <v>287</v>
      </c>
      <c r="BA134" s="145" t="s">
        <v>287</v>
      </c>
      <c r="BB134" s="145" t="s">
        <v>287</v>
      </c>
      <c r="BC134" s="150"/>
    </row>
    <row r="135" spans="1:56" hidden="1" x14ac:dyDescent="0.25">
      <c r="C135" s="8"/>
      <c r="BD135" s="8"/>
    </row>
    <row r="136" spans="1:56" hidden="1" x14ac:dyDescent="0.25">
      <c r="C136" s="8"/>
      <c r="BD136" s="8"/>
    </row>
  </sheetData>
  <sheetProtection algorithmName="SHA-512" hashValue="tAf7OXjdTv4qkc3SomFA2ATvbnZg7qKysBLz+s8m5mQOlUJfg8mh/JrZIRCuJRDHZGUTT+vWC020YaYUBQinKQ==" saltValue="sbSGD5+nPRSlD31ZgX4haw==" spinCount="100000" sheet="1" objects="1" scenarios="1"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U98 AU24:AY98 D103:G112 AG103:AY112 D118:E127 R118:AF127 AU118:AY127 AU132:AY132">
    <cfRule type="expression" dxfId="1" priority="1" stopIfTrue="1">
      <formula>MSconst_AllowInstEmmisionTotals</formula>
    </cfRule>
  </conditionalFormatting>
  <hyperlinks>
    <hyperlink ref="F2:G2" location="JUMP_TOC_Home" display="Table of contents" xr:uid="{E9CC393F-7DC4-4E79-AE43-1B38D2748507}"/>
    <hyperlink ref="L2:M2" location="JUMP_K_I" display="Summary" xr:uid="{CAE22034-8299-460A-823F-FDA82C411DBA}"/>
    <hyperlink ref="J2:K2" location="JUMP_BY5_Top" display="JUMP_BY5_Top" xr:uid="{BE154F92-D972-46D3-9E42-8226FFF0B8B6}"/>
    <hyperlink ref="E3" location="JUMP_BY4_Top" display="JUMP_BY4_Top" xr:uid="{FE84A4CF-9591-423A-9218-4769F463E672}"/>
    <hyperlink ref="H2:I2" location="JUMP_BY3_Top" display="JUMP_BY3_Top" xr:uid="{1F39C08D-0BBC-4235-9132-080A98774410}"/>
    <hyperlink ref="F3:G3" location="JUMP_BY4_Source" display="Source streams (excl. PFC)" xr:uid="{745381F0-976D-4B13-81D9-65DBD0301CFE}"/>
    <hyperlink ref="H3:I3" location="JUMP_BY4_PFC" display="PFC source streams" xr:uid="{282BFB68-DE96-46BA-926D-98C379216305}"/>
    <hyperlink ref="J3:K3" location="JUMP_BY4_Emissions" display="Emission Sources (CEMS)" xr:uid="{8ED269B6-9C44-42AD-81BB-7B3A06AB3F43}"/>
    <hyperlink ref="L3:M3" location="JUMP_BY4_Fallback" display="Fall-back" xr:uid="{D88C7324-F1A6-43A0-9C63-31CCBF11B76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D210-9224-4BF6-A0F4-8F4D64008762}">
  <sheetPr codeName="Tabelle2"/>
  <dimension ref="A1:N92"/>
  <sheetViews>
    <sheetView zoomScaleNormal="100" workbookViewId="0">
      <pane ySplit="3" topLeftCell="A4" activePane="bottomLeft" state="frozen"/>
      <selection pane="bottomLeft" activeCell="A4" sqref="A4"/>
    </sheetView>
  </sheetViews>
  <sheetFormatPr defaultColWidth="0" defaultRowHeight="13.2" zeroHeight="1" x14ac:dyDescent="0.25"/>
  <cols>
    <col min="1" max="1" width="8" style="753" customWidth="1"/>
    <col min="2" max="2" width="12.6640625" style="753" customWidth="1"/>
    <col min="3" max="3" width="15.6640625" style="753" customWidth="1"/>
    <col min="4" max="10" width="12.6640625" style="753" customWidth="1"/>
    <col min="11" max="11" width="25.6640625" style="753" customWidth="1"/>
    <col min="12" max="12" width="11.6640625" style="753" customWidth="1"/>
    <col min="13" max="16384" width="9.109375" style="753" hidden="1"/>
  </cols>
  <sheetData>
    <row r="1" spans="1:12" ht="13.5" customHeight="1" thickBot="1" x14ac:dyDescent="0.3">
      <c r="A1" s="1181" t="s">
        <v>138</v>
      </c>
      <c r="B1" s="320" t="str">
        <f>Translations!$B$2</f>
        <v>Navigation area:</v>
      </c>
      <c r="C1" s="752"/>
      <c r="D1" s="1147" t="str">
        <f>Translations!$B$18</f>
        <v>Table of contents</v>
      </c>
      <c r="E1" s="1147"/>
      <c r="F1" s="1147" t="str">
        <f>Translations!$B$19</f>
        <v>Previous sheet</v>
      </c>
      <c r="G1" s="1147"/>
      <c r="H1" s="1147" t="str">
        <f>Translations!$B$3</f>
        <v>Next sheet</v>
      </c>
      <c r="I1" s="1147"/>
      <c r="J1" s="1147" t="str">
        <f>Translations!$B$4</f>
        <v>Summary</v>
      </c>
      <c r="K1" s="1147"/>
      <c r="L1" s="8"/>
    </row>
    <row r="2" spans="1:12" ht="13.8" thickBot="1" x14ac:dyDescent="0.3">
      <c r="A2" s="1182"/>
      <c r="B2" s="1147" t="str">
        <f>Translations!$B$5</f>
        <v>Top of sheet</v>
      </c>
      <c r="C2" s="1147"/>
      <c r="D2" s="1187"/>
      <c r="E2" s="1184"/>
      <c r="F2" s="1184"/>
      <c r="G2" s="1184"/>
      <c r="H2" s="1184"/>
      <c r="I2" s="1184"/>
      <c r="J2" s="1184"/>
      <c r="K2" s="1184"/>
      <c r="L2" s="8"/>
    </row>
    <row r="3" spans="1:12" ht="13.8" thickBot="1" x14ac:dyDescent="0.3">
      <c r="A3" s="1183"/>
      <c r="B3" s="1147" t="str">
        <f>Translations!$B$6</f>
        <v>End of sheet</v>
      </c>
      <c r="C3" s="1147"/>
      <c r="D3" s="1185"/>
      <c r="E3" s="1186"/>
      <c r="F3" s="1186"/>
      <c r="G3" s="1186"/>
      <c r="H3" s="1186"/>
      <c r="I3" s="1186"/>
      <c r="J3" s="1186"/>
      <c r="K3" s="1186"/>
      <c r="L3" s="8"/>
    </row>
    <row r="4" spans="1:12" x14ac:dyDescent="0.25">
      <c r="A4" s="8"/>
      <c r="B4" s="8"/>
      <c r="C4" s="8"/>
      <c r="D4" s="8"/>
      <c r="E4" s="8"/>
      <c r="F4" s="8"/>
      <c r="G4" s="8"/>
      <c r="H4" s="8"/>
      <c r="I4" s="8"/>
      <c r="J4" s="8"/>
      <c r="K4" s="8"/>
      <c r="L4" s="8"/>
    </row>
    <row r="5" spans="1:12" ht="22.95" customHeight="1" x14ac:dyDescent="0.25">
      <c r="A5" s="15"/>
      <c r="B5" s="1207" t="s">
        <v>139</v>
      </c>
      <c r="C5" s="1207"/>
      <c r="D5" s="1207"/>
      <c r="E5" s="1207"/>
      <c r="F5" s="1207"/>
      <c r="G5" s="1207"/>
      <c r="H5" s="1207"/>
      <c r="I5" s="1207"/>
      <c r="J5" s="1207"/>
      <c r="K5" s="8"/>
      <c r="L5" s="8"/>
    </row>
    <row r="6" spans="1:12" ht="253.95" customHeight="1" x14ac:dyDescent="0.25">
      <c r="A6" s="15"/>
      <c r="B6" s="1208" t="s">
        <v>2570</v>
      </c>
      <c r="C6" s="1208"/>
      <c r="D6" s="1208"/>
      <c r="E6" s="1208"/>
      <c r="F6" s="1208"/>
      <c r="G6" s="1208"/>
      <c r="H6" s="1208"/>
      <c r="I6" s="1208"/>
      <c r="J6" s="1208"/>
      <c r="K6" s="1208"/>
      <c r="L6" s="8"/>
    </row>
    <row r="7" spans="1:12" ht="15.6" x14ac:dyDescent="0.3">
      <c r="A7" s="13"/>
      <c r="B7" s="1175" t="str">
        <f>Translations!$B$21</f>
        <v>General Information on this Template</v>
      </c>
      <c r="C7" s="1175"/>
      <c r="D7" s="1175"/>
      <c r="E7" s="1175"/>
      <c r="F7" s="1175"/>
      <c r="G7" s="1175"/>
      <c r="H7" s="1175"/>
      <c r="I7" s="1175"/>
      <c r="J7" s="1175"/>
      <c r="K7" s="1175"/>
      <c r="L7" s="8"/>
    </row>
    <row r="8" spans="1:12" x14ac:dyDescent="0.25">
      <c r="A8" s="72"/>
      <c r="B8" s="72"/>
      <c r="C8" s="72"/>
      <c r="D8" s="72"/>
      <c r="E8" s="72"/>
      <c r="F8" s="72"/>
      <c r="G8" s="72"/>
      <c r="H8" s="72"/>
      <c r="I8" s="72"/>
      <c r="J8" s="77"/>
      <c r="K8" s="77"/>
      <c r="L8" s="8"/>
    </row>
    <row r="9" spans="1:12" ht="16.2" customHeight="1" x14ac:dyDescent="0.25">
      <c r="A9" s="754">
        <v>1</v>
      </c>
      <c r="B9" s="1194" t="s">
        <v>140</v>
      </c>
      <c r="C9" s="1195"/>
      <c r="D9" s="1195"/>
      <c r="E9" s="1195"/>
      <c r="F9" s="1195"/>
      <c r="G9" s="1195"/>
      <c r="H9" s="1195"/>
      <c r="I9" s="1195"/>
      <c r="J9" s="1195"/>
      <c r="K9" s="1195"/>
      <c r="L9" s="8"/>
    </row>
    <row r="10" spans="1:12" ht="17.399999999999999" customHeight="1" x14ac:dyDescent="0.25">
      <c r="A10" s="72"/>
      <c r="B10" s="1198" t="s">
        <v>141</v>
      </c>
      <c r="C10" s="1199"/>
      <c r="D10" s="1199"/>
      <c r="E10" s="1199"/>
      <c r="F10" s="1199"/>
      <c r="G10" s="1199"/>
      <c r="H10" s="1199"/>
      <c r="I10" s="1199"/>
      <c r="J10" s="1199"/>
      <c r="K10" s="1199"/>
      <c r="L10" s="8"/>
    </row>
    <row r="11" spans="1:12" x14ac:dyDescent="0.25">
      <c r="A11" s="72"/>
      <c r="B11" s="1198"/>
      <c r="C11" s="1198"/>
      <c r="D11" s="1198"/>
      <c r="E11" s="1198"/>
      <c r="F11" s="1198"/>
      <c r="G11" s="1198"/>
      <c r="H11" s="1198"/>
      <c r="I11" s="1198"/>
      <c r="J11" s="1198"/>
      <c r="K11" s="1198"/>
      <c r="L11" s="8"/>
    </row>
    <row r="12" spans="1:12" ht="27.6" customHeight="1" x14ac:dyDescent="0.25">
      <c r="A12" s="754">
        <f>A9+1</f>
        <v>2</v>
      </c>
      <c r="B12" s="1213" t="s">
        <v>142</v>
      </c>
      <c r="C12" s="1195"/>
      <c r="D12" s="1195"/>
      <c r="E12" s="1195"/>
      <c r="F12" s="1195"/>
      <c r="G12" s="1195"/>
      <c r="H12" s="1195"/>
      <c r="I12" s="1195"/>
      <c r="J12" s="1195"/>
      <c r="K12" s="1195"/>
      <c r="L12" s="8"/>
    </row>
    <row r="13" spans="1:12" ht="19.2" customHeight="1" x14ac:dyDescent="0.25">
      <c r="A13" s="72"/>
      <c r="B13" s="1196" t="s">
        <v>143</v>
      </c>
      <c r="C13" s="1197"/>
      <c r="D13" s="1197"/>
      <c r="E13" s="1197"/>
      <c r="F13" s="1197"/>
      <c r="G13" s="1197"/>
      <c r="H13" s="1197"/>
      <c r="I13" s="1197"/>
      <c r="J13" s="1197"/>
      <c r="K13" s="1197"/>
      <c r="L13" s="8"/>
    </row>
    <row r="14" spans="1:12" ht="12.75" hidden="1" customHeight="1" x14ac:dyDescent="0.25">
      <c r="A14" s="754"/>
      <c r="B14" s="1194" t="s">
        <v>144</v>
      </c>
      <c r="C14" s="1195"/>
      <c r="D14" s="1195"/>
      <c r="E14" s="1195"/>
      <c r="F14" s="1195"/>
      <c r="G14" s="1195"/>
      <c r="H14" s="1195"/>
      <c r="I14" s="1195"/>
      <c r="J14" s="1195"/>
      <c r="K14" s="1195"/>
      <c r="L14" s="8"/>
    </row>
    <row r="15" spans="1:12" ht="25.2" hidden="1" customHeight="1" x14ac:dyDescent="0.25">
      <c r="A15" s="754" t="e">
        <f>#REF!+1</f>
        <v>#REF!</v>
      </c>
      <c r="B15" s="1210" t="s">
        <v>145</v>
      </c>
      <c r="C15" s="1210"/>
      <c r="D15" s="1210"/>
      <c r="E15" s="1210"/>
      <c r="F15" s="1210"/>
      <c r="G15" s="1210"/>
      <c r="H15" s="1210"/>
      <c r="I15" s="1210"/>
      <c r="J15" s="1210"/>
      <c r="K15" s="1210"/>
      <c r="L15" s="8"/>
    </row>
    <row r="16" spans="1:12" x14ac:dyDescent="0.25">
      <c r="A16" s="72"/>
      <c r="B16" s="72"/>
      <c r="C16" s="72"/>
      <c r="D16" s="72"/>
      <c r="E16" s="72"/>
      <c r="F16" s="72"/>
      <c r="G16" s="72"/>
      <c r="H16" s="72"/>
      <c r="I16" s="72"/>
      <c r="J16" s="77"/>
      <c r="K16" s="77"/>
      <c r="L16" s="8"/>
    </row>
    <row r="17" spans="1:14" ht="15.6" x14ac:dyDescent="0.3">
      <c r="A17" s="13"/>
      <c r="B17" s="1175" t="s">
        <v>146</v>
      </c>
      <c r="C17" s="1175"/>
      <c r="D17" s="1175"/>
      <c r="E17" s="1175"/>
      <c r="F17" s="1175"/>
      <c r="G17" s="1175"/>
      <c r="H17" s="1175"/>
      <c r="I17" s="1175"/>
      <c r="J17" s="1175"/>
      <c r="K17" s="1175"/>
      <c r="L17" s="8"/>
    </row>
    <row r="18" spans="1:14" x14ac:dyDescent="0.25">
      <c r="A18" s="72"/>
      <c r="B18" s="72"/>
      <c r="C18" s="72"/>
      <c r="D18" s="72"/>
      <c r="E18" s="72"/>
      <c r="F18" s="72"/>
      <c r="G18" s="72"/>
      <c r="H18" s="72"/>
      <c r="I18" s="72"/>
      <c r="J18" s="77"/>
      <c r="K18" s="77"/>
      <c r="L18" s="8"/>
    </row>
    <row r="19" spans="1:14" ht="231" customHeight="1" x14ac:dyDescent="0.25">
      <c r="A19" s="754">
        <f>A12+1</f>
        <v>3</v>
      </c>
      <c r="B19" s="1194" t="s">
        <v>147</v>
      </c>
      <c r="C19" s="1195"/>
      <c r="D19" s="1195"/>
      <c r="E19" s="1195"/>
      <c r="F19" s="1195"/>
      <c r="G19" s="1195"/>
      <c r="H19" s="1195"/>
      <c r="I19" s="1195"/>
      <c r="J19" s="1195"/>
      <c r="K19" s="1195"/>
      <c r="L19" s="8"/>
    </row>
    <row r="20" spans="1:14" x14ac:dyDescent="0.25">
      <c r="A20" s="45"/>
      <c r="B20" s="1194" t="s">
        <v>148</v>
      </c>
      <c r="C20" s="1195"/>
      <c r="D20" s="1195"/>
      <c r="E20" s="1195"/>
      <c r="F20" s="1195"/>
      <c r="G20" s="1195"/>
      <c r="H20" s="1195"/>
      <c r="I20" s="1195"/>
      <c r="J20" s="1195"/>
      <c r="K20" s="1195"/>
      <c r="L20" s="8"/>
    </row>
    <row r="21" spans="1:14" x14ac:dyDescent="0.25">
      <c r="A21" s="754"/>
      <c r="B21" s="1194"/>
      <c r="C21" s="1195"/>
      <c r="D21" s="1195"/>
      <c r="E21" s="1195"/>
      <c r="F21" s="1195"/>
      <c r="G21" s="1195"/>
      <c r="H21" s="1195"/>
      <c r="I21" s="1195"/>
      <c r="J21" s="1195"/>
      <c r="K21" s="1195"/>
      <c r="L21" s="8"/>
    </row>
    <row r="22" spans="1:14" ht="35.4" customHeight="1" x14ac:dyDescent="0.25">
      <c r="A22" s="754">
        <f>A19+1</f>
        <v>4</v>
      </c>
      <c r="B22" s="1194" t="s">
        <v>149</v>
      </c>
      <c r="C22" s="1195"/>
      <c r="D22" s="1195"/>
      <c r="E22" s="1195"/>
      <c r="F22" s="1195"/>
      <c r="G22" s="1195"/>
      <c r="H22" s="1195"/>
      <c r="I22" s="1195"/>
      <c r="J22" s="1195"/>
      <c r="K22" s="1195"/>
      <c r="L22" s="8"/>
    </row>
    <row r="23" spans="1:14" ht="50.4" customHeight="1" x14ac:dyDescent="0.25">
      <c r="A23" s="754">
        <f>A22+1</f>
        <v>5</v>
      </c>
      <c r="B23" s="1194" t="s">
        <v>150</v>
      </c>
      <c r="C23" s="1195"/>
      <c r="D23" s="1195"/>
      <c r="E23" s="1195"/>
      <c r="F23" s="1195"/>
      <c r="G23" s="1195"/>
      <c r="H23" s="1195"/>
      <c r="I23" s="1195"/>
      <c r="J23" s="1195"/>
      <c r="K23" s="1195"/>
      <c r="L23" s="8"/>
    </row>
    <row r="24" spans="1:14" ht="31.95" customHeight="1" x14ac:dyDescent="0.25">
      <c r="A24" s="754">
        <f>A23+1</f>
        <v>6</v>
      </c>
      <c r="B24" s="1194" t="s">
        <v>151</v>
      </c>
      <c r="C24" s="1195"/>
      <c r="D24" s="1195"/>
      <c r="E24" s="1195"/>
      <c r="F24" s="1195"/>
      <c r="G24" s="1195"/>
      <c r="H24" s="1195"/>
      <c r="I24" s="1195"/>
      <c r="J24" s="1195"/>
      <c r="K24" s="1195"/>
      <c r="L24" s="8"/>
    </row>
    <row r="25" spans="1:14" ht="12.75" customHeight="1" x14ac:dyDescent="0.25">
      <c r="A25" s="754"/>
      <c r="B25" s="1194" t="s">
        <v>152</v>
      </c>
      <c r="C25" s="1195"/>
      <c r="D25" s="1195"/>
      <c r="E25" s="1195"/>
      <c r="F25" s="1195"/>
      <c r="G25" s="1195"/>
      <c r="H25" s="1195"/>
      <c r="I25" s="1195"/>
      <c r="J25" s="1195"/>
      <c r="K25" s="1195"/>
      <c r="L25" s="8"/>
    </row>
    <row r="26" spans="1:14" ht="12.75" customHeight="1" x14ac:dyDescent="0.25">
      <c r="A26" s="754"/>
      <c r="B26" s="72" t="s">
        <v>153</v>
      </c>
      <c r="C26" s="77"/>
      <c r="D26" s="77"/>
      <c r="E26" s="77"/>
      <c r="F26" s="77"/>
      <c r="G26" s="77"/>
      <c r="H26" s="77"/>
      <c r="I26" s="77"/>
      <c r="J26" s="77"/>
      <c r="K26" s="77"/>
      <c r="L26" s="8"/>
    </row>
    <row r="27" spans="1:14" ht="12.75" customHeight="1" x14ac:dyDescent="0.25">
      <c r="A27" s="754"/>
      <c r="B27" s="72"/>
      <c r="C27" s="755" t="s">
        <v>154</v>
      </c>
      <c r="D27" s="1201" t="s">
        <v>155</v>
      </c>
      <c r="E27" s="1202"/>
      <c r="F27" s="1202"/>
      <c r="G27" s="1202"/>
      <c r="H27" s="1202"/>
      <c r="I27" s="1202"/>
      <c r="J27" s="1202"/>
      <c r="K27" s="1202"/>
      <c r="L27" s="8"/>
    </row>
    <row r="28" spans="1:14" ht="12.75" customHeight="1" x14ac:dyDescent="0.25">
      <c r="A28" s="754"/>
      <c r="B28" s="72"/>
      <c r="C28" s="755" t="s">
        <v>156</v>
      </c>
      <c r="D28" s="1201" t="s">
        <v>157</v>
      </c>
      <c r="E28" s="1202"/>
      <c r="F28" s="1202"/>
      <c r="G28" s="1202"/>
      <c r="H28" s="1202"/>
      <c r="I28" s="1202"/>
      <c r="J28" s="1202"/>
      <c r="K28" s="1202"/>
      <c r="L28" s="8"/>
    </row>
    <row r="29" spans="1:14" ht="12.75" customHeight="1" x14ac:dyDescent="0.25">
      <c r="A29" s="754"/>
      <c r="B29" s="72"/>
      <c r="C29" s="755" t="s">
        <v>158</v>
      </c>
      <c r="D29" s="1201" t="s">
        <v>159</v>
      </c>
      <c r="E29" s="1202"/>
      <c r="F29" s="1202"/>
      <c r="G29" s="1202"/>
      <c r="H29" s="1202"/>
      <c r="I29" s="1202"/>
      <c r="J29" s="1202"/>
      <c r="K29" s="1202"/>
      <c r="L29" s="8"/>
    </row>
    <row r="30" spans="1:14" ht="12.75" customHeight="1" x14ac:dyDescent="0.25">
      <c r="A30" s="754"/>
      <c r="B30" s="72"/>
      <c r="C30" s="755" t="s">
        <v>160</v>
      </c>
      <c r="D30" s="1201" t="s">
        <v>161</v>
      </c>
      <c r="E30" s="1202"/>
      <c r="F30" s="1202"/>
      <c r="G30" s="1202"/>
      <c r="H30" s="1202"/>
      <c r="I30" s="1202"/>
      <c r="J30" s="1202"/>
      <c r="K30" s="1202"/>
      <c r="L30" s="8"/>
    </row>
    <row r="31" spans="1:14" ht="12.75" customHeight="1" x14ac:dyDescent="0.25">
      <c r="A31" s="754"/>
      <c r="B31" s="72"/>
      <c r="C31" s="72"/>
      <c r="D31" s="72"/>
      <c r="E31" s="72"/>
      <c r="F31" s="72"/>
      <c r="G31" s="72"/>
      <c r="H31" s="72"/>
      <c r="I31" s="72"/>
      <c r="J31" s="72"/>
      <c r="K31" s="72"/>
      <c r="L31" s="8"/>
    </row>
    <row r="32" spans="1:14" s="276" customFormat="1" ht="12.75" customHeight="1" x14ac:dyDescent="0.25">
      <c r="A32" s="754">
        <f>A24+1</f>
        <v>7</v>
      </c>
      <c r="B32" s="1206" t="s">
        <v>162</v>
      </c>
      <c r="C32" s="1176"/>
      <c r="D32" s="1176"/>
      <c r="E32" s="1176"/>
      <c r="F32" s="1176"/>
      <c r="G32" s="1176"/>
      <c r="H32" s="1176"/>
      <c r="I32" s="1176"/>
      <c r="J32" s="1176"/>
      <c r="K32" s="1176"/>
      <c r="L32" s="17"/>
      <c r="N32" s="753"/>
    </row>
    <row r="33" spans="1:14" s="276" customFormat="1" ht="12.75" customHeight="1" x14ac:dyDescent="0.25">
      <c r="A33" s="17"/>
      <c r="B33" s="1165" t="s">
        <v>163</v>
      </c>
      <c r="C33" s="1176"/>
      <c r="D33" s="1209" t="s">
        <v>164</v>
      </c>
      <c r="E33" s="1209"/>
      <c r="F33" s="1209"/>
      <c r="G33" s="1209"/>
      <c r="H33" s="1209"/>
      <c r="I33" s="1209"/>
      <c r="J33" s="1209"/>
      <c r="K33" s="1209"/>
      <c r="L33" s="17"/>
      <c r="N33" s="753"/>
    </row>
    <row r="34" spans="1:14" s="276" customFormat="1" x14ac:dyDescent="0.25">
      <c r="A34" s="17"/>
      <c r="B34" s="1211" t="s">
        <v>165</v>
      </c>
      <c r="C34" s="1212"/>
      <c r="D34" s="1209" t="s">
        <v>166</v>
      </c>
      <c r="E34" s="1209"/>
      <c r="F34" s="1209"/>
      <c r="G34" s="1209"/>
      <c r="H34" s="1209"/>
      <c r="I34" s="1209"/>
      <c r="J34" s="1209"/>
      <c r="K34" s="1209"/>
      <c r="L34" s="17"/>
      <c r="N34" s="753"/>
    </row>
    <row r="35" spans="1:14" s="276" customFormat="1" ht="39" customHeight="1" x14ac:dyDescent="0.25">
      <c r="A35" s="17"/>
      <c r="B35" s="1188"/>
      <c r="C35" s="1189"/>
      <c r="D35" s="1209" t="s">
        <v>167</v>
      </c>
      <c r="E35" s="1209"/>
      <c r="F35" s="1209"/>
      <c r="G35" s="1209"/>
      <c r="H35" s="1209"/>
      <c r="I35" s="1209"/>
      <c r="J35" s="1209"/>
      <c r="K35" s="1209"/>
      <c r="L35" s="17"/>
      <c r="N35" s="753"/>
    </row>
    <row r="36" spans="1:14" s="276" customFormat="1" x14ac:dyDescent="0.25">
      <c r="A36" s="17"/>
      <c r="B36" s="1190"/>
      <c r="C36" s="1191"/>
      <c r="D36" s="1220" t="s">
        <v>168</v>
      </c>
      <c r="E36" s="1176"/>
      <c r="F36" s="1176"/>
      <c r="G36" s="1176"/>
      <c r="H36" s="1176"/>
      <c r="I36" s="1176"/>
      <c r="J36" s="1176"/>
      <c r="K36" s="1176"/>
      <c r="L36" s="17"/>
      <c r="N36" s="753"/>
    </row>
    <row r="37" spans="1:14" s="276" customFormat="1" x14ac:dyDescent="0.25">
      <c r="A37" s="17"/>
      <c r="B37" s="1222"/>
      <c r="C37" s="1189"/>
      <c r="D37" s="1220" t="s">
        <v>169</v>
      </c>
      <c r="E37" s="1176"/>
      <c r="F37" s="1176"/>
      <c r="G37" s="1176"/>
      <c r="H37" s="1176"/>
      <c r="I37" s="1176"/>
      <c r="J37" s="1176"/>
      <c r="K37" s="1176"/>
      <c r="L37" s="17"/>
      <c r="N37" s="753"/>
    </row>
    <row r="38" spans="1:14" s="276" customFormat="1" ht="12.75" customHeight="1" x14ac:dyDescent="0.25">
      <c r="A38" s="17"/>
      <c r="B38" s="1200"/>
      <c r="C38" s="1189"/>
      <c r="D38" s="1209" t="s">
        <v>170</v>
      </c>
      <c r="E38" s="1209"/>
      <c r="F38" s="1209"/>
      <c r="G38" s="1209"/>
      <c r="H38" s="1209"/>
      <c r="I38" s="1209"/>
      <c r="J38" s="1209"/>
      <c r="K38" s="1209"/>
      <c r="L38" s="17"/>
      <c r="N38" s="753"/>
    </row>
    <row r="39" spans="1:14" s="276" customFormat="1" hidden="1" x14ac:dyDescent="0.25">
      <c r="A39" s="17"/>
      <c r="B39" s="1203"/>
      <c r="C39" s="1203"/>
      <c r="D39" s="1221" t="s">
        <v>171</v>
      </c>
      <c r="E39" s="1193"/>
      <c r="F39" s="1193"/>
      <c r="G39" s="1193"/>
      <c r="H39" s="1193"/>
      <c r="I39" s="1193"/>
      <c r="J39" s="1193"/>
      <c r="K39" s="1193"/>
      <c r="L39" s="17"/>
      <c r="N39" s="753"/>
    </row>
    <row r="40" spans="1:14" s="276" customFormat="1" x14ac:dyDescent="0.25">
      <c r="A40" s="17"/>
      <c r="B40" s="1204"/>
      <c r="C40" s="1205"/>
      <c r="D40" s="1209" t="s">
        <v>172</v>
      </c>
      <c r="E40" s="1176"/>
      <c r="F40" s="1176"/>
      <c r="G40" s="1176"/>
      <c r="H40" s="1176"/>
      <c r="I40" s="1176"/>
      <c r="J40" s="1176"/>
      <c r="K40" s="1176"/>
      <c r="L40" s="17"/>
      <c r="N40" s="753"/>
    </row>
    <row r="41" spans="1:14" s="276" customFormat="1" x14ac:dyDescent="0.25">
      <c r="A41" s="17"/>
      <c r="B41" s="1203"/>
      <c r="C41" s="1203"/>
      <c r="D41" s="17"/>
      <c r="E41" s="17"/>
      <c r="F41" s="17"/>
      <c r="G41" s="17"/>
      <c r="H41" s="17"/>
      <c r="I41" s="17"/>
      <c r="J41" s="17"/>
      <c r="K41" s="17"/>
      <c r="L41" s="17"/>
      <c r="N41" s="753"/>
    </row>
    <row r="42" spans="1:14" ht="42" customHeight="1" x14ac:dyDescent="0.25">
      <c r="A42" s="754">
        <f>A32+1</f>
        <v>8</v>
      </c>
      <c r="B42" s="1194" t="s">
        <v>173</v>
      </c>
      <c r="C42" s="1195"/>
      <c r="D42" s="1195"/>
      <c r="E42" s="1195"/>
      <c r="F42" s="1195"/>
      <c r="G42" s="1195"/>
      <c r="H42" s="1195"/>
      <c r="I42" s="1195"/>
      <c r="J42" s="1195"/>
      <c r="K42" s="1195"/>
      <c r="L42" s="8"/>
    </row>
    <row r="43" spans="1:14" ht="30" customHeight="1" x14ac:dyDescent="0.25">
      <c r="A43" s="754">
        <f>A42+1</f>
        <v>9</v>
      </c>
      <c r="B43" s="1194" t="s">
        <v>174</v>
      </c>
      <c r="C43" s="1195"/>
      <c r="D43" s="1195"/>
      <c r="E43" s="1195"/>
      <c r="F43" s="1195"/>
      <c r="G43" s="1195"/>
      <c r="H43" s="1195"/>
      <c r="I43" s="1195"/>
      <c r="J43" s="1195"/>
      <c r="K43" s="1195"/>
      <c r="L43" s="8"/>
    </row>
    <row r="44" spans="1:14" ht="44.4" customHeight="1" thickBot="1" x14ac:dyDescent="0.3">
      <c r="A44" s="754">
        <f>A43+1</f>
        <v>10</v>
      </c>
      <c r="B44" s="1217" t="s">
        <v>175</v>
      </c>
      <c r="C44" s="1218"/>
      <c r="D44" s="1218"/>
      <c r="E44" s="1218"/>
      <c r="F44" s="1218"/>
      <c r="G44" s="1218"/>
      <c r="H44" s="1218"/>
      <c r="I44" s="1218"/>
      <c r="J44" s="1218"/>
      <c r="K44" s="1218"/>
      <c r="L44" s="8"/>
    </row>
    <row r="45" spans="1:14" ht="45" hidden="1" customHeight="1" thickBot="1" x14ac:dyDescent="0.3">
      <c r="A45" s="1099">
        <f>A44+1</f>
        <v>11</v>
      </c>
      <c r="B45" s="1219" t="s">
        <v>176</v>
      </c>
      <c r="C45" s="1169"/>
      <c r="D45" s="1169"/>
      <c r="E45" s="1169"/>
      <c r="F45" s="1169"/>
      <c r="G45" s="1169"/>
      <c r="H45" s="1169"/>
      <c r="I45" s="1169"/>
      <c r="J45" s="1169"/>
      <c r="K45" s="1169"/>
      <c r="L45" s="8"/>
    </row>
    <row r="46" spans="1:14" ht="12.75" hidden="1" customHeight="1" thickBot="1" x14ac:dyDescent="0.3">
      <c r="A46" s="45"/>
      <c r="B46" s="1194"/>
      <c r="C46" s="1195"/>
      <c r="D46" s="1195"/>
      <c r="E46" s="1195"/>
      <c r="F46" s="1195"/>
      <c r="G46" s="1195"/>
      <c r="H46" s="1195"/>
      <c r="I46" s="1195"/>
      <c r="J46" s="1195"/>
      <c r="K46" s="1195"/>
      <c r="L46" s="8"/>
    </row>
    <row r="47" spans="1:14" ht="72" customHeight="1" thickBot="1" x14ac:dyDescent="0.3">
      <c r="A47" s="754">
        <v>11</v>
      </c>
      <c r="B47" s="1214" t="s">
        <v>177</v>
      </c>
      <c r="C47" s="1215"/>
      <c r="D47" s="1215"/>
      <c r="E47" s="1215"/>
      <c r="F47" s="1215"/>
      <c r="G47" s="1215"/>
      <c r="H47" s="1215"/>
      <c r="I47" s="1215"/>
      <c r="J47" s="1215"/>
      <c r="K47" s="1216"/>
      <c r="L47" s="8"/>
    </row>
    <row r="48" spans="1:14" x14ac:dyDescent="0.25">
      <c r="A48" s="8"/>
      <c r="B48" s="8"/>
      <c r="C48" s="8"/>
      <c r="D48" s="8"/>
      <c r="E48" s="8"/>
      <c r="F48" s="8"/>
      <c r="G48" s="8"/>
      <c r="H48" s="8"/>
      <c r="I48" s="8"/>
      <c r="J48" s="8"/>
      <c r="K48" s="8"/>
      <c r="L48" s="8"/>
    </row>
    <row r="49" spans="1:12" x14ac:dyDescent="0.25">
      <c r="A49" s="8"/>
      <c r="B49" s="8"/>
      <c r="C49" s="8"/>
      <c r="D49" s="8"/>
      <c r="E49" s="8"/>
      <c r="F49" s="8"/>
      <c r="G49" s="8"/>
      <c r="H49" s="8"/>
      <c r="I49" s="8"/>
      <c r="J49" s="8"/>
      <c r="K49" s="8"/>
      <c r="L49" s="8"/>
    </row>
    <row r="50" spans="1:12" ht="15.6" x14ac:dyDescent="0.3">
      <c r="A50" s="13"/>
      <c r="B50" s="1175" t="s">
        <v>178</v>
      </c>
      <c r="C50" s="1175"/>
      <c r="D50" s="1175"/>
      <c r="E50" s="1175"/>
      <c r="F50" s="1175"/>
      <c r="G50" s="1175"/>
      <c r="H50" s="1175"/>
      <c r="I50" s="1175"/>
      <c r="J50" s="1175"/>
      <c r="K50" s="1175"/>
      <c r="L50" s="8"/>
    </row>
    <row r="51" spans="1:12" x14ac:dyDescent="0.25">
      <c r="A51" s="72"/>
      <c r="B51" s="72"/>
      <c r="C51" s="72"/>
      <c r="D51" s="72"/>
      <c r="E51" s="72"/>
      <c r="F51" s="72"/>
      <c r="G51" s="72"/>
      <c r="H51" s="72"/>
      <c r="I51" s="72"/>
      <c r="J51" s="77"/>
      <c r="K51" s="77"/>
      <c r="L51" s="8"/>
    </row>
    <row r="52" spans="1:12" ht="43.95" customHeight="1" x14ac:dyDescent="0.25">
      <c r="A52" s="77"/>
      <c r="B52" s="1166" t="s">
        <v>179</v>
      </c>
      <c r="C52" s="1166"/>
      <c r="D52" s="1166"/>
      <c r="E52" s="1166"/>
      <c r="F52" s="1166"/>
      <c r="G52" s="1166"/>
      <c r="H52" s="1166"/>
      <c r="I52" s="1166"/>
      <c r="J52" s="1166"/>
      <c r="K52" s="1166"/>
      <c r="L52" s="8"/>
    </row>
    <row r="53" spans="1:12" x14ac:dyDescent="0.25">
      <c r="A53" s="17"/>
      <c r="B53" s="17"/>
      <c r="C53" s="17"/>
      <c r="D53" s="17"/>
      <c r="E53" s="17"/>
      <c r="F53" s="17"/>
      <c r="G53" s="17"/>
      <c r="H53" s="17"/>
      <c r="I53" s="17"/>
      <c r="J53" s="17"/>
      <c r="K53" s="17"/>
      <c r="L53" s="8"/>
    </row>
    <row r="54" spans="1:12" ht="13.2" customHeight="1" x14ac:dyDescent="0.25">
      <c r="A54" s="17"/>
      <c r="B54" s="17"/>
      <c r="C54" s="1178" t="s">
        <v>2576</v>
      </c>
      <c r="D54" s="1178"/>
      <c r="E54" s="1178"/>
      <c r="F54" s="1178"/>
      <c r="G54" s="1178"/>
      <c r="H54" s="1178"/>
      <c r="I54" s="1178"/>
      <c r="J54" s="17"/>
      <c r="K54" s="17"/>
      <c r="L54" s="8"/>
    </row>
    <row r="55" spans="1:12" x14ac:dyDescent="0.25">
      <c r="A55" s="17"/>
      <c r="B55" s="17"/>
      <c r="C55" s="1178"/>
      <c r="D55" s="1178"/>
      <c r="E55" s="1178"/>
      <c r="F55" s="1178"/>
      <c r="G55" s="1178"/>
      <c r="H55" s="1178"/>
      <c r="I55" s="1178"/>
      <c r="J55" s="17"/>
      <c r="K55" s="17"/>
      <c r="L55" s="8"/>
    </row>
    <row r="56" spans="1:12" x14ac:dyDescent="0.25">
      <c r="A56" s="17"/>
      <c r="B56" s="17"/>
      <c r="C56" s="1178"/>
      <c r="D56" s="1178"/>
      <c r="E56" s="1178"/>
      <c r="F56" s="1178"/>
      <c r="G56" s="1178"/>
      <c r="H56" s="1178"/>
      <c r="I56" s="1178"/>
      <c r="J56" s="17"/>
      <c r="K56" s="17"/>
      <c r="L56" s="8"/>
    </row>
    <row r="57" spans="1:12" x14ac:dyDescent="0.25">
      <c r="A57" s="17"/>
      <c r="B57" s="8"/>
      <c r="C57" s="1178"/>
      <c r="D57" s="1178"/>
      <c r="E57" s="1178"/>
      <c r="F57" s="1178"/>
      <c r="G57" s="1178"/>
      <c r="H57" s="1178"/>
      <c r="I57" s="1178"/>
      <c r="J57" s="17"/>
      <c r="K57" s="17"/>
      <c r="L57" s="8"/>
    </row>
    <row r="58" spans="1:12" x14ac:dyDescent="0.25">
      <c r="A58" s="17"/>
      <c r="B58" s="17"/>
      <c r="C58" s="1178"/>
      <c r="D58" s="1178"/>
      <c r="E58" s="1178"/>
      <c r="F58" s="1178"/>
      <c r="G58" s="1178"/>
      <c r="H58" s="1178"/>
      <c r="I58" s="1178"/>
      <c r="J58" s="17"/>
      <c r="K58" s="17"/>
      <c r="L58" s="8"/>
    </row>
    <row r="59" spans="1:12" x14ac:dyDescent="0.25">
      <c r="A59" s="17"/>
      <c r="B59" s="17"/>
      <c r="C59" s="756"/>
      <c r="D59" s="756"/>
      <c r="E59" s="756"/>
      <c r="F59" s="756"/>
      <c r="G59" s="756"/>
      <c r="H59" s="756"/>
      <c r="I59" s="756"/>
      <c r="J59" s="17"/>
      <c r="K59" s="17"/>
      <c r="L59" s="8"/>
    </row>
    <row r="60" spans="1:12" x14ac:dyDescent="0.25">
      <c r="A60" s="17"/>
      <c r="B60" s="17"/>
      <c r="C60" s="756"/>
      <c r="D60" s="756"/>
      <c r="E60" s="756"/>
      <c r="F60" s="756"/>
      <c r="G60" s="756"/>
      <c r="H60" s="756"/>
      <c r="I60" s="756"/>
      <c r="J60" s="17"/>
      <c r="K60" s="17"/>
      <c r="L60" s="8"/>
    </row>
    <row r="61" spans="1:12" x14ac:dyDescent="0.25">
      <c r="A61" s="17"/>
      <c r="B61" s="17"/>
      <c r="C61" s="756"/>
      <c r="D61" s="756"/>
      <c r="E61" s="756"/>
      <c r="F61" s="756"/>
      <c r="G61" s="756"/>
      <c r="H61" s="756"/>
      <c r="I61" s="756"/>
      <c r="J61" s="17"/>
      <c r="K61" s="17"/>
      <c r="L61" s="8"/>
    </row>
    <row r="62" spans="1:12" x14ac:dyDescent="0.25">
      <c r="A62" s="17"/>
      <c r="B62" s="17"/>
      <c r="C62" s="17"/>
      <c r="D62" s="17"/>
      <c r="E62" s="17"/>
      <c r="F62" s="17"/>
      <c r="G62" s="17"/>
      <c r="H62" s="17"/>
      <c r="I62" s="17"/>
      <c r="J62" s="17"/>
      <c r="K62" s="17"/>
      <c r="L62" s="8"/>
    </row>
    <row r="63" spans="1:12" x14ac:dyDescent="0.25">
      <c r="A63" s="8"/>
      <c r="B63" s="8"/>
      <c r="C63" s="8"/>
      <c r="D63" s="8"/>
      <c r="E63" s="8"/>
      <c r="F63" s="8"/>
      <c r="G63" s="1179"/>
      <c r="H63" s="1179"/>
      <c r="I63" s="1179"/>
      <c r="J63" s="1179"/>
      <c r="K63" s="1179"/>
      <c r="L63" s="8"/>
    </row>
    <row r="64" spans="1:12" ht="15.6" x14ac:dyDescent="0.25">
      <c r="A64" s="8"/>
      <c r="B64" s="1177" t="str">
        <f>Translations!$B$62</f>
        <v>Information sources:</v>
      </c>
      <c r="C64" s="1177"/>
      <c r="D64" s="1177"/>
      <c r="E64" s="1177"/>
      <c r="F64" s="1177"/>
      <c r="G64" s="1177"/>
      <c r="H64" s="1177"/>
      <c r="I64" s="1177"/>
      <c r="J64" s="1177"/>
      <c r="K64" s="1177"/>
      <c r="L64" s="8"/>
    </row>
    <row r="65" spans="1:14" x14ac:dyDescent="0.25">
      <c r="A65" s="8"/>
      <c r="B65" s="1165" t="s">
        <v>180</v>
      </c>
      <c r="C65" s="1176"/>
      <c r="D65" s="1176"/>
      <c r="E65" s="1176"/>
      <c r="F65" s="1176"/>
      <c r="G65" s="1176"/>
      <c r="H65" s="1176"/>
      <c r="I65" s="1176"/>
      <c r="J65" s="1176"/>
      <c r="K65" s="1176"/>
      <c r="L65" s="8"/>
    </row>
    <row r="66" spans="1:14" ht="13.2" customHeight="1" x14ac:dyDescent="0.25">
      <c r="A66" s="8"/>
      <c r="B66" s="1171" t="s">
        <v>181</v>
      </c>
      <c r="C66" s="1171"/>
      <c r="D66" s="1171"/>
      <c r="E66" s="1171"/>
      <c r="F66" s="1173" t="s">
        <v>182</v>
      </c>
      <c r="G66" s="1173"/>
      <c r="H66" s="1173"/>
      <c r="I66" s="1173"/>
      <c r="J66" s="1173"/>
      <c r="K66" s="1173"/>
      <c r="L66" s="8"/>
    </row>
    <row r="67" spans="1:14" ht="27.75" customHeight="1" x14ac:dyDescent="0.25">
      <c r="A67" s="8"/>
      <c r="B67" s="1171" t="s">
        <v>183</v>
      </c>
      <c r="C67" s="1171"/>
      <c r="D67" s="1171"/>
      <c r="E67" s="1171"/>
      <c r="F67" s="1172" t="s">
        <v>184</v>
      </c>
      <c r="G67" s="1172"/>
      <c r="H67" s="1172"/>
      <c r="I67" s="1172"/>
      <c r="J67" s="1172"/>
      <c r="K67" s="1172"/>
      <c r="L67" s="8"/>
    </row>
    <row r="68" spans="1:14" x14ac:dyDescent="0.25">
      <c r="A68" s="8"/>
      <c r="B68" s="1174" t="s">
        <v>185</v>
      </c>
      <c r="C68" s="1174"/>
      <c r="D68" s="1174"/>
      <c r="E68" s="1174"/>
      <c r="F68" s="616" t="s">
        <v>186</v>
      </c>
      <c r="G68" s="8"/>
      <c r="H68" s="8"/>
      <c r="I68" s="8"/>
      <c r="J68" s="8"/>
      <c r="K68" s="8"/>
      <c r="L68" s="8"/>
    </row>
    <row r="69" spans="1:14" s="1101" customFormat="1" hidden="1" x14ac:dyDescent="0.25">
      <c r="B69" s="1192" t="str">
        <f>Translations!$B$68</f>
        <v>Other Websites:</v>
      </c>
      <c r="C69" s="1193"/>
      <c r="D69" s="1193"/>
      <c r="E69" s="1193"/>
      <c r="F69" s="1193"/>
      <c r="G69" s="1193"/>
      <c r="H69" s="1193"/>
      <c r="I69" s="1193"/>
      <c r="J69" s="1193"/>
      <c r="K69" s="1193"/>
    </row>
    <row r="70" spans="1:14" s="1101" customFormat="1" hidden="1" x14ac:dyDescent="0.25">
      <c r="B70" s="1169" t="str">
        <f>Translations!$B$69</f>
        <v>&lt;to be provided by Member State&gt;</v>
      </c>
      <c r="C70" s="1169"/>
      <c r="D70" s="1169"/>
      <c r="E70" s="1169"/>
      <c r="F70" s="1169"/>
      <c r="G70" s="1169"/>
      <c r="H70" s="1169"/>
      <c r="I70" s="1169"/>
      <c r="J70" s="1169"/>
      <c r="K70" s="1169"/>
    </row>
    <row r="71" spans="1:14" s="1101" customFormat="1" hidden="1" x14ac:dyDescent="0.25">
      <c r="B71" s="1169"/>
      <c r="C71" s="1169"/>
      <c r="D71" s="1169"/>
      <c r="E71" s="1169"/>
      <c r="F71" s="1169"/>
      <c r="G71" s="1169"/>
      <c r="H71" s="1169"/>
      <c r="I71" s="1169"/>
      <c r="J71" s="1169"/>
      <c r="K71" s="1169"/>
    </row>
    <row r="72" spans="1:14" s="1101" customFormat="1" hidden="1" x14ac:dyDescent="0.25">
      <c r="B72" s="1193" t="str">
        <f>Translations!$B$70</f>
        <v>Helpdesk:</v>
      </c>
      <c r="C72" s="1193"/>
      <c r="D72" s="1193"/>
      <c r="E72" s="1193"/>
      <c r="F72" s="1193"/>
      <c r="G72" s="1193"/>
      <c r="H72" s="1193"/>
      <c r="I72" s="1193"/>
      <c r="J72" s="1193"/>
      <c r="K72" s="1193"/>
    </row>
    <row r="73" spans="1:14" s="1101" customFormat="1" hidden="1" x14ac:dyDescent="0.25">
      <c r="B73" s="1169" t="str">
        <f>Translations!$B$71</f>
        <v>&lt;to be provided by Member State, if relevant&gt;</v>
      </c>
      <c r="C73" s="1169"/>
      <c r="D73" s="1169"/>
      <c r="E73" s="1169"/>
      <c r="F73" s="1169"/>
      <c r="G73" s="1169"/>
      <c r="H73" s="1169"/>
      <c r="I73" s="1169"/>
      <c r="J73" s="1169"/>
      <c r="K73" s="1169"/>
    </row>
    <row r="74" spans="1:14" s="1101" customFormat="1" hidden="1" x14ac:dyDescent="0.25">
      <c r="B74" s="1169"/>
      <c r="C74" s="1169"/>
      <c r="D74" s="1169"/>
      <c r="E74" s="1169"/>
      <c r="F74" s="1169"/>
      <c r="G74" s="1169"/>
      <c r="H74" s="1169"/>
      <c r="I74" s="1169"/>
      <c r="J74" s="1169"/>
      <c r="K74" s="1169"/>
    </row>
    <row r="75" spans="1:14" s="1101" customFormat="1" hidden="1" x14ac:dyDescent="0.25"/>
    <row r="76" spans="1:14" s="1102" customFormat="1" hidden="1" x14ac:dyDescent="0.25">
      <c r="N76" s="1101"/>
    </row>
    <row r="77" spans="1:14" s="1101" customFormat="1" ht="15.6" hidden="1" x14ac:dyDescent="0.25">
      <c r="B77" s="1170" t="str">
        <f>Translations!$B$72</f>
        <v>Further guidance as provided by the Member State:</v>
      </c>
      <c r="C77" s="1170"/>
      <c r="D77" s="1170"/>
      <c r="E77" s="1170"/>
      <c r="F77" s="1170"/>
      <c r="G77" s="1170"/>
      <c r="H77" s="1170"/>
      <c r="I77" s="1170"/>
      <c r="J77" s="1170"/>
      <c r="K77" s="1170"/>
    </row>
    <row r="78" spans="1:14" s="1101" customFormat="1" hidden="1" x14ac:dyDescent="0.25">
      <c r="B78" s="1169"/>
      <c r="C78" s="1169"/>
      <c r="D78" s="1169"/>
      <c r="E78" s="1169"/>
      <c r="F78" s="1169"/>
      <c r="G78" s="1169"/>
      <c r="H78" s="1169"/>
      <c r="I78" s="1169"/>
      <c r="J78" s="1169"/>
      <c r="K78" s="1169"/>
    </row>
    <row r="79" spans="1:14" s="1101" customFormat="1" hidden="1" x14ac:dyDescent="0.25">
      <c r="B79" s="1169"/>
      <c r="C79" s="1169"/>
      <c r="D79" s="1169"/>
      <c r="E79" s="1169"/>
      <c r="F79" s="1169"/>
      <c r="G79" s="1169"/>
      <c r="H79" s="1169"/>
      <c r="I79" s="1169"/>
      <c r="J79" s="1169"/>
      <c r="K79" s="1169"/>
    </row>
    <row r="80" spans="1:14" s="1101" customFormat="1" hidden="1" x14ac:dyDescent="0.25">
      <c r="B80" s="1169"/>
      <c r="C80" s="1169"/>
      <c r="D80" s="1169"/>
      <c r="E80" s="1169"/>
      <c r="F80" s="1169"/>
      <c r="G80" s="1169"/>
      <c r="H80" s="1169"/>
      <c r="I80" s="1169"/>
      <c r="J80" s="1169"/>
      <c r="K80" s="1169"/>
    </row>
    <row r="81" spans="1:12" s="1101" customFormat="1" hidden="1" x14ac:dyDescent="0.25">
      <c r="B81" s="1169"/>
      <c r="C81" s="1169"/>
      <c r="D81" s="1169"/>
      <c r="E81" s="1169"/>
      <c r="F81" s="1169"/>
      <c r="G81" s="1169"/>
      <c r="H81" s="1169"/>
      <c r="I81" s="1169"/>
      <c r="J81" s="1169"/>
      <c r="K81" s="1169"/>
    </row>
    <row r="82" spans="1:12" s="1101" customFormat="1" hidden="1" x14ac:dyDescent="0.25">
      <c r="B82" s="1169"/>
      <c r="C82" s="1169"/>
      <c r="D82" s="1169"/>
      <c r="E82" s="1169"/>
      <c r="F82" s="1169"/>
      <c r="G82" s="1169"/>
      <c r="H82" s="1169"/>
      <c r="I82" s="1169"/>
      <c r="J82" s="1169"/>
      <c r="K82" s="1169"/>
    </row>
    <row r="83" spans="1:12" s="1101" customFormat="1" hidden="1" x14ac:dyDescent="0.25">
      <c r="B83" s="1169"/>
      <c r="C83" s="1169"/>
      <c r="D83" s="1169"/>
      <c r="E83" s="1169"/>
      <c r="F83" s="1169"/>
      <c r="G83" s="1169"/>
      <c r="H83" s="1169"/>
      <c r="I83" s="1169"/>
      <c r="J83" s="1169"/>
      <c r="K83" s="1169"/>
    </row>
    <row r="84" spans="1:12" s="1101" customFormat="1" hidden="1" x14ac:dyDescent="0.25">
      <c r="B84" s="1169"/>
      <c r="C84" s="1169"/>
      <c r="D84" s="1169"/>
      <c r="E84" s="1169"/>
      <c r="F84" s="1169"/>
      <c r="G84" s="1169"/>
      <c r="H84" s="1169"/>
      <c r="I84" s="1169"/>
      <c r="J84" s="1169"/>
      <c r="K84" s="1169"/>
    </row>
    <row r="85" spans="1:12" s="1101" customFormat="1" hidden="1" x14ac:dyDescent="0.25">
      <c r="B85" s="1169"/>
      <c r="C85" s="1169"/>
      <c r="D85" s="1169"/>
      <c r="E85" s="1169"/>
      <c r="F85" s="1169"/>
      <c r="G85" s="1169"/>
      <c r="H85" s="1169"/>
      <c r="I85" s="1169"/>
      <c r="J85" s="1169"/>
      <c r="K85" s="1169"/>
    </row>
    <row r="86" spans="1:12" s="1101" customFormat="1" hidden="1" x14ac:dyDescent="0.25">
      <c r="B86" s="1169"/>
      <c r="C86" s="1169"/>
      <c r="D86" s="1169"/>
      <c r="E86" s="1169"/>
      <c r="F86" s="1169"/>
      <c r="G86" s="1169"/>
      <c r="H86" s="1169"/>
      <c r="I86" s="1169"/>
      <c r="J86" s="1169"/>
      <c r="K86" s="1169"/>
    </row>
    <row r="87" spans="1:12" s="1101" customFormat="1" hidden="1" x14ac:dyDescent="0.25">
      <c r="B87" s="1169"/>
      <c r="C87" s="1169"/>
      <c r="D87" s="1169"/>
      <c r="E87" s="1169"/>
      <c r="F87" s="1169"/>
      <c r="G87" s="1169"/>
      <c r="H87" s="1169"/>
      <c r="I87" s="1169"/>
      <c r="J87" s="1169"/>
      <c r="K87" s="1169"/>
    </row>
    <row r="88" spans="1:12" s="1101" customFormat="1" hidden="1" x14ac:dyDescent="0.25">
      <c r="B88" s="1169"/>
      <c r="C88" s="1169"/>
      <c r="D88" s="1169"/>
      <c r="E88" s="1169"/>
      <c r="F88" s="1169"/>
      <c r="G88" s="1169"/>
      <c r="H88" s="1169"/>
      <c r="I88" s="1169"/>
      <c r="J88" s="1169"/>
      <c r="K88" s="1169"/>
    </row>
    <row r="89" spans="1:12" s="1101" customFormat="1" hidden="1" x14ac:dyDescent="0.25">
      <c r="B89" s="1169"/>
      <c r="C89" s="1169"/>
      <c r="D89" s="1169"/>
      <c r="E89" s="1169"/>
      <c r="F89" s="1169"/>
      <c r="G89" s="1169"/>
      <c r="H89" s="1169"/>
      <c r="I89" s="1169"/>
      <c r="J89" s="1169"/>
      <c r="K89" s="1169"/>
    </row>
    <row r="90" spans="1:12" x14ac:dyDescent="0.25">
      <c r="A90" s="8"/>
      <c r="B90" s="8"/>
      <c r="C90" s="8"/>
      <c r="D90" s="8"/>
      <c r="E90" s="8"/>
      <c r="F90" s="8"/>
      <c r="G90" s="8"/>
      <c r="H90" s="8"/>
      <c r="I90" s="8"/>
      <c r="J90" s="8"/>
      <c r="K90" s="8"/>
      <c r="L90" s="8"/>
    </row>
    <row r="91" spans="1:12" x14ac:dyDescent="0.25">
      <c r="A91" s="8"/>
      <c r="B91" s="1180" t="str">
        <f>Translations!$B$73</f>
        <v xml:space="preserve">&lt;&lt;&lt; Click here to proceed to next sheet &gt;&gt;&gt; </v>
      </c>
      <c r="C91" s="1180"/>
      <c r="D91" s="1180"/>
      <c r="E91" s="1180"/>
      <c r="F91" s="1180"/>
      <c r="G91" s="1180"/>
      <c r="H91" s="1180"/>
      <c r="I91" s="1180"/>
      <c r="J91" s="1180"/>
      <c r="K91" s="1180"/>
      <c r="L91" s="8"/>
    </row>
    <row r="92" spans="1:12" x14ac:dyDescent="0.25"/>
  </sheetData>
  <sheetProtection algorithmName="SHA-512" hashValue="hZie/LgMXGFt/ZBnybKvz/IHEfG3rKsqfFQO34tzRuz9W/hhVefOTpNWKFgJNABvbcOGlvih52xNw8u+G3rGIQ==" saltValue="f1auYQuwuY6ftqYJaVrRHw==" spinCount="100000" sheet="1" objects="1" scenarios="1" formatColumns="0" formatRows="0"/>
  <mergeCells count="92">
    <mergeCell ref="D35:K35"/>
    <mergeCell ref="D34:K34"/>
    <mergeCell ref="D33:K33"/>
    <mergeCell ref="B47:K47"/>
    <mergeCell ref="B43:K43"/>
    <mergeCell ref="B44:K44"/>
    <mergeCell ref="B45:K45"/>
    <mergeCell ref="D36:K36"/>
    <mergeCell ref="D37:K37"/>
    <mergeCell ref="D39:K39"/>
    <mergeCell ref="D40:K40"/>
    <mergeCell ref="B37:C37"/>
    <mergeCell ref="B41:C41"/>
    <mergeCell ref="B25:K25"/>
    <mergeCell ref="B22:K22"/>
    <mergeCell ref="B19:K19"/>
    <mergeCell ref="B14:K14"/>
    <mergeCell ref="B12:K12"/>
    <mergeCell ref="F2:G2"/>
    <mergeCell ref="B39:C39"/>
    <mergeCell ref="B40:C40"/>
    <mergeCell ref="B42:K42"/>
    <mergeCell ref="B32:K32"/>
    <mergeCell ref="B11:K11"/>
    <mergeCell ref="B5:J5"/>
    <mergeCell ref="B6:K6"/>
    <mergeCell ref="D38:K38"/>
    <mergeCell ref="B23:K23"/>
    <mergeCell ref="B21:K21"/>
    <mergeCell ref="B24:K24"/>
    <mergeCell ref="B15:K15"/>
    <mergeCell ref="B20:K20"/>
    <mergeCell ref="B33:C33"/>
    <mergeCell ref="B34:C34"/>
    <mergeCell ref="D1:E1"/>
    <mergeCell ref="F1:G1"/>
    <mergeCell ref="H1:I1"/>
    <mergeCell ref="J1:K1"/>
    <mergeCell ref="B46:K46"/>
    <mergeCell ref="B3:C3"/>
    <mergeCell ref="B13:K13"/>
    <mergeCell ref="B10:K10"/>
    <mergeCell ref="B9:K9"/>
    <mergeCell ref="B38:C38"/>
    <mergeCell ref="B7:K7"/>
    <mergeCell ref="B17:K17"/>
    <mergeCell ref="D27:K27"/>
    <mergeCell ref="D28:K28"/>
    <mergeCell ref="D29:K29"/>
    <mergeCell ref="D30:K30"/>
    <mergeCell ref="B91:K91"/>
    <mergeCell ref="A1:A3"/>
    <mergeCell ref="H2:I2"/>
    <mergeCell ref="J2:K2"/>
    <mergeCell ref="D3:E3"/>
    <mergeCell ref="F3:G3"/>
    <mergeCell ref="H3:I3"/>
    <mergeCell ref="J3:K3"/>
    <mergeCell ref="B2:C2"/>
    <mergeCell ref="D2:E2"/>
    <mergeCell ref="B35:C35"/>
    <mergeCell ref="B36:C36"/>
    <mergeCell ref="B73:K73"/>
    <mergeCell ref="B74:K74"/>
    <mergeCell ref="B69:K69"/>
    <mergeCell ref="B72:K72"/>
    <mergeCell ref="B50:K50"/>
    <mergeCell ref="B65:K65"/>
    <mergeCell ref="B52:K52"/>
    <mergeCell ref="B64:K64"/>
    <mergeCell ref="C54:I58"/>
    <mergeCell ref="G63:K63"/>
    <mergeCell ref="B88:K88"/>
    <mergeCell ref="B89:K89"/>
    <mergeCell ref="B82:K82"/>
    <mergeCell ref="B83:K83"/>
    <mergeCell ref="B84:K84"/>
    <mergeCell ref="B85:K85"/>
    <mergeCell ref="B86:K86"/>
    <mergeCell ref="B87:K87"/>
    <mergeCell ref="B70:K70"/>
    <mergeCell ref="B71:K71"/>
    <mergeCell ref="B67:E67"/>
    <mergeCell ref="B66:E66"/>
    <mergeCell ref="F67:K67"/>
    <mergeCell ref="F66:K66"/>
    <mergeCell ref="B68:E68"/>
    <mergeCell ref="B78:K78"/>
    <mergeCell ref="B79:K79"/>
    <mergeCell ref="B80:K80"/>
    <mergeCell ref="B81:K81"/>
    <mergeCell ref="B77:K77"/>
  </mergeCells>
  <phoneticPr fontId="7" type="noConversion"/>
  <hyperlinks>
    <hyperlink ref="D1:E1" location="JUMP_TOC_Home" display="Table of contents" xr:uid="{98F92897-C19E-45CC-8324-0FC11C19ACE4}"/>
    <hyperlink ref="J1:K1" location="JUMP_K_I" display="Summary" xr:uid="{B9070161-E1D0-4389-8B83-C86F47E67B18}"/>
    <hyperlink ref="B91:K91" location="JUMP_A_I" display="&lt;&lt;&lt; Click here to proceed to next sheet &gt;&gt;&gt; " xr:uid="{B65CD7FE-FD72-4221-9548-27AA21A204D8}"/>
    <hyperlink ref="B2:C2" location="JUMP_Guidelines_Home" display="Top of sheet" xr:uid="{59A57322-6392-4532-9173-5D42C5828DB3}"/>
    <hyperlink ref="B3:C3" location="JUMP_Guidelines_Bottom" display="End of sheet" xr:uid="{7D7B615D-3703-414E-AF36-3123E128DE17}"/>
    <hyperlink ref="F1:G1" location="JUMP_TOC_Home" display="Previous sheet" xr:uid="{F65A0A4A-6D07-4EB8-BE0A-CD4A1249616D}"/>
    <hyperlink ref="H1:I1" location="JUMP_A_I" display="Next sheet" xr:uid="{1E1FF787-79B9-4E49-A69A-71D50EB037D3}"/>
    <hyperlink ref="B13" r:id="rId1" xr:uid="{903DACFE-A9FC-4CD5-8FBF-5F61D771866C}"/>
    <hyperlink ref="B13:K13" r:id="rId2" display="https://www.legislation.gov.uk/eur/2019/331/contents" xr:uid="{27528B9C-BCD4-44FD-9B66-9FE4EA4AB1C8}"/>
    <hyperlink ref="B10" r:id="rId3" xr:uid="{71E35CCA-9743-47AE-BA96-1199CE94D106}"/>
    <hyperlink ref="F66" r:id="rId4" xr:uid="{9B259C08-1ACA-4AEB-B7D8-79457F56F404}"/>
    <hyperlink ref="F67" r:id="rId5" xr:uid="{E677366C-18BD-4950-8B70-BEB1B63E0728}"/>
    <hyperlink ref="F68" r:id="rId6" xr:uid="{53EC5EC2-052A-4D67-ABA5-37E822064DBC}"/>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3"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FE1DE-147B-48D4-A8D3-5F451C97D2B7}">
  <sheetPr codeName="Tabelle20">
    <tabColor rgb="FFCCFFCC"/>
  </sheetPr>
  <dimension ref="A1:BD136"/>
  <sheetViews>
    <sheetView topLeftCell="B1" zoomScaleNormal="100" workbookViewId="0">
      <pane ySplit="4" topLeftCell="A5" activePane="bottomLeft" state="frozen"/>
      <selection activeCell="C2" sqref="C2"/>
      <selection pane="bottomLeft" activeCell="B5" sqref="B5"/>
    </sheetView>
  </sheetViews>
  <sheetFormatPr defaultColWidth="0" defaultRowHeight="13.2" zeroHeight="1" x14ac:dyDescent="0.25"/>
  <cols>
    <col min="1" max="1" width="3.44140625" style="190" hidden="1" customWidth="1"/>
    <col min="2" max="2" width="3.44140625" style="8" customWidth="1"/>
    <col min="3" max="3" width="6.109375" style="202" customWidth="1"/>
    <col min="4" max="4" width="21.5546875" style="8" bestFit="1" customWidth="1"/>
    <col min="5" max="5" width="35.6640625" style="8" customWidth="1"/>
    <col min="6" max="6" width="15.6640625" style="8" customWidth="1"/>
    <col min="7" max="51" width="12.6640625" style="8" customWidth="1"/>
    <col min="52" max="52" width="9.109375" style="8" customWidth="1"/>
    <col min="53" max="55" width="11.44140625" style="190" hidden="1" customWidth="1"/>
    <col min="56" max="16384" width="11.44140625" style="753" hidden="1"/>
  </cols>
  <sheetData>
    <row r="1" spans="1:56" ht="13.8" hidden="1" thickBot="1" x14ac:dyDescent="0.3">
      <c r="A1" s="190" t="s">
        <v>187</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187</v>
      </c>
      <c r="BB1" s="190" t="s">
        <v>187</v>
      </c>
      <c r="BC1" s="190" t="s">
        <v>187</v>
      </c>
      <c r="BD1" s="8"/>
    </row>
    <row r="2" spans="1:56" ht="13.5" customHeight="1" thickBot="1" x14ac:dyDescent="0.3">
      <c r="B2" s="1282" t="str">
        <f>Translations!$B$267</f>
        <v>B+C Annual Emissions Data</v>
      </c>
      <c r="C2" s="1779"/>
      <c r="D2" s="1780"/>
      <c r="E2" s="320" t="str">
        <f>Translations!$B$2</f>
        <v>Navigation area:</v>
      </c>
      <c r="F2" s="1291" t="str">
        <f>Translations!$B$18</f>
        <v>Table of contents</v>
      </c>
      <c r="G2" s="1147"/>
      <c r="H2" s="1147" t="str">
        <f>Translations!$B$19</f>
        <v>Previous sheet</v>
      </c>
      <c r="I2" s="1797"/>
      <c r="J2" s="1147"/>
      <c r="K2" s="1797"/>
      <c r="L2" s="1147" t="str">
        <f>Translations!$B$4</f>
        <v>Summary</v>
      </c>
      <c r="M2" s="1797"/>
      <c r="BA2" s="767" t="s">
        <v>2533</v>
      </c>
      <c r="BB2" s="768">
        <v>5</v>
      </c>
      <c r="BD2" s="8"/>
    </row>
    <row r="3" spans="1:56" ht="13.8" thickBot="1" x14ac:dyDescent="0.3">
      <c r="B3" s="1781"/>
      <c r="C3" s="1782"/>
      <c r="D3" s="1783"/>
      <c r="E3" s="482" t="str">
        <f>Translations!$B$5</f>
        <v>Top of sheet</v>
      </c>
      <c r="F3" s="1792" t="str">
        <f>Translations!$B$268</f>
        <v>Source streams (excl. PFC)</v>
      </c>
      <c r="G3" s="1278"/>
      <c r="H3" s="1278" t="str">
        <f>Translations!$B$269</f>
        <v>PFC source streams</v>
      </c>
      <c r="I3" s="1278"/>
      <c r="J3" s="1278" t="str">
        <f>Translations!$B$270</f>
        <v>Emission Sources (CEMS)</v>
      </c>
      <c r="K3" s="1278"/>
      <c r="L3" s="1278" t="str">
        <f>Translations!$B$271</f>
        <v>Fall-back</v>
      </c>
      <c r="M3" s="1793"/>
      <c r="BA3" s="767" t="s">
        <v>2534</v>
      </c>
      <c r="BB3" s="234">
        <f>INDEX(EUconst_ReportingYears,BB2)+(IF(CNTR_BaselinePeriod=EUconst_NA,0,CNTR_BaselinePeriod-1)*5)</f>
        <v>2023</v>
      </c>
      <c r="BD3" s="8"/>
    </row>
    <row r="4" spans="1:56" ht="13.8" thickBot="1" x14ac:dyDescent="0.3">
      <c r="B4" s="1784">
        <f>BB3</f>
        <v>2023</v>
      </c>
      <c r="C4" s="1785"/>
      <c r="D4" s="1786"/>
      <c r="E4" s="321"/>
      <c r="F4" s="1788"/>
      <c r="G4" s="1798"/>
      <c r="H4" s="1790"/>
      <c r="I4" s="1790"/>
      <c r="J4" s="1790"/>
      <c r="K4" s="1790"/>
      <c r="L4" s="1790"/>
      <c r="M4" s="1796"/>
      <c r="N4" s="202">
        <f>$B$4</f>
        <v>2023</v>
      </c>
      <c r="P4" s="202">
        <f>$B$4</f>
        <v>2023</v>
      </c>
      <c r="R4" s="202">
        <f>$B$4</f>
        <v>2023</v>
      </c>
      <c r="T4" s="202">
        <f>$B$4</f>
        <v>2023</v>
      </c>
      <c r="V4" s="202">
        <f>$B$4</f>
        <v>2023</v>
      </c>
      <c r="X4" s="202">
        <f>$B$4</f>
        <v>2023</v>
      </c>
      <c r="Z4" s="202">
        <f>$B$4</f>
        <v>2023</v>
      </c>
      <c r="AB4" s="202">
        <f>$B$4</f>
        <v>2023</v>
      </c>
      <c r="AD4" s="202">
        <f>$B$4</f>
        <v>2023</v>
      </c>
      <c r="AF4" s="202">
        <f>$B$4</f>
        <v>2023</v>
      </c>
      <c r="AH4" s="202">
        <f>$B$4</f>
        <v>2023</v>
      </c>
      <c r="AJ4" s="202">
        <f>$B$4</f>
        <v>2023</v>
      </c>
      <c r="AL4" s="202">
        <f>$B$4</f>
        <v>2023</v>
      </c>
      <c r="AN4" s="202">
        <f>$B$4</f>
        <v>2023</v>
      </c>
      <c r="AP4" s="202">
        <f>$B$4</f>
        <v>2023</v>
      </c>
      <c r="AR4" s="202">
        <f>$B$4</f>
        <v>2023</v>
      </c>
      <c r="AT4" s="202">
        <f>$B$4</f>
        <v>2023</v>
      </c>
      <c r="AV4" s="202">
        <f>$B$4</f>
        <v>2023</v>
      </c>
      <c r="AX4" s="202">
        <f>$B$4</f>
        <v>2023</v>
      </c>
      <c r="BB4" s="769"/>
      <c r="BD4" s="8"/>
    </row>
    <row r="5" spans="1:56" x14ac:dyDescent="0.25">
      <c r="C5" s="6"/>
      <c r="F5" s="202"/>
      <c r="G5" s="202"/>
      <c r="H5" s="202"/>
      <c r="BB5" s="769"/>
      <c r="BD5" s="8"/>
    </row>
    <row r="6" spans="1:56" ht="51" customHeight="1" x14ac:dyDescent="0.25">
      <c r="C6" s="10" t="s">
        <v>2547</v>
      </c>
      <c r="D6" s="1794" t="s">
        <v>2535</v>
      </c>
      <c r="E6" s="1794"/>
      <c r="F6" s="1794"/>
      <c r="G6" s="1794"/>
      <c r="H6" s="1794"/>
      <c r="I6" s="1795"/>
      <c r="J6" s="1787">
        <f>B4</f>
        <v>2023</v>
      </c>
      <c r="K6" s="1787"/>
      <c r="N6" s="625"/>
      <c r="BA6" s="11" t="s">
        <v>188</v>
      </c>
      <c r="BB6" s="11" t="s">
        <v>188</v>
      </c>
      <c r="BD6" s="8"/>
    </row>
    <row r="7" spans="1:56" x14ac:dyDescent="0.25">
      <c r="C7" s="8"/>
      <c r="BA7" s="12" t="s">
        <v>189</v>
      </c>
      <c r="BB7" s="12" t="s">
        <v>189</v>
      </c>
      <c r="BD7" s="8"/>
    </row>
    <row r="8" spans="1:56" s="276" customFormat="1" ht="15.6" x14ac:dyDescent="0.3">
      <c r="A8" s="145"/>
      <c r="B8" s="8"/>
      <c r="C8" s="13" t="s">
        <v>3</v>
      </c>
      <c r="D8" s="1791" t="str">
        <f>Translations!$B$273</f>
        <v>General guidance for source stream data</v>
      </c>
      <c r="E8" s="1791"/>
      <c r="F8" s="1791"/>
      <c r="G8" s="1791"/>
      <c r="H8" s="1791"/>
      <c r="I8" s="1791"/>
      <c r="J8" s="1791"/>
      <c r="K8" s="1791"/>
      <c r="L8" s="1791"/>
      <c r="M8" s="1791"/>
      <c r="N8" s="179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x14ac:dyDescent="0.25">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x14ac:dyDescent="0.25">
      <c r="A10" s="145"/>
      <c r="B10" s="8"/>
      <c r="C10" s="15"/>
      <c r="D10" s="1208" t="s">
        <v>2536</v>
      </c>
      <c r="E10" s="1208"/>
      <c r="F10" s="1208"/>
      <c r="G10" s="1208"/>
      <c r="H10" s="1208"/>
      <c r="I10" s="1433"/>
      <c r="J10" s="1777" t="b">
        <f>NOT(MSconst_AllowInstEmmisionTotals)</f>
        <v>0</v>
      </c>
      <c r="K10" s="177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x14ac:dyDescent="0.25">
      <c r="A11" s="145"/>
      <c r="B11" s="17"/>
      <c r="C11" s="17"/>
      <c r="D11" s="1314" t="str">
        <f>Translations!$B$275</f>
        <v>If this is set to "false", entries here are optional and only provide annual total emissions in section D.I.</v>
      </c>
      <c r="E11" s="1314"/>
      <c r="F11" s="1314"/>
      <c r="G11" s="1314"/>
      <c r="H11" s="1314"/>
      <c r="I11" s="1314"/>
      <c r="J11" s="1314"/>
      <c r="K11" s="1314"/>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x14ac:dyDescent="0.25">
      <c r="A12" s="145"/>
      <c r="B12" s="17"/>
      <c r="C12" s="17"/>
      <c r="D12" s="1799" t="str">
        <f>IF(MSconst_AllowInstEmmisionTotals,HYPERLINK(BB12,EUconst_ERR_Goto_DI2),"")</f>
        <v>Please go on with entering emission totals in section D.I.2 in sheet 'D_Emissions'!</v>
      </c>
      <c r="E12" s="1799"/>
      <c r="F12" s="1799"/>
      <c r="G12" s="1799"/>
      <c r="H12" s="1799"/>
      <c r="I12" s="1799"/>
      <c r="J12" s="1799"/>
      <c r="K12" s="179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334</v>
      </c>
      <c r="BB12" s="372" t="str">
        <f>"#JUMP_D_I"</f>
        <v>#JUMP_D_I</v>
      </c>
      <c r="BC12" s="190"/>
      <c r="BD12" s="8"/>
    </row>
    <row r="13" spans="1:56" s="276" customFormat="1" x14ac:dyDescent="0.2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x14ac:dyDescent="0.3">
      <c r="A14" s="145"/>
      <c r="B14" s="8"/>
      <c r="C14" s="13" t="s">
        <v>4</v>
      </c>
      <c r="D14" s="1175" t="s">
        <v>2537</v>
      </c>
      <c r="E14" s="1175"/>
      <c r="F14" s="1175"/>
      <c r="G14" s="1175"/>
      <c r="H14" s="1175"/>
      <c r="I14" s="1175"/>
      <c r="J14" s="1175"/>
      <c r="K14" s="1175"/>
      <c r="L14" s="1175"/>
      <c r="M14" s="1175"/>
      <c r="N14" s="117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x14ac:dyDescent="0.25">
      <c r="A15" s="145"/>
      <c r="B15" s="17"/>
      <c r="C15" s="17"/>
      <c r="D15" s="1314" t="str">
        <f>Translations!$B$277</f>
        <v>The tables below are identical to sheet "Accounting" in the Annual Emissions Report template provided by the Commission.</v>
      </c>
      <c r="E15" s="1314"/>
      <c r="F15" s="1314"/>
      <c r="G15" s="1314"/>
      <c r="H15" s="1314"/>
      <c r="I15" s="1314"/>
      <c r="J15" s="1314"/>
      <c r="K15" s="1314"/>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x14ac:dyDescent="0.25">
      <c r="A16" s="145"/>
      <c r="B16" s="17"/>
      <c r="C16" s="17"/>
      <c r="D16" s="1314" t="str">
        <f>Translations!$B$278</f>
        <v>You can therefore copy data for each table from the Annual Emissions Report template without further entries and also find further guidance there.</v>
      </c>
      <c r="E16" s="1314"/>
      <c r="F16" s="1314"/>
      <c r="G16" s="1314"/>
      <c r="H16" s="1314"/>
      <c r="I16" s="1314"/>
      <c r="J16" s="1314"/>
      <c r="K16" s="1314"/>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x14ac:dyDescent="0.25">
      <c r="A17" s="145"/>
      <c r="B17" s="17"/>
      <c r="C17" s="17"/>
      <c r="D17" s="1314" t="s">
        <v>2538</v>
      </c>
      <c r="E17" s="1314"/>
      <c r="F17" s="1314"/>
      <c r="G17" s="1314"/>
      <c r="H17" s="1314"/>
      <c r="I17" s="1314"/>
      <c r="J17" s="1314"/>
      <c r="K17" s="131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x14ac:dyDescent="0.25">
      <c r="A18" s="145"/>
      <c r="B18" s="17"/>
      <c r="C18" s="17"/>
      <c r="D18" s="1778" t="s">
        <v>2539</v>
      </c>
      <c r="E18" s="1778"/>
      <c r="F18" s="1778"/>
      <c r="G18" s="1778"/>
      <c r="H18" s="1778"/>
      <c r="I18" s="1778"/>
      <c r="J18" s="1778"/>
      <c r="K18" s="177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x14ac:dyDescent="0.45">
      <c r="D19" s="196" t="str">
        <f>Translations!$B$281</f>
        <v>Source Streams (excluding PFC emissions)</v>
      </c>
      <c r="BD19" s="8"/>
    </row>
    <row r="20" spans="1:56" ht="50.1" customHeight="1" thickBot="1" x14ac:dyDescent="0.3">
      <c r="C20" s="197" t="s">
        <v>2540</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x14ac:dyDescent="0.25">
      <c r="C21" s="771" t="str">
        <f>Translations!$B$330</f>
        <v>Ex.1</v>
      </c>
      <c r="D21" s="772" t="str">
        <f>Translations!$B$331</f>
        <v>Combustion</v>
      </c>
      <c r="E21" s="772" t="str">
        <f>Translations!$B$332</f>
        <v>Heavy fuel oil</v>
      </c>
      <c r="F21" s="773">
        <v>252000</v>
      </c>
      <c r="G21" s="275" t="s">
        <v>702</v>
      </c>
      <c r="H21" s="773">
        <v>45</v>
      </c>
      <c r="I21" s="275" t="s">
        <v>2541</v>
      </c>
      <c r="J21" s="773">
        <v>73</v>
      </c>
      <c r="K21" s="275" t="s">
        <v>2542</v>
      </c>
      <c r="L21" s="275"/>
      <c r="M21" s="275" t="s">
        <v>2543</v>
      </c>
      <c r="N21" s="773">
        <v>100</v>
      </c>
      <c r="O21" s="275" t="s">
        <v>354</v>
      </c>
      <c r="P21" s="773"/>
      <c r="Q21" s="275" t="s">
        <v>354</v>
      </c>
      <c r="R21" s="773">
        <v>0</v>
      </c>
      <c r="S21" s="275" t="s">
        <v>354</v>
      </c>
      <c r="T21" s="773">
        <v>0</v>
      </c>
      <c r="U21" s="275" t="s">
        <v>354</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x14ac:dyDescent="0.25">
      <c r="C22" s="771" t="str">
        <f>Translations!$B$333</f>
        <v>Ex.2</v>
      </c>
      <c r="D22" s="772" t="str">
        <f>Translations!$B$334</f>
        <v>Process Emissions</v>
      </c>
      <c r="E22" s="772" t="str">
        <f>Translations!$B$335</f>
        <v>Clay</v>
      </c>
      <c r="F22" s="773">
        <v>121000</v>
      </c>
      <c r="G22" s="275" t="s">
        <v>702</v>
      </c>
      <c r="H22" s="773"/>
      <c r="I22" s="275" t="s">
        <v>2543</v>
      </c>
      <c r="J22" s="773">
        <v>8.7940000000000004E-2</v>
      </c>
      <c r="K22" s="275" t="s">
        <v>2544</v>
      </c>
      <c r="L22" s="275"/>
      <c r="M22" s="275" t="s">
        <v>2543</v>
      </c>
      <c r="N22" s="773"/>
      <c r="O22" s="275" t="s">
        <v>354</v>
      </c>
      <c r="P22" s="773"/>
      <c r="Q22" s="275" t="s">
        <v>354</v>
      </c>
      <c r="R22" s="773">
        <v>0</v>
      </c>
      <c r="S22" s="275" t="s">
        <v>354</v>
      </c>
      <c r="T22" s="773">
        <v>0</v>
      </c>
      <c r="U22" s="275" t="s">
        <v>354</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x14ac:dyDescent="0.25">
      <c r="C23" s="771" t="str">
        <f>Translations!$B$336</f>
        <v>Ex.3</v>
      </c>
      <c r="D23" s="772" t="str">
        <f>Translations!$B$337</f>
        <v>Mass balance</v>
      </c>
      <c r="E23" s="772" t="str">
        <f>Translations!$B$338</f>
        <v>Steel</v>
      </c>
      <c r="F23" s="773">
        <v>-1808226</v>
      </c>
      <c r="G23" s="275" t="s">
        <v>702</v>
      </c>
      <c r="H23" s="773"/>
      <c r="I23" s="275" t="s">
        <v>2543</v>
      </c>
      <c r="J23" s="773">
        <v>0</v>
      </c>
      <c r="K23" s="275" t="s">
        <v>2543</v>
      </c>
      <c r="L23" s="275">
        <v>0.38779999999999998</v>
      </c>
      <c r="M23" s="275" t="s">
        <v>2545</v>
      </c>
      <c r="N23" s="773"/>
      <c r="O23" s="275" t="s">
        <v>354</v>
      </c>
      <c r="P23" s="773">
        <v>100</v>
      </c>
      <c r="Q23" s="275" t="s">
        <v>354</v>
      </c>
      <c r="R23" s="773">
        <v>0</v>
      </c>
      <c r="S23" s="275" t="s">
        <v>354</v>
      </c>
      <c r="T23" s="773">
        <v>0</v>
      </c>
      <c r="U23" s="275" t="s">
        <v>354</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x14ac:dyDescent="0.25">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x14ac:dyDescent="0.25">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x14ac:dyDescent="0.25">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x14ac:dyDescent="0.25">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x14ac:dyDescent="0.25">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x14ac:dyDescent="0.25">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x14ac:dyDescent="0.25">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x14ac:dyDescent="0.25">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x14ac:dyDescent="0.25">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x14ac:dyDescent="0.25">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x14ac:dyDescent="0.25">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x14ac:dyDescent="0.25">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x14ac:dyDescent="0.25">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x14ac:dyDescent="0.25">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x14ac:dyDescent="0.25">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x14ac:dyDescent="0.25">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x14ac:dyDescent="0.25">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x14ac:dyDescent="0.25">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x14ac:dyDescent="0.25">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x14ac:dyDescent="0.25">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x14ac:dyDescent="0.25">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x14ac:dyDescent="0.25">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x14ac:dyDescent="0.25">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x14ac:dyDescent="0.25">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x14ac:dyDescent="0.25">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x14ac:dyDescent="0.25">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x14ac:dyDescent="0.25">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x14ac:dyDescent="0.25">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x14ac:dyDescent="0.25">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x14ac:dyDescent="0.25">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x14ac:dyDescent="0.25">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x14ac:dyDescent="0.25">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x14ac:dyDescent="0.25">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x14ac:dyDescent="0.25">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x14ac:dyDescent="0.25">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x14ac:dyDescent="0.25">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x14ac:dyDescent="0.25">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x14ac:dyDescent="0.25">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x14ac:dyDescent="0.25">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x14ac:dyDescent="0.25">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x14ac:dyDescent="0.25">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x14ac:dyDescent="0.25">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x14ac:dyDescent="0.25">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x14ac:dyDescent="0.25">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x14ac:dyDescent="0.25">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x14ac:dyDescent="0.25">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x14ac:dyDescent="0.25">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x14ac:dyDescent="0.25">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x14ac:dyDescent="0.25">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x14ac:dyDescent="0.25">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x14ac:dyDescent="0.25">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x14ac:dyDescent="0.25">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x14ac:dyDescent="0.25">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x14ac:dyDescent="0.25">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x14ac:dyDescent="0.25">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x14ac:dyDescent="0.25">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x14ac:dyDescent="0.25">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x14ac:dyDescent="0.25">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x14ac:dyDescent="0.25">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x14ac:dyDescent="0.25">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x14ac:dyDescent="0.25">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x14ac:dyDescent="0.25">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x14ac:dyDescent="0.25">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x14ac:dyDescent="0.25">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x14ac:dyDescent="0.25">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x14ac:dyDescent="0.25">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x14ac:dyDescent="0.25">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x14ac:dyDescent="0.25">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x14ac:dyDescent="0.25">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x14ac:dyDescent="0.25">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x14ac:dyDescent="0.25">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x14ac:dyDescent="0.25">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x14ac:dyDescent="0.25">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x14ac:dyDescent="0.25">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x14ac:dyDescent="0.25">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x14ac:dyDescent="0.25">
      <c r="BD99" s="8"/>
    </row>
    <row r="100" spans="3:56" ht="50.1" customHeight="1" thickBot="1" x14ac:dyDescent="0.45">
      <c r="D100" s="196" t="str">
        <f>Translations!$B$339</f>
        <v>PFC Source Streams</v>
      </c>
      <c r="BD100" s="8"/>
    </row>
    <row r="101" spans="3:56" ht="50.1" customHeight="1" thickBot="1" x14ac:dyDescent="0.3">
      <c r="C101" s="197" t="s">
        <v>2540</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x14ac:dyDescent="0.25">
      <c r="C102" s="771" t="str">
        <f>Translations!$B$341</f>
        <v>Ex.</v>
      </c>
      <c r="D102" s="772" t="str">
        <f>Translations!$B$342</f>
        <v>PFC Emissions</v>
      </c>
      <c r="E102" s="772" t="str">
        <f>Translations!$B$343</f>
        <v>Centre Worked Pre-Bake (CWPB); Anode type A</v>
      </c>
      <c r="F102" s="773">
        <v>5000</v>
      </c>
      <c r="G102" s="275" t="s">
        <v>702</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x14ac:dyDescent="0.25">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x14ac:dyDescent="0.25">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x14ac:dyDescent="0.25">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x14ac:dyDescent="0.25">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x14ac:dyDescent="0.25">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x14ac:dyDescent="0.25">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x14ac:dyDescent="0.25">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x14ac:dyDescent="0.25">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x14ac:dyDescent="0.25">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x14ac:dyDescent="0.25">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x14ac:dyDescent="0.25">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x14ac:dyDescent="0.45">
      <c r="D114" s="196" t="str">
        <f>Translations!$B$344</f>
        <v>Emissions Sources (Measurement-Based Approaches)</v>
      </c>
      <c r="AF114" s="788"/>
      <c r="BD114" s="8"/>
    </row>
    <row r="115" spans="3:56" ht="50.1" customHeight="1" thickBot="1" x14ac:dyDescent="0.3">
      <c r="C115" s="197" t="s">
        <v>2540</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x14ac:dyDescent="0.25">
      <c r="C116" s="771" t="str">
        <f>Translations!$B$330</f>
        <v>Ex.1</v>
      </c>
      <c r="D116" s="772" t="s">
        <v>729</v>
      </c>
      <c r="E116" s="772" t="str">
        <f>Translations!$B$345</f>
        <v>Nitric acid line 1</v>
      </c>
      <c r="F116" s="780"/>
      <c r="G116" s="314"/>
      <c r="H116" s="780"/>
      <c r="I116" s="314"/>
      <c r="J116" s="780"/>
      <c r="K116" s="314"/>
      <c r="L116" s="314"/>
      <c r="M116" s="314"/>
      <c r="N116" s="780"/>
      <c r="O116" s="314"/>
      <c r="P116" s="780"/>
      <c r="Q116" s="314"/>
      <c r="R116" s="781">
        <v>0</v>
      </c>
      <c r="S116" s="275" t="s">
        <v>354</v>
      </c>
      <c r="T116" s="781">
        <v>0</v>
      </c>
      <c r="U116" s="275" t="s">
        <v>354</v>
      </c>
      <c r="V116" s="781">
        <v>64.292500000000004</v>
      </c>
      <c r="W116" s="275" t="s">
        <v>2546</v>
      </c>
      <c r="X116" s="781">
        <v>4</v>
      </c>
      <c r="Y116" s="275" t="str">
        <f>Translations!$B$346</f>
        <v>h/year</v>
      </c>
      <c r="Z116" s="781">
        <v>265</v>
      </c>
      <c r="AA116" s="275" t="str">
        <f>Translations!$B$347</f>
        <v>1000Nm3/h</v>
      </c>
      <c r="AB116" s="781">
        <v>1060</v>
      </c>
      <c r="AC116" s="275" t="str">
        <f>Translations!$B$348</f>
        <v>1000Nm3/year</v>
      </c>
      <c r="AD116" s="781">
        <v>68</v>
      </c>
      <c r="AE116" s="275" t="s">
        <v>702</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x14ac:dyDescent="0.25">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354</v>
      </c>
      <c r="T117" s="781">
        <v>0</v>
      </c>
      <c r="U117" s="275" t="s">
        <v>354</v>
      </c>
      <c r="V117" s="781">
        <v>1820</v>
      </c>
      <c r="W117" s="275" t="s">
        <v>2546</v>
      </c>
      <c r="X117" s="781">
        <v>5000</v>
      </c>
      <c r="Y117" s="275" t="str">
        <f>Translations!$B$346</f>
        <v>h/year</v>
      </c>
      <c r="Z117" s="781">
        <v>50</v>
      </c>
      <c r="AA117" s="275" t="str">
        <f>Translations!$B$347</f>
        <v>1000Nm3/h</v>
      </c>
      <c r="AB117" s="781">
        <v>250000</v>
      </c>
      <c r="AC117" s="275" t="str">
        <f>Translations!$B$348</f>
        <v>1000Nm3/year</v>
      </c>
      <c r="AD117" s="781">
        <v>455000</v>
      </c>
      <c r="AE117" s="275" t="s">
        <v>702</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x14ac:dyDescent="0.25">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x14ac:dyDescent="0.25">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x14ac:dyDescent="0.25">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x14ac:dyDescent="0.25">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x14ac:dyDescent="0.25">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x14ac:dyDescent="0.25">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x14ac:dyDescent="0.25">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x14ac:dyDescent="0.25">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x14ac:dyDescent="0.25">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x14ac:dyDescent="0.25">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x14ac:dyDescent="0.25">
      <c r="BD128" s="8"/>
    </row>
    <row r="129" spans="1:56" ht="50.1" customHeight="1" thickBot="1" x14ac:dyDescent="0.45">
      <c r="D129" s="196" t="str">
        <f>Translations!$B$271</f>
        <v>Fall-back</v>
      </c>
      <c r="BD129" s="8"/>
    </row>
    <row r="130" spans="1:56" ht="50.1" customHeight="1" thickBot="1" x14ac:dyDescent="0.3">
      <c r="C130" s="197" t="s">
        <v>2540</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x14ac:dyDescent="0.25">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x14ac:dyDescent="0.25">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x14ac:dyDescent="0.25">
      <c r="AZ133" s="753"/>
      <c r="BD133" s="8"/>
    </row>
    <row r="134" spans="1:56" s="145" customFormat="1" hidden="1" x14ac:dyDescent="0.25">
      <c r="A134" s="145" t="s">
        <v>187</v>
      </c>
      <c r="B134" s="145" t="s">
        <v>287</v>
      </c>
      <c r="C134" s="145" t="s">
        <v>287</v>
      </c>
      <c r="D134" s="145" t="s">
        <v>287</v>
      </c>
      <c r="E134" s="145" t="s">
        <v>287</v>
      </c>
      <c r="F134" s="145" t="s">
        <v>287</v>
      </c>
      <c r="G134" s="145" t="s">
        <v>287</v>
      </c>
      <c r="H134" s="145" t="s">
        <v>287</v>
      </c>
      <c r="I134" s="145" t="s">
        <v>287</v>
      </c>
      <c r="J134" s="145" t="s">
        <v>287</v>
      </c>
      <c r="K134" s="145" t="s">
        <v>287</v>
      </c>
      <c r="L134" s="145" t="s">
        <v>287</v>
      </c>
      <c r="M134" s="145" t="s">
        <v>287</v>
      </c>
      <c r="N134" s="145" t="s">
        <v>287</v>
      </c>
      <c r="O134" s="145" t="s">
        <v>287</v>
      </c>
      <c r="P134" s="145" t="s">
        <v>287</v>
      </c>
      <c r="Q134" s="145" t="s">
        <v>287</v>
      </c>
      <c r="R134" s="145" t="s">
        <v>287</v>
      </c>
      <c r="S134" s="145" t="s">
        <v>287</v>
      </c>
      <c r="T134" s="145" t="s">
        <v>287</v>
      </c>
      <c r="U134" s="145" t="s">
        <v>287</v>
      </c>
      <c r="V134" s="145" t="s">
        <v>287</v>
      </c>
      <c r="W134" s="145" t="s">
        <v>287</v>
      </c>
      <c r="X134" s="145" t="s">
        <v>287</v>
      </c>
      <c r="Y134" s="145" t="s">
        <v>287</v>
      </c>
      <c r="Z134" s="145" t="s">
        <v>287</v>
      </c>
      <c r="AA134" s="145" t="s">
        <v>287</v>
      </c>
      <c r="AB134" s="145" t="s">
        <v>287</v>
      </c>
      <c r="AC134" s="145" t="s">
        <v>287</v>
      </c>
      <c r="AD134" s="145" t="s">
        <v>287</v>
      </c>
      <c r="AE134" s="145" t="s">
        <v>287</v>
      </c>
      <c r="AF134" s="145" t="s">
        <v>287</v>
      </c>
      <c r="AG134" s="145" t="s">
        <v>287</v>
      </c>
      <c r="AH134" s="145" t="s">
        <v>287</v>
      </c>
      <c r="AI134" s="145" t="s">
        <v>287</v>
      </c>
      <c r="AJ134" s="145" t="s">
        <v>287</v>
      </c>
      <c r="AK134" s="145" t="s">
        <v>287</v>
      </c>
      <c r="AL134" s="145" t="s">
        <v>287</v>
      </c>
      <c r="AM134" s="145" t="s">
        <v>287</v>
      </c>
      <c r="AN134" s="145" t="s">
        <v>287</v>
      </c>
      <c r="AO134" s="145" t="s">
        <v>287</v>
      </c>
      <c r="AP134" s="145" t="s">
        <v>287</v>
      </c>
      <c r="AQ134" s="145" t="s">
        <v>287</v>
      </c>
      <c r="AR134" s="145" t="s">
        <v>287</v>
      </c>
      <c r="AS134" s="145" t="s">
        <v>287</v>
      </c>
      <c r="AT134" s="145" t="s">
        <v>287</v>
      </c>
      <c r="AU134" s="145" t="s">
        <v>287</v>
      </c>
      <c r="AV134" s="145" t="s">
        <v>287</v>
      </c>
      <c r="AW134" s="145" t="s">
        <v>287</v>
      </c>
      <c r="AX134" s="145" t="s">
        <v>287</v>
      </c>
      <c r="AY134" s="145" t="s">
        <v>287</v>
      </c>
      <c r="AZ134" s="145" t="s">
        <v>287</v>
      </c>
      <c r="BA134" s="145" t="s">
        <v>287</v>
      </c>
      <c r="BB134" s="145" t="s">
        <v>287</v>
      </c>
      <c r="BC134" s="150"/>
    </row>
    <row r="135" spans="1:56" hidden="1" x14ac:dyDescent="0.25">
      <c r="C135" s="8"/>
      <c r="BD135" s="8"/>
    </row>
    <row r="136" spans="1:56" hidden="1" x14ac:dyDescent="0.25">
      <c r="C136" s="8"/>
      <c r="BD136" s="8"/>
    </row>
  </sheetData>
  <sheetProtection algorithmName="SHA-512" hashValue="iLvcvcGMz+AHGCTHWCajYKZrfu66CEbByPX5T3Y4HESLLOLL6qAyc/Wkn4Gbu0ElE0PhqZnzgEg1jK2Mul31Jg==" saltValue="41JjNAMFzbTErMAHkRyCyw==" spinCount="100000" sheet="1" objects="1" scenarios="1" formatCells="0" formatColumns="0" formatRows="0"/>
  <mergeCells count="26">
    <mergeCell ref="L4:M4"/>
    <mergeCell ref="D15:K15"/>
    <mergeCell ref="D16:K16"/>
    <mergeCell ref="D17:K17"/>
    <mergeCell ref="D18:K18"/>
    <mergeCell ref="D8:N8"/>
    <mergeCell ref="D10:I10"/>
    <mergeCell ref="J10:K10"/>
    <mergeCell ref="D11:K11"/>
    <mergeCell ref="D12:K12"/>
    <mergeCell ref="D14:N14"/>
    <mergeCell ref="D6:I6"/>
    <mergeCell ref="J6:K6"/>
    <mergeCell ref="B2:D3"/>
    <mergeCell ref="F2:G2"/>
    <mergeCell ref="H2:I2"/>
    <mergeCell ref="J2:K2"/>
    <mergeCell ref="B4:D4"/>
    <mergeCell ref="F4:G4"/>
    <mergeCell ref="H4:I4"/>
    <mergeCell ref="J4:K4"/>
    <mergeCell ref="L2:M2"/>
    <mergeCell ref="F3:G3"/>
    <mergeCell ref="H3:I3"/>
    <mergeCell ref="J3:K3"/>
    <mergeCell ref="L3:M3"/>
  </mergeCells>
  <conditionalFormatting sqref="D24:U98 AU24:AY98 D103:G112 AG103:AY112 D118:E127 R118:AF127 AU118:AY127 AU132:AY132">
    <cfRule type="expression" dxfId="0" priority="1" stopIfTrue="1">
      <formula>MSconst_AllowInstEmmisionTotals</formula>
    </cfRule>
  </conditionalFormatting>
  <hyperlinks>
    <hyperlink ref="F2:G2" location="JUMP_TOC_Home" display="Table of contents" xr:uid="{FA2E6822-F391-4189-B2ED-5549645CFF92}"/>
    <hyperlink ref="L2:M2" location="JUMP_K_I" display="Summary" xr:uid="{F8FA5726-C301-4BFD-9717-086AAA1F2010}"/>
    <hyperlink ref="H2:I2" location="JUMP_BY4_Top" display="JUMP_BY4_Top" xr:uid="{B123BA4E-C361-4D40-B31C-CAED2DC2331E}"/>
    <hyperlink ref="E3" location="JUMP_BY5_Top" display="JUMP_BY5_Top" xr:uid="{473BDF91-C3A6-4BDA-97E4-D630082CC40B}"/>
    <hyperlink ref="F3:G3" location="JUMP_BY5_Source" display="Source streams (excl. PFC)" xr:uid="{2B605B2D-3EAB-4D00-BA68-32618053D699}"/>
    <hyperlink ref="H3:I3" location="JUMP_BY5_PFC" display="PFC source streams" xr:uid="{A6C46444-73D6-4996-9621-32838E825681}"/>
    <hyperlink ref="J3:K3" location="JUMP_BY5_Emissions" display="Emission Sources (CEMS)" xr:uid="{4EBDB88A-0AB0-4396-A46B-92FCC0BC310C}"/>
    <hyperlink ref="L3:M3" location="JUMP_BY5_Fallback" display="Fall-back" xr:uid="{FCBDA368-8C6A-499A-9CCA-E5361164A3F1}"/>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00CA-8942-4A94-B854-C20B3B90ABDB}">
  <sheetPr codeName="Tabelle3">
    <tabColor indexed="11"/>
    <pageSetUpPr fitToPage="1"/>
  </sheetPr>
  <dimension ref="A1:Z383"/>
  <sheetViews>
    <sheetView topLeftCell="B1" zoomScaleNormal="100" workbookViewId="0">
      <pane ySplit="4" topLeftCell="A5" activePane="bottomLeft" state="frozen"/>
      <selection activeCell="B2" sqref="B2"/>
      <selection pane="bottomLeft" activeCell="O2" sqref="O2"/>
    </sheetView>
  </sheetViews>
  <sheetFormatPr defaultColWidth="0" defaultRowHeight="13.2" zeroHeight="1" x14ac:dyDescent="0.25"/>
  <cols>
    <col min="1" max="1" width="5.109375" style="145" hidden="1" customWidth="1"/>
    <col min="2" max="2" width="2.6640625" style="276" customWidth="1"/>
    <col min="3" max="4" width="4.6640625" style="276" customWidth="1"/>
    <col min="5" max="14" width="12.6640625" style="276" customWidth="1"/>
    <col min="15" max="15" width="10.109375" style="276" customWidth="1"/>
    <col min="16" max="16" width="12.6640625" style="150" hidden="1" customWidth="1"/>
    <col min="17" max="24" width="11.44140625" style="150" hidden="1" customWidth="1"/>
    <col min="25" max="16384" width="11.44140625" style="276" hidden="1"/>
  </cols>
  <sheetData>
    <row r="1" spans="1:24" s="145" customFormat="1" ht="13.8" hidden="1" thickBot="1" x14ac:dyDescent="0.3">
      <c r="A1" s="145" t="s">
        <v>187</v>
      </c>
      <c r="P1" s="150" t="s">
        <v>187</v>
      </c>
      <c r="Q1" s="150" t="s">
        <v>187</v>
      </c>
      <c r="R1" s="150" t="s">
        <v>187</v>
      </c>
      <c r="S1" s="150" t="s">
        <v>187</v>
      </c>
      <c r="T1" s="150" t="s">
        <v>187</v>
      </c>
      <c r="U1" s="150" t="s">
        <v>187</v>
      </c>
      <c r="V1" s="150" t="s">
        <v>187</v>
      </c>
      <c r="W1" s="150" t="s">
        <v>187</v>
      </c>
      <c r="X1" s="150" t="s">
        <v>187</v>
      </c>
    </row>
    <row r="2" spans="1:24" ht="13.8" thickBot="1" x14ac:dyDescent="0.3">
      <c r="B2" s="1282" t="str">
        <f>Translations!$B$74</f>
        <v>A.
Installation Data</v>
      </c>
      <c r="C2" s="1283"/>
      <c r="D2" s="1284"/>
      <c r="E2" s="318" t="str">
        <f>Translations!$B$2</f>
        <v>Navigation area:</v>
      </c>
      <c r="F2" s="320"/>
      <c r="G2" s="1291" t="str">
        <f>Translations!$B$18</f>
        <v>Table of contents</v>
      </c>
      <c r="H2" s="1147"/>
      <c r="I2" s="1147" t="str">
        <f>Translations!$B$19</f>
        <v>Previous sheet</v>
      </c>
      <c r="J2" s="1147"/>
      <c r="K2" s="1147" t="str">
        <f>Translations!$B$3</f>
        <v>Next sheet</v>
      </c>
      <c r="L2" s="1147"/>
      <c r="M2" s="1147" t="str">
        <f>Translations!$B$4</f>
        <v>Summary</v>
      </c>
      <c r="N2" s="1147"/>
      <c r="O2" s="8"/>
      <c r="P2" s="190"/>
    </row>
    <row r="3" spans="1:24" ht="13.8" thickBot="1" x14ac:dyDescent="0.3">
      <c r="B3" s="1285"/>
      <c r="C3" s="1286"/>
      <c r="D3" s="1287"/>
      <c r="E3" s="1147" t="str">
        <f>Translations!$B$5</f>
        <v>Top of sheet</v>
      </c>
      <c r="F3" s="1276"/>
      <c r="G3" s="1277" t="str">
        <f>Translations!$B$75</f>
        <v>Installation ID</v>
      </c>
      <c r="H3" s="1278"/>
      <c r="I3" s="1278" t="str">
        <f>Translations!$B$76</f>
        <v>Contact persons</v>
      </c>
      <c r="J3" s="1278"/>
      <c r="K3" s="1278" t="str">
        <f>Translations!$B$77</f>
        <v>Verifier</v>
      </c>
      <c r="L3" s="1278"/>
      <c r="M3" s="1278" t="str">
        <f>Translations!$B$78</f>
        <v>Further information</v>
      </c>
      <c r="N3" s="1278"/>
      <c r="O3" s="8"/>
      <c r="P3" s="190"/>
    </row>
    <row r="4" spans="1:24" ht="13.5" customHeight="1" thickBot="1" x14ac:dyDescent="0.3">
      <c r="B4" s="1288"/>
      <c r="C4" s="1289"/>
      <c r="D4" s="1290"/>
      <c r="E4" s="1147" t="str">
        <f>Translations!$B$6</f>
        <v>End of sheet</v>
      </c>
      <c r="F4" s="1147"/>
      <c r="G4" s="1292" t="str">
        <f>Translations!$B$79</f>
        <v>Eligibility</v>
      </c>
      <c r="H4" s="1279"/>
      <c r="I4" s="1279" t="str">
        <f>Translations!$B$80</f>
        <v>Baseline period</v>
      </c>
      <c r="J4" s="1279"/>
      <c r="K4" s="1280" t="str">
        <f>Translations!$B$81</f>
        <v>Sub-installations</v>
      </c>
      <c r="L4" s="1281"/>
      <c r="M4" s="1279" t="str">
        <f>Translations!$B$82</f>
        <v>Technical connections</v>
      </c>
      <c r="N4" s="1279"/>
      <c r="O4" s="8"/>
      <c r="P4" s="190"/>
    </row>
    <row r="5" spans="1:24" x14ac:dyDescent="0.25">
      <c r="B5" s="8"/>
      <c r="C5" s="6"/>
      <c r="D5" s="8"/>
      <c r="E5" s="8"/>
      <c r="F5" s="202"/>
      <c r="G5" s="202"/>
      <c r="H5" s="202"/>
      <c r="I5" s="8"/>
      <c r="J5" s="8"/>
      <c r="K5" s="8"/>
      <c r="L5" s="8"/>
      <c r="M5" s="8"/>
      <c r="N5" s="8"/>
      <c r="O5" s="8"/>
      <c r="P5" s="190"/>
    </row>
    <row r="6" spans="1:24" ht="23.25" customHeight="1" x14ac:dyDescent="0.25">
      <c r="B6" s="8"/>
      <c r="C6" s="10" t="s">
        <v>2</v>
      </c>
      <c r="D6" s="1207" t="str">
        <f>Translations!$B$83</f>
        <v>Sheet "InstallationData" - GENERAL INFORMATION ON THIS REPORT</v>
      </c>
      <c r="E6" s="1176"/>
      <c r="F6" s="1176"/>
      <c r="G6" s="1176"/>
      <c r="H6" s="1176"/>
      <c r="I6" s="1176"/>
      <c r="J6" s="1176"/>
      <c r="K6" s="1176"/>
      <c r="L6" s="1176"/>
      <c r="M6" s="1176"/>
      <c r="N6" s="1176"/>
      <c r="O6" s="8"/>
      <c r="P6" s="248" t="s">
        <v>188</v>
      </c>
      <c r="Q6" s="248" t="s">
        <v>188</v>
      </c>
      <c r="R6" s="248" t="s">
        <v>188</v>
      </c>
      <c r="S6" s="248" t="s">
        <v>188</v>
      </c>
      <c r="T6" s="248" t="s">
        <v>188</v>
      </c>
      <c r="U6" s="248" t="s">
        <v>188</v>
      </c>
      <c r="V6" s="248" t="s">
        <v>188</v>
      </c>
      <c r="W6" s="248" t="s">
        <v>188</v>
      </c>
      <c r="X6" s="248" t="s">
        <v>188</v>
      </c>
    </row>
    <row r="7" spans="1:24" x14ac:dyDescent="0.25">
      <c r="B7" s="8"/>
      <c r="C7" s="8"/>
      <c r="D7" s="8"/>
      <c r="E7" s="8"/>
      <c r="F7" s="8"/>
      <c r="G7" s="8"/>
      <c r="H7" s="8"/>
      <c r="I7" s="8"/>
      <c r="J7" s="8"/>
      <c r="K7" s="8"/>
      <c r="L7" s="8"/>
      <c r="M7" s="8"/>
      <c r="N7" s="8"/>
      <c r="O7" s="8"/>
      <c r="P7" s="249" t="s">
        <v>189</v>
      </c>
      <c r="Q7" s="249" t="s">
        <v>189</v>
      </c>
      <c r="R7" s="249" t="s">
        <v>189</v>
      </c>
      <c r="S7" s="249" t="s">
        <v>189</v>
      </c>
      <c r="T7" s="249" t="s">
        <v>189</v>
      </c>
      <c r="U7" s="249" t="s">
        <v>189</v>
      </c>
      <c r="V7" s="249" t="s">
        <v>189</v>
      </c>
      <c r="W7" s="249" t="s">
        <v>189</v>
      </c>
      <c r="X7" s="249" t="s">
        <v>189</v>
      </c>
    </row>
    <row r="8" spans="1:24" ht="15.6" x14ac:dyDescent="0.3">
      <c r="B8" s="8"/>
      <c r="C8" s="13" t="s">
        <v>3</v>
      </c>
      <c r="D8" s="1175" t="str">
        <f>Translations!$B$84</f>
        <v>Identification of the Installation</v>
      </c>
      <c r="E8" s="1175"/>
      <c r="F8" s="1175"/>
      <c r="G8" s="1175"/>
      <c r="H8" s="1175"/>
      <c r="I8" s="1175"/>
      <c r="J8" s="1175"/>
      <c r="K8" s="1175"/>
      <c r="L8" s="1175"/>
      <c r="M8" s="1175"/>
      <c r="N8" s="1175"/>
      <c r="O8" s="8"/>
      <c r="P8" s="190"/>
    </row>
    <row r="9" spans="1:24" ht="5.0999999999999996" customHeight="1" x14ac:dyDescent="0.25">
      <c r="B9" s="8"/>
      <c r="C9" s="8"/>
      <c r="D9" s="8"/>
      <c r="E9" s="8"/>
      <c r="F9" s="8"/>
      <c r="G9" s="8"/>
      <c r="H9" s="8"/>
      <c r="I9" s="8"/>
      <c r="J9" s="8"/>
      <c r="K9" s="8"/>
      <c r="L9" s="8"/>
      <c r="M9" s="8"/>
      <c r="N9" s="8"/>
      <c r="O9" s="8"/>
      <c r="P9" s="190"/>
    </row>
    <row r="10" spans="1:24" ht="13.8" x14ac:dyDescent="0.25">
      <c r="B10" s="17"/>
      <c r="C10" s="19">
        <v>1</v>
      </c>
      <c r="D10" s="1234" t="str">
        <f>Translations!$B$85</f>
        <v>General information:</v>
      </c>
      <c r="E10" s="1176"/>
      <c r="F10" s="1176"/>
      <c r="G10" s="1176"/>
      <c r="H10" s="1176"/>
      <c r="I10" s="1176"/>
      <c r="J10" s="1176"/>
      <c r="K10" s="1176"/>
      <c r="L10" s="1176"/>
      <c r="M10" s="1176"/>
      <c r="N10" s="1176"/>
      <c r="O10" s="17"/>
    </row>
    <row r="11" spans="1:24" ht="5.0999999999999996" customHeight="1" x14ac:dyDescent="0.25">
      <c r="B11" s="8"/>
      <c r="C11" s="8"/>
      <c r="D11" s="8"/>
      <c r="E11" s="8"/>
      <c r="F11" s="8"/>
      <c r="G11" s="8"/>
      <c r="H11" s="8"/>
      <c r="I11" s="8"/>
      <c r="J11" s="8"/>
      <c r="K11" s="8"/>
      <c r="L11" s="8"/>
      <c r="M11" s="8"/>
      <c r="N11" s="8"/>
      <c r="O11" s="8"/>
      <c r="P11" s="190"/>
    </row>
    <row r="12" spans="1:24" x14ac:dyDescent="0.25">
      <c r="B12" s="17"/>
      <c r="C12" s="17"/>
      <c r="D12" s="15" t="s">
        <v>190</v>
      </c>
      <c r="E12" s="1165" t="str">
        <f>Translations!$B$86</f>
        <v>Name of the installation:</v>
      </c>
      <c r="F12" s="1176"/>
      <c r="G12" s="1176"/>
      <c r="H12" s="1176"/>
      <c r="I12" s="1260"/>
      <c r="J12" s="1270"/>
      <c r="K12" s="1271"/>
      <c r="L12" s="1271"/>
      <c r="M12" s="1271"/>
      <c r="N12" s="1272"/>
      <c r="O12" s="17"/>
    </row>
    <row r="13" spans="1:24" ht="48" customHeight="1" x14ac:dyDescent="0.25">
      <c r="B13" s="17"/>
      <c r="C13" s="17"/>
      <c r="D13" s="17"/>
      <c r="E13" s="1273" t="s">
        <v>191</v>
      </c>
      <c r="F13" s="1176"/>
      <c r="G13" s="1176"/>
      <c r="H13" s="1176"/>
      <c r="I13" s="1176"/>
      <c r="J13" s="1176"/>
      <c r="K13" s="1176"/>
      <c r="L13" s="1176"/>
      <c r="M13" s="1176"/>
      <c r="N13" s="1176"/>
      <c r="O13" s="17"/>
    </row>
    <row r="14" spans="1:24" ht="5.0999999999999996" hidden="1" customHeight="1" x14ac:dyDescent="0.25">
      <c r="B14" s="8"/>
      <c r="C14" s="8"/>
      <c r="D14" s="8"/>
      <c r="E14" s="8"/>
      <c r="F14" s="8"/>
      <c r="G14" s="8"/>
      <c r="H14" s="8"/>
      <c r="I14" s="8"/>
      <c r="J14" s="1179"/>
      <c r="K14" s="1179"/>
      <c r="L14" s="1179"/>
      <c r="M14" s="1179"/>
      <c r="N14" s="1179"/>
      <c r="O14" s="8"/>
      <c r="P14" s="190"/>
    </row>
    <row r="15" spans="1:24" hidden="1" x14ac:dyDescent="0.25">
      <c r="B15" s="17"/>
      <c r="C15" s="17"/>
      <c r="D15" s="1099" t="s">
        <v>192</v>
      </c>
      <c r="E15" s="1240" t="s">
        <v>193</v>
      </c>
      <c r="F15" s="1193"/>
      <c r="G15" s="1193"/>
      <c r="H15" s="1193"/>
      <c r="I15" s="1193"/>
      <c r="J15" s="1179"/>
      <c r="K15" s="1179"/>
      <c r="L15" s="1179"/>
      <c r="M15" s="1179"/>
      <c r="N15" s="1179"/>
      <c r="O15" s="17"/>
    </row>
    <row r="16" spans="1:24" hidden="1" x14ac:dyDescent="0.25">
      <c r="B16" s="17"/>
      <c r="C16" s="17"/>
      <c r="D16" s="17"/>
      <c r="E16" s="1241" t="str">
        <f>Translations!$B$89</f>
        <v>"Member State" means here: State which participates in the EU ETS, i.e. EU Member States and Iceland, Norway and Liechtenstein.</v>
      </c>
      <c r="F16" s="1193"/>
      <c r="G16" s="1193"/>
      <c r="H16" s="1193"/>
      <c r="I16" s="1193"/>
      <c r="J16" s="1193"/>
      <c r="K16" s="1193"/>
      <c r="L16" s="1193"/>
      <c r="M16" s="1193"/>
      <c r="N16" s="1193"/>
      <c r="O16" s="17"/>
    </row>
    <row r="17" spans="2:16" ht="5.0999999999999996" hidden="1" customHeight="1" x14ac:dyDescent="0.25">
      <c r="B17" s="8"/>
      <c r="C17" s="8"/>
      <c r="D17" s="8"/>
      <c r="E17" s="8"/>
      <c r="F17" s="8"/>
      <c r="G17" s="8"/>
      <c r="H17" s="8"/>
      <c r="I17" s="8"/>
      <c r="J17" s="8"/>
      <c r="K17" s="8"/>
      <c r="L17" s="8"/>
      <c r="M17" s="8"/>
      <c r="N17" s="8"/>
      <c r="O17" s="8"/>
      <c r="P17" s="190"/>
    </row>
    <row r="18" spans="2:16" x14ac:dyDescent="0.25">
      <c r="B18" s="17"/>
      <c r="C18" s="17"/>
      <c r="D18" s="15" t="s">
        <v>192</v>
      </c>
      <c r="E18" s="1165" t="s">
        <v>194</v>
      </c>
      <c r="F18" s="1176"/>
      <c r="G18" s="1176"/>
      <c r="H18" s="1176"/>
      <c r="I18" s="1260"/>
      <c r="J18" s="81"/>
      <c r="K18" s="17"/>
      <c r="L18" s="17"/>
      <c r="M18" s="17"/>
      <c r="N18" s="17"/>
      <c r="O18" s="17"/>
    </row>
    <row r="19" spans="2:16" ht="5.0999999999999996" customHeight="1" x14ac:dyDescent="0.25">
      <c r="B19" s="8"/>
      <c r="C19" s="8"/>
      <c r="D19" s="8"/>
      <c r="E19" s="8"/>
      <c r="F19" s="8"/>
      <c r="G19" s="8"/>
      <c r="H19" s="8"/>
      <c r="I19" s="8"/>
      <c r="J19" s="8"/>
      <c r="K19" s="8"/>
      <c r="L19" s="8"/>
      <c r="M19" s="8"/>
      <c r="N19" s="8"/>
      <c r="O19" s="8"/>
      <c r="P19" s="190"/>
    </row>
    <row r="20" spans="2:16" x14ac:dyDescent="0.25">
      <c r="B20" s="17"/>
      <c r="C20" s="17"/>
      <c r="D20" s="15" t="s">
        <v>195</v>
      </c>
      <c r="E20" s="1165" t="s">
        <v>196</v>
      </c>
      <c r="F20" s="1176"/>
      <c r="G20" s="1176"/>
      <c r="H20" s="1176"/>
      <c r="I20" s="1260"/>
      <c r="J20" s="1270"/>
      <c r="K20" s="1271"/>
      <c r="L20" s="1271"/>
      <c r="M20" s="1271"/>
      <c r="N20" s="1272"/>
      <c r="O20" s="17"/>
    </row>
    <row r="21" spans="2:16" x14ac:dyDescent="0.25">
      <c r="B21" s="17"/>
      <c r="C21" s="17"/>
      <c r="D21" s="17"/>
      <c r="E21" s="1223" t="s">
        <v>2569</v>
      </c>
      <c r="F21" s="1176"/>
      <c r="G21" s="1176"/>
      <c r="H21" s="1176"/>
      <c r="I21" s="1176"/>
      <c r="J21" s="1176"/>
      <c r="K21" s="1176"/>
      <c r="L21" s="1176"/>
      <c r="M21" s="1176"/>
      <c r="N21" s="1176"/>
      <c r="O21" s="17"/>
    </row>
    <row r="22" spans="2:16" ht="12.75" hidden="1" customHeight="1" x14ac:dyDescent="0.25">
      <c r="B22" s="17"/>
      <c r="C22" s="17"/>
      <c r="D22" s="17"/>
      <c r="E22" s="1241" t="str">
        <f>Translations!$B$93</f>
        <v>For installations which have not been included in the EU ETS before, operators are requested to contact the competent authority to receive such ID.</v>
      </c>
      <c r="F22" s="1193"/>
      <c r="G22" s="1193"/>
      <c r="H22" s="1193"/>
      <c r="I22" s="1193"/>
      <c r="J22" s="1193"/>
      <c r="K22" s="1193"/>
      <c r="L22" s="1193"/>
      <c r="M22" s="1193"/>
      <c r="N22" s="1193"/>
      <c r="O22" s="17"/>
    </row>
    <row r="23" spans="2:16" ht="12.75" hidden="1" customHeight="1" x14ac:dyDescent="0.25">
      <c r="B23" s="17"/>
      <c r="C23" s="17"/>
      <c r="D23" s="17"/>
      <c r="E23" s="1241" t="str">
        <f>Translations!$B$94</f>
        <v xml:space="preserve">Competent authorities must ensure to have a unique ID available before notifying any data to the European Commission. </v>
      </c>
      <c r="F23" s="1193"/>
      <c r="G23" s="1193"/>
      <c r="H23" s="1193"/>
      <c r="I23" s="1193"/>
      <c r="J23" s="1193"/>
      <c r="K23" s="1193"/>
      <c r="L23" s="1193"/>
      <c r="M23" s="1193"/>
      <c r="N23" s="1193"/>
      <c r="O23" s="17"/>
    </row>
    <row r="24" spans="2:16" ht="5.0999999999999996" customHeight="1" x14ac:dyDescent="0.25">
      <c r="B24" s="8"/>
      <c r="C24" s="8"/>
      <c r="D24" s="8"/>
      <c r="E24" s="8"/>
      <c r="F24" s="8"/>
      <c r="G24" s="8"/>
      <c r="H24" s="8"/>
      <c r="I24" s="8"/>
      <c r="J24" s="8"/>
      <c r="K24" s="8"/>
      <c r="L24" s="8"/>
      <c r="M24" s="8"/>
      <c r="N24" s="8"/>
      <c r="O24" s="8"/>
      <c r="P24" s="190"/>
    </row>
    <row r="25" spans="2:16" x14ac:dyDescent="0.25">
      <c r="B25" s="17"/>
      <c r="C25" s="17"/>
      <c r="D25" s="15" t="s">
        <v>197</v>
      </c>
      <c r="E25" s="1165" t="s">
        <v>198</v>
      </c>
      <c r="F25" s="1176"/>
      <c r="G25" s="1176"/>
      <c r="H25" s="1176"/>
      <c r="I25" s="1260"/>
      <c r="J25" s="1264"/>
      <c r="K25" s="1265"/>
      <c r="L25" s="1265"/>
      <c r="M25" s="1265"/>
      <c r="N25" s="1266"/>
      <c r="O25" s="17"/>
    </row>
    <row r="26" spans="2:16" x14ac:dyDescent="0.25">
      <c r="B26" s="17"/>
      <c r="C26" s="17"/>
      <c r="D26" s="17"/>
      <c r="E26" s="1223" t="s">
        <v>2572</v>
      </c>
      <c r="F26" s="1176"/>
      <c r="G26" s="1176"/>
      <c r="H26" s="1176"/>
      <c r="I26" s="1176"/>
      <c r="J26" s="1176"/>
      <c r="K26" s="1176"/>
      <c r="L26" s="1176"/>
      <c r="M26" s="1176"/>
      <c r="N26" s="1176"/>
      <c r="O26" s="17"/>
    </row>
    <row r="27" spans="2:16" ht="34.950000000000003" hidden="1" customHeight="1" x14ac:dyDescent="0.25">
      <c r="B27" s="17"/>
      <c r="C27" s="17"/>
      <c r="D27" s="17"/>
      <c r="E27" s="1241" t="str">
        <f>Translations!$B$97</f>
        <v>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v>
      </c>
      <c r="F27" s="1193"/>
      <c r="G27" s="1193"/>
      <c r="H27" s="1193"/>
      <c r="I27" s="1193"/>
      <c r="J27" s="1193"/>
      <c r="K27" s="1193"/>
      <c r="L27" s="1193"/>
      <c r="M27" s="1193"/>
      <c r="N27" s="1193"/>
      <c r="O27" s="17"/>
      <c r="P27" s="190"/>
    </row>
    <row r="28" spans="2:16" ht="5.0999999999999996" hidden="1" customHeight="1" x14ac:dyDescent="0.25">
      <c r="B28" s="8"/>
      <c r="C28" s="8"/>
      <c r="D28" s="8"/>
      <c r="E28" s="8"/>
      <c r="F28" s="8"/>
      <c r="G28" s="8"/>
      <c r="H28" s="8"/>
      <c r="I28" s="8"/>
      <c r="J28" s="8"/>
      <c r="K28" s="8"/>
      <c r="L28" s="8"/>
      <c r="M28" s="8"/>
      <c r="N28" s="8"/>
      <c r="O28" s="8"/>
      <c r="P28" s="190"/>
    </row>
    <row r="29" spans="2:16" hidden="1" x14ac:dyDescent="0.25">
      <c r="B29" s="17"/>
      <c r="C29" s="17"/>
      <c r="D29" s="1099" t="s">
        <v>199</v>
      </c>
      <c r="E29" s="1240" t="s">
        <v>200</v>
      </c>
      <c r="F29" s="1193"/>
      <c r="G29" s="1193"/>
      <c r="H29" s="1193"/>
      <c r="I29" s="1193"/>
      <c r="J29" s="1261" t="str">
        <f>IF(ISBLANK(J20),"",J20)</f>
        <v/>
      </c>
      <c r="K29" s="1261"/>
      <c r="L29" s="1261"/>
      <c r="M29" s="1261"/>
      <c r="N29" s="1261"/>
      <c r="O29" s="1091"/>
      <c r="P29" s="626" t="s">
        <v>201</v>
      </c>
    </row>
    <row r="30" spans="2:16" ht="5.0999999999999996" hidden="1" customHeight="1" x14ac:dyDescent="0.25">
      <c r="B30" s="8"/>
      <c r="C30" s="8"/>
      <c r="D30" s="8"/>
      <c r="E30" s="8"/>
      <c r="F30" s="8"/>
      <c r="G30" s="8"/>
      <c r="H30" s="8"/>
      <c r="I30" s="8"/>
      <c r="J30" s="8"/>
      <c r="K30" s="8"/>
      <c r="L30" s="8"/>
      <c r="M30" s="8"/>
      <c r="N30" s="8"/>
      <c r="O30" s="8"/>
      <c r="P30" s="190"/>
    </row>
    <row r="31" spans="2:16" x14ac:dyDescent="0.25">
      <c r="B31" s="17"/>
      <c r="C31" s="17"/>
      <c r="D31" s="15" t="s">
        <v>202</v>
      </c>
      <c r="E31" s="1165" t="s">
        <v>203</v>
      </c>
      <c r="F31" s="1176"/>
      <c r="G31" s="1176"/>
      <c r="H31" s="1176"/>
      <c r="I31" s="1176"/>
      <c r="J31" s="1176"/>
      <c r="K31" s="1176"/>
      <c r="L31" s="1176"/>
      <c r="M31" s="1176"/>
      <c r="N31" s="1176"/>
      <c r="O31" s="8"/>
    </row>
    <row r="32" spans="2:16" x14ac:dyDescent="0.25">
      <c r="B32" s="17"/>
      <c r="C32" s="17"/>
      <c r="D32" s="17"/>
      <c r="E32" s="1223" t="s">
        <v>204</v>
      </c>
      <c r="F32" s="1176"/>
      <c r="G32" s="1176"/>
      <c r="H32" s="1176"/>
      <c r="I32" s="1176"/>
      <c r="J32" s="1176"/>
      <c r="K32" s="1176"/>
      <c r="L32" s="1176"/>
      <c r="M32" s="1176"/>
      <c r="N32" s="1176"/>
      <c r="O32" s="8"/>
    </row>
    <row r="33" spans="2:16" hidden="1" x14ac:dyDescent="0.25">
      <c r="B33" s="17"/>
      <c r="C33" s="17"/>
      <c r="D33" s="17"/>
      <c r="E33" s="1241" t="str">
        <f>Translations!$B$101</f>
        <v>Member States may make this information optional if the competent authority is in possession of this information already.</v>
      </c>
      <c r="F33" s="1193"/>
      <c r="G33" s="1193"/>
      <c r="H33" s="1193"/>
      <c r="I33" s="1193"/>
      <c r="J33" s="1193"/>
      <c r="K33" s="1193"/>
      <c r="L33" s="1193"/>
      <c r="M33" s="1193"/>
      <c r="N33" s="1193"/>
      <c r="O33" s="8"/>
    </row>
    <row r="34" spans="2:16" x14ac:dyDescent="0.25">
      <c r="B34" s="17"/>
      <c r="C34" s="17"/>
      <c r="D34" s="627"/>
      <c r="E34" s="27"/>
      <c r="F34" s="1166" t="s">
        <v>205</v>
      </c>
      <c r="G34" s="1176"/>
      <c r="H34" s="1176"/>
      <c r="I34" s="1260"/>
      <c r="J34" s="1270"/>
      <c r="K34" s="1271"/>
      <c r="L34" s="1271"/>
      <c r="M34" s="1271"/>
      <c r="N34" s="1272"/>
      <c r="O34" s="8"/>
    </row>
    <row r="35" spans="2:16" ht="5.0999999999999996" customHeight="1" x14ac:dyDescent="0.25">
      <c r="B35" s="8"/>
      <c r="C35" s="8"/>
      <c r="D35" s="8"/>
      <c r="E35" s="8"/>
      <c r="F35" s="8"/>
      <c r="G35" s="8"/>
      <c r="H35" s="8"/>
      <c r="I35" s="8"/>
      <c r="J35" s="8"/>
      <c r="K35" s="8"/>
      <c r="L35" s="8"/>
      <c r="M35" s="8"/>
      <c r="N35" s="8"/>
      <c r="O35" s="8"/>
      <c r="P35" s="190"/>
    </row>
    <row r="36" spans="2:16" hidden="1" x14ac:dyDescent="0.25">
      <c r="B36" s="17"/>
      <c r="C36" s="17"/>
      <c r="D36" s="15"/>
      <c r="E36" s="27"/>
      <c r="F36" s="1259"/>
      <c r="G36" s="1212"/>
      <c r="H36" s="1212"/>
      <c r="I36" s="1212"/>
      <c r="J36" s="1212"/>
      <c r="K36" s="1212"/>
      <c r="L36" s="1212"/>
      <c r="M36" s="1212"/>
      <c r="N36" s="1212"/>
      <c r="O36" s="8"/>
    </row>
    <row r="37" spans="2:16" x14ac:dyDescent="0.25">
      <c r="B37" s="17"/>
      <c r="C37" s="17"/>
      <c r="D37" s="627"/>
      <c r="E37" s="114" t="s">
        <v>206</v>
      </c>
      <c r="F37" s="1248" t="s">
        <v>207</v>
      </c>
      <c r="G37" s="1249"/>
      <c r="H37" s="1249"/>
      <c r="I37" s="1250"/>
      <c r="J37" s="1246"/>
      <c r="K37" s="1247"/>
      <c r="L37" s="1247"/>
      <c r="M37" s="1247"/>
      <c r="N37" s="1247"/>
      <c r="O37" s="8"/>
    </row>
    <row r="38" spans="2:16" x14ac:dyDescent="0.25">
      <c r="B38" s="17"/>
      <c r="C38" s="17"/>
      <c r="D38" s="627"/>
      <c r="E38" s="114" t="s">
        <v>208</v>
      </c>
      <c r="F38" s="1254" t="str">
        <f>Translations!$B$105</f>
        <v>Date of issuance:</v>
      </c>
      <c r="G38" s="1255"/>
      <c r="H38" s="1255"/>
      <c r="I38" s="1256"/>
      <c r="J38" s="1262"/>
      <c r="K38" s="1263"/>
      <c r="L38" s="1263"/>
      <c r="M38" s="1263"/>
      <c r="N38" s="1263"/>
      <c r="O38" s="8"/>
    </row>
    <row r="39" spans="2:16" ht="5.0999999999999996" customHeight="1" x14ac:dyDescent="0.25">
      <c r="B39" s="8"/>
      <c r="C39" s="8"/>
      <c r="D39" s="8"/>
      <c r="E39" s="629"/>
      <c r="F39" s="8"/>
      <c r="G39" s="8"/>
      <c r="H39" s="8"/>
      <c r="I39" s="8"/>
      <c r="J39" s="8"/>
      <c r="K39" s="8"/>
      <c r="L39" s="8"/>
      <c r="M39" s="8"/>
      <c r="N39" s="8"/>
      <c r="O39" s="8"/>
      <c r="P39" s="190"/>
    </row>
    <row r="40" spans="2:16" x14ac:dyDescent="0.25">
      <c r="B40" s="17"/>
      <c r="C40" s="17"/>
      <c r="D40" s="15"/>
      <c r="E40" s="114"/>
      <c r="F40" s="1259" t="str">
        <f>Translations!$B$106</f>
        <v>Most recent update of the permit, if applicable:</v>
      </c>
      <c r="G40" s="1212"/>
      <c r="H40" s="1212"/>
      <c r="I40" s="1212"/>
      <c r="J40" s="1212"/>
      <c r="K40" s="1212"/>
      <c r="L40" s="1212"/>
      <c r="M40" s="1212"/>
      <c r="N40" s="1212"/>
      <c r="O40" s="8"/>
    </row>
    <row r="41" spans="2:16" x14ac:dyDescent="0.25">
      <c r="B41" s="17"/>
      <c r="C41" s="17"/>
      <c r="D41" s="627"/>
      <c r="E41" s="114" t="s">
        <v>209</v>
      </c>
      <c r="F41" s="1248" t="s">
        <v>207</v>
      </c>
      <c r="G41" s="1249"/>
      <c r="H41" s="1249"/>
      <c r="I41" s="1250"/>
      <c r="J41" s="1257"/>
      <c r="K41" s="1258"/>
      <c r="L41" s="1258"/>
      <c r="M41" s="1258"/>
      <c r="N41" s="1258"/>
      <c r="O41" s="8"/>
    </row>
    <row r="42" spans="2:16" x14ac:dyDescent="0.25">
      <c r="B42" s="17"/>
      <c r="C42" s="17"/>
      <c r="D42" s="627"/>
      <c r="E42" s="114" t="s">
        <v>210</v>
      </c>
      <c r="F42" s="1254" t="str">
        <f>Translations!$B$105</f>
        <v>Date of issuance:</v>
      </c>
      <c r="G42" s="1255"/>
      <c r="H42" s="1255"/>
      <c r="I42" s="1256"/>
      <c r="J42" s="1262"/>
      <c r="K42" s="1263"/>
      <c r="L42" s="1263"/>
      <c r="M42" s="1263"/>
      <c r="N42" s="1263"/>
      <c r="O42" s="8"/>
    </row>
    <row r="43" spans="2:16" ht="5.0999999999999996" customHeight="1" x14ac:dyDescent="0.25">
      <c r="B43" s="8"/>
      <c r="C43" s="8"/>
      <c r="D43" s="8"/>
      <c r="E43" s="8"/>
      <c r="F43" s="8"/>
      <c r="G43" s="8"/>
      <c r="H43" s="8"/>
      <c r="I43" s="8"/>
      <c r="J43" s="8"/>
      <c r="K43" s="8"/>
      <c r="L43" s="8"/>
      <c r="M43" s="8"/>
      <c r="N43" s="8"/>
      <c r="O43" s="8"/>
      <c r="P43" s="190"/>
    </row>
    <row r="44" spans="2:16" x14ac:dyDescent="0.25">
      <c r="B44" s="17"/>
      <c r="C44" s="17"/>
      <c r="D44" s="15" t="s">
        <v>199</v>
      </c>
      <c r="E44" s="1165" t="str">
        <f>Translations!$B$107</f>
        <v>Date of start of operation of the installation:</v>
      </c>
      <c r="F44" s="1176"/>
      <c r="G44" s="1176"/>
      <c r="H44" s="1176"/>
      <c r="I44" s="1260"/>
      <c r="J44" s="108"/>
      <c r="K44" s="77"/>
      <c r="L44" s="77"/>
      <c r="M44" s="17"/>
      <c r="N44" s="17"/>
      <c r="O44" s="8"/>
    </row>
    <row r="45" spans="2:16" x14ac:dyDescent="0.25">
      <c r="B45" s="17"/>
      <c r="C45" s="17"/>
      <c r="D45" s="17"/>
      <c r="E45" s="1223" t="s">
        <v>211</v>
      </c>
      <c r="F45" s="1176"/>
      <c r="G45" s="1176"/>
      <c r="H45" s="1176"/>
      <c r="I45" s="1176"/>
      <c r="J45" s="1176"/>
      <c r="K45" s="1176"/>
      <c r="L45" s="1176"/>
      <c r="M45" s="1176"/>
      <c r="N45" s="1176"/>
      <c r="O45" s="8"/>
    </row>
    <row r="46" spans="2:16" ht="5.0999999999999996" customHeight="1" x14ac:dyDescent="0.25">
      <c r="B46" s="8"/>
      <c r="C46" s="8"/>
      <c r="D46" s="8"/>
      <c r="E46" s="8"/>
      <c r="F46" s="8"/>
      <c r="G46" s="8"/>
      <c r="H46" s="8"/>
      <c r="I46" s="8"/>
      <c r="J46" s="8"/>
      <c r="K46" s="8"/>
      <c r="L46" s="8"/>
      <c r="M46" s="8"/>
      <c r="N46" s="8"/>
      <c r="O46" s="8"/>
      <c r="P46" s="190"/>
    </row>
    <row r="47" spans="2:16" x14ac:dyDescent="0.25">
      <c r="B47" s="17"/>
      <c r="C47" s="17"/>
      <c r="D47" s="15" t="s">
        <v>212</v>
      </c>
      <c r="E47" s="1165" t="str">
        <f>Translations!$B$109</f>
        <v>This installation is an incumbent:</v>
      </c>
      <c r="F47" s="1176"/>
      <c r="G47" s="1176"/>
      <c r="H47" s="1176"/>
      <c r="I47" s="1260"/>
      <c r="J47" s="81"/>
      <c r="K47" s="77"/>
      <c r="L47" s="77"/>
      <c r="M47" s="17"/>
      <c r="N47" s="17"/>
      <c r="O47" s="8"/>
    </row>
    <row r="48" spans="2:16" x14ac:dyDescent="0.25">
      <c r="B48" s="17"/>
      <c r="C48" s="17"/>
      <c r="D48" s="17"/>
      <c r="E48" s="1223" t="s">
        <v>213</v>
      </c>
      <c r="F48" s="1176"/>
      <c r="G48" s="1176"/>
      <c r="H48" s="1176"/>
      <c r="I48" s="1176"/>
      <c r="J48" s="1176"/>
      <c r="K48" s="1176"/>
      <c r="L48" s="1176"/>
      <c r="M48" s="1176"/>
      <c r="N48" s="1176"/>
      <c r="O48" s="8"/>
    </row>
    <row r="49" spans="2:16" hidden="1" x14ac:dyDescent="0.25">
      <c r="B49" s="17"/>
      <c r="C49" s="17"/>
      <c r="D49" s="17"/>
      <c r="E49" s="1098" t="s">
        <v>214</v>
      </c>
      <c r="F49" s="1241" t="str">
        <f>Translations!$B$111</f>
        <v>30 June 2019 for the allocation period 2021-2025, or</v>
      </c>
      <c r="G49" s="1193"/>
      <c r="H49" s="1193"/>
      <c r="I49" s="1193"/>
      <c r="J49" s="1193"/>
      <c r="K49" s="1193"/>
      <c r="L49" s="1193"/>
      <c r="M49" s="1193"/>
      <c r="N49" s="1193"/>
      <c r="O49" s="8"/>
    </row>
    <row r="50" spans="2:16" ht="36" customHeight="1" x14ac:dyDescent="0.25">
      <c r="B50" s="17"/>
      <c r="C50" s="17"/>
      <c r="D50" s="17"/>
      <c r="E50" s="630"/>
      <c r="F50" s="1273" t="s">
        <v>215</v>
      </c>
      <c r="G50" s="1176"/>
      <c r="H50" s="1176"/>
      <c r="I50" s="1176"/>
      <c r="J50" s="1176"/>
      <c r="K50" s="1176"/>
      <c r="L50" s="1176"/>
      <c r="M50" s="1176"/>
      <c r="N50" s="1176"/>
      <c r="O50" s="8"/>
    </row>
    <row r="51" spans="2:16" x14ac:dyDescent="0.25">
      <c r="B51" s="17"/>
      <c r="C51" s="17"/>
      <c r="D51" s="17"/>
      <c r="E51" s="1223" t="s">
        <v>216</v>
      </c>
      <c r="F51" s="1176"/>
      <c r="G51" s="1176"/>
      <c r="H51" s="1176"/>
      <c r="I51" s="1176"/>
      <c r="J51" s="1176"/>
      <c r="K51" s="1176"/>
      <c r="L51" s="1176"/>
      <c r="M51" s="1176"/>
      <c r="N51" s="1176"/>
      <c r="O51" s="8"/>
    </row>
    <row r="52" spans="2:16" x14ac:dyDescent="0.25">
      <c r="B52" s="17"/>
      <c r="C52" s="17"/>
      <c r="D52" s="17"/>
      <c r="E52" s="1223" t="s">
        <v>217</v>
      </c>
      <c r="F52" s="1176"/>
      <c r="G52" s="1176"/>
      <c r="H52" s="1176"/>
      <c r="I52" s="1176"/>
      <c r="J52" s="1176"/>
      <c r="K52" s="1176"/>
      <c r="L52" s="1176"/>
      <c r="M52" s="1176"/>
      <c r="N52" s="1176"/>
      <c r="O52" s="8"/>
    </row>
    <row r="53" spans="2:16" x14ac:dyDescent="0.25">
      <c r="B53" s="17"/>
      <c r="C53" s="17"/>
      <c r="D53" s="17"/>
      <c r="E53" s="1223" t="str">
        <f>Translations!$B$115</f>
        <v xml:space="preserve">Consequently, this template has not been developed for the use by new entrants. </v>
      </c>
      <c r="F53" s="1176"/>
      <c r="G53" s="1176"/>
      <c r="H53" s="1176"/>
      <c r="I53" s="1176"/>
      <c r="J53" s="1176"/>
      <c r="K53" s="1176"/>
      <c r="L53" s="1176"/>
      <c r="M53" s="1176"/>
      <c r="N53" s="1176"/>
      <c r="O53" s="8"/>
    </row>
    <row r="54" spans="2:16" ht="5.0999999999999996" customHeight="1" x14ac:dyDescent="0.25">
      <c r="B54" s="8"/>
      <c r="C54" s="8"/>
      <c r="D54" s="8"/>
      <c r="E54" s="8"/>
      <c r="F54" s="8"/>
      <c r="G54" s="8"/>
      <c r="H54" s="8"/>
      <c r="I54" s="8"/>
      <c r="J54" s="8"/>
      <c r="K54" s="8"/>
      <c r="L54" s="8"/>
      <c r="M54" s="8"/>
      <c r="N54" s="8"/>
      <c r="O54" s="8"/>
      <c r="P54" s="190"/>
    </row>
    <row r="55" spans="2:16" x14ac:dyDescent="0.25">
      <c r="B55" s="17"/>
      <c r="C55" s="17"/>
      <c r="D55" s="15" t="s">
        <v>218</v>
      </c>
      <c r="E55" s="1165" t="str">
        <f>Translations!$B$116</f>
        <v>Operator data:</v>
      </c>
      <c r="F55" s="1176"/>
      <c r="G55" s="1176"/>
      <c r="H55" s="1176"/>
      <c r="I55" s="1176"/>
      <c r="J55" s="1176"/>
      <c r="K55" s="1176"/>
      <c r="L55" s="1176"/>
      <c r="M55" s="1176"/>
      <c r="N55" s="1176"/>
      <c r="O55" s="8"/>
    </row>
    <row r="56" spans="2:16" hidden="1" x14ac:dyDescent="0.25">
      <c r="B56" s="17"/>
      <c r="C56" s="17"/>
      <c r="D56" s="17"/>
      <c r="E56" s="1274" t="str">
        <f>Translations!$B$117</f>
        <v>The operator is the [natural or legal] person who operates or controls an installation or, where this is provided for in national legislation, to whom decisive economic power over the technical functioning of the installation has been delegated.</v>
      </c>
      <c r="F56" s="1275"/>
      <c r="G56" s="1275"/>
      <c r="H56" s="1275"/>
      <c r="I56" s="1275"/>
      <c r="J56" s="1275"/>
      <c r="K56" s="1275"/>
      <c r="L56" s="1275"/>
      <c r="M56" s="1275"/>
      <c r="N56" s="1275"/>
      <c r="O56" s="8"/>
    </row>
    <row r="57" spans="2:16" x14ac:dyDescent="0.25">
      <c r="B57" s="17"/>
      <c r="C57" s="17"/>
      <c r="D57" s="627"/>
      <c r="E57" s="27"/>
      <c r="F57" s="114" t="s">
        <v>206</v>
      </c>
      <c r="G57" s="1248" t="str">
        <f>Translations!$B$118</f>
        <v>Operator Name:</v>
      </c>
      <c r="H57" s="1249"/>
      <c r="I57" s="1250"/>
      <c r="J57" s="1246"/>
      <c r="K57" s="1247"/>
      <c r="L57" s="1247"/>
      <c r="M57" s="1247"/>
      <c r="N57" s="1247"/>
      <c r="O57" s="8"/>
    </row>
    <row r="58" spans="2:16" x14ac:dyDescent="0.25">
      <c r="B58" s="17"/>
      <c r="C58" s="17"/>
      <c r="D58" s="627"/>
      <c r="E58" s="27"/>
      <c r="F58" s="114" t="s">
        <v>208</v>
      </c>
      <c r="G58" s="1251" t="str">
        <f>Translations!$B$119</f>
        <v>Street, Number:</v>
      </c>
      <c r="H58" s="1252"/>
      <c r="I58" s="1253"/>
      <c r="J58" s="1242"/>
      <c r="K58" s="1243"/>
      <c r="L58" s="1243"/>
      <c r="M58" s="1243"/>
      <c r="N58" s="1243"/>
      <c r="O58" s="8"/>
    </row>
    <row r="59" spans="2:16" x14ac:dyDescent="0.25">
      <c r="B59" s="17"/>
      <c r="C59" s="17"/>
      <c r="D59" s="627"/>
      <c r="E59" s="27"/>
      <c r="F59" s="114" t="s">
        <v>209</v>
      </c>
      <c r="G59" s="1251" t="s">
        <v>219</v>
      </c>
      <c r="H59" s="1252"/>
      <c r="I59" s="1253"/>
      <c r="J59" s="1242"/>
      <c r="K59" s="1243"/>
      <c r="L59" s="1243"/>
      <c r="M59" s="1243"/>
      <c r="N59" s="1243"/>
      <c r="O59" s="8"/>
    </row>
    <row r="60" spans="2:16" x14ac:dyDescent="0.25">
      <c r="B60" s="17"/>
      <c r="C60" s="17"/>
      <c r="D60" s="627"/>
      <c r="E60" s="27"/>
      <c r="F60" s="114" t="s">
        <v>210</v>
      </c>
      <c r="G60" s="1251" t="str">
        <f>Translations!$B$121</f>
        <v>City:</v>
      </c>
      <c r="H60" s="1252"/>
      <c r="I60" s="1253"/>
      <c r="J60" s="1242"/>
      <c r="K60" s="1243"/>
      <c r="L60" s="1243"/>
      <c r="M60" s="1243"/>
      <c r="N60" s="1243"/>
      <c r="O60" s="8"/>
    </row>
    <row r="61" spans="2:16" x14ac:dyDescent="0.25">
      <c r="B61" s="17"/>
      <c r="C61" s="17"/>
      <c r="D61" s="627"/>
      <c r="E61" s="27"/>
      <c r="F61" s="114" t="s">
        <v>220</v>
      </c>
      <c r="G61" s="1251" t="str">
        <f>Translations!$B$122</f>
        <v>Country:</v>
      </c>
      <c r="H61" s="1252"/>
      <c r="I61" s="1253"/>
      <c r="J61" s="1242"/>
      <c r="K61" s="1243"/>
      <c r="L61" s="1243"/>
      <c r="M61" s="1243"/>
      <c r="N61" s="1243"/>
      <c r="O61" s="8"/>
    </row>
    <row r="62" spans="2:16" x14ac:dyDescent="0.25">
      <c r="B62" s="17"/>
      <c r="C62" s="17"/>
      <c r="D62" s="627"/>
      <c r="E62" s="27"/>
      <c r="F62" s="114" t="s">
        <v>221</v>
      </c>
      <c r="G62" s="1251" t="str">
        <f>Translations!$B$123</f>
        <v>Name of authorized representative:</v>
      </c>
      <c r="H62" s="1252"/>
      <c r="I62" s="1253"/>
      <c r="J62" s="1242"/>
      <c r="K62" s="1243"/>
      <c r="L62" s="1243"/>
      <c r="M62" s="1243"/>
      <c r="N62" s="1243"/>
      <c r="O62" s="8"/>
    </row>
    <row r="63" spans="2:16" x14ac:dyDescent="0.25">
      <c r="B63" s="17"/>
      <c r="C63" s="17"/>
      <c r="D63" s="627"/>
      <c r="E63" s="27"/>
      <c r="F63" s="114" t="s">
        <v>222</v>
      </c>
      <c r="G63" s="1251" t="str">
        <f>Translations!$B$124</f>
        <v>Email:</v>
      </c>
      <c r="H63" s="1252"/>
      <c r="I63" s="1253"/>
      <c r="J63" s="1267"/>
      <c r="K63" s="1243"/>
      <c r="L63" s="1243"/>
      <c r="M63" s="1243"/>
      <c r="N63" s="1243"/>
      <c r="O63" s="8"/>
    </row>
    <row r="64" spans="2:16" x14ac:dyDescent="0.25">
      <c r="B64" s="17"/>
      <c r="C64" s="17"/>
      <c r="D64" s="627"/>
      <c r="E64" s="27"/>
      <c r="F64" s="114" t="s">
        <v>223</v>
      </c>
      <c r="G64" s="1254" t="str">
        <f>Translations!$B$125</f>
        <v>Telephone:</v>
      </c>
      <c r="H64" s="1255"/>
      <c r="I64" s="1256"/>
      <c r="J64" s="1244"/>
      <c r="K64" s="1245"/>
      <c r="L64" s="1245"/>
      <c r="M64" s="1245"/>
      <c r="N64" s="1245"/>
      <c r="O64" s="8"/>
    </row>
    <row r="65" spans="2:16" hidden="1" x14ac:dyDescent="0.25">
      <c r="B65" s="17"/>
      <c r="C65" s="17"/>
      <c r="D65" s="627"/>
      <c r="E65" s="27"/>
      <c r="F65" s="1100" t="s">
        <v>224</v>
      </c>
      <c r="G65" s="1221" t="str">
        <f>Translations!$B$126</f>
        <v>Fax:</v>
      </c>
      <c r="H65" s="1193"/>
      <c r="I65" s="1193"/>
      <c r="J65" s="1339"/>
      <c r="K65" s="1339"/>
      <c r="L65" s="1339"/>
      <c r="M65" s="1339"/>
      <c r="N65" s="1339"/>
      <c r="O65" s="8"/>
    </row>
    <row r="66" spans="2:16" ht="5.0999999999999996" customHeight="1" x14ac:dyDescent="0.25">
      <c r="B66" s="8"/>
      <c r="C66" s="8"/>
      <c r="D66" s="8"/>
      <c r="E66" s="8"/>
      <c r="F66" s="8"/>
      <c r="G66" s="8"/>
      <c r="H66" s="8"/>
      <c r="I66" s="8"/>
      <c r="J66" s="8"/>
      <c r="K66" s="8"/>
      <c r="L66" s="8"/>
      <c r="M66" s="8"/>
      <c r="N66" s="8"/>
      <c r="O66" s="8"/>
      <c r="P66" s="190"/>
    </row>
    <row r="67" spans="2:16" x14ac:dyDescent="0.25">
      <c r="B67" s="17"/>
      <c r="C67" s="17"/>
      <c r="D67" s="15" t="s">
        <v>225</v>
      </c>
      <c r="E67" s="1165" t="str">
        <f>Translations!$B$127</f>
        <v>Installation address:</v>
      </c>
      <c r="F67" s="1176"/>
      <c r="G67" s="1176"/>
      <c r="H67" s="1176"/>
      <c r="I67" s="1176"/>
      <c r="J67" s="1176"/>
      <c r="K67" s="1176"/>
      <c r="L67" s="1176"/>
      <c r="M67" s="1176"/>
      <c r="N67" s="1176"/>
      <c r="O67" s="8"/>
    </row>
    <row r="68" spans="2:16" x14ac:dyDescent="0.25">
      <c r="B68" s="17"/>
      <c r="C68" s="17"/>
      <c r="D68" s="627"/>
      <c r="E68" s="27"/>
      <c r="F68" s="114" t="s">
        <v>206</v>
      </c>
      <c r="G68" s="1248" t="s">
        <v>226</v>
      </c>
      <c r="H68" s="1249"/>
      <c r="I68" s="1250"/>
      <c r="J68" s="1246"/>
      <c r="K68" s="1247"/>
      <c r="L68" s="1247"/>
      <c r="M68" s="1247"/>
      <c r="N68" s="1247"/>
      <c r="O68" s="8"/>
    </row>
    <row r="69" spans="2:16" x14ac:dyDescent="0.25">
      <c r="B69" s="17"/>
      <c r="C69" s="17"/>
      <c r="D69" s="627"/>
      <c r="E69" s="27"/>
      <c r="F69" s="114" t="s">
        <v>208</v>
      </c>
      <c r="G69" s="1251" t="s">
        <v>219</v>
      </c>
      <c r="H69" s="1252"/>
      <c r="I69" s="1253"/>
      <c r="J69" s="1242"/>
      <c r="K69" s="1243"/>
      <c r="L69" s="1243"/>
      <c r="M69" s="1243"/>
      <c r="N69" s="1243"/>
      <c r="O69" s="8"/>
    </row>
    <row r="70" spans="2:16" x14ac:dyDescent="0.25">
      <c r="B70" s="17"/>
      <c r="C70" s="17"/>
      <c r="D70" s="627"/>
      <c r="E70" s="27"/>
      <c r="F70" s="114" t="s">
        <v>209</v>
      </c>
      <c r="G70" s="1251" t="str">
        <f>Translations!$B$121</f>
        <v>City:</v>
      </c>
      <c r="H70" s="1252"/>
      <c r="I70" s="1253"/>
      <c r="J70" s="1242"/>
      <c r="K70" s="1243"/>
      <c r="L70" s="1243"/>
      <c r="M70" s="1243"/>
      <c r="N70" s="1243"/>
      <c r="O70" s="8"/>
    </row>
    <row r="71" spans="2:16" x14ac:dyDescent="0.25">
      <c r="B71" s="17"/>
      <c r="C71" s="17"/>
      <c r="D71" s="627"/>
      <c r="E71" s="27"/>
      <c r="F71" s="114" t="s">
        <v>210</v>
      </c>
      <c r="G71" s="1254" t="str">
        <f>Translations!$B$122</f>
        <v>Country:</v>
      </c>
      <c r="H71" s="1255"/>
      <c r="I71" s="1256"/>
      <c r="J71" s="1262"/>
      <c r="K71" s="1263"/>
      <c r="L71" s="1263"/>
      <c r="M71" s="1263"/>
      <c r="N71" s="1263"/>
      <c r="O71" s="8"/>
    </row>
    <row r="72" spans="2:16" ht="5.0999999999999996" customHeight="1" x14ac:dyDescent="0.25">
      <c r="B72" s="8"/>
      <c r="C72" s="8"/>
      <c r="D72" s="8"/>
      <c r="E72" s="8"/>
      <c r="F72" s="8"/>
      <c r="G72" s="8"/>
      <c r="H72" s="8"/>
      <c r="I72" s="8"/>
      <c r="J72" s="8"/>
      <c r="K72" s="8"/>
      <c r="L72" s="8"/>
      <c r="M72" s="8"/>
      <c r="N72" s="8"/>
      <c r="O72" s="8"/>
      <c r="P72" s="190"/>
    </row>
    <row r="73" spans="2:16" ht="13.8" x14ac:dyDescent="0.25">
      <c r="B73" s="17"/>
      <c r="C73" s="19">
        <v>2</v>
      </c>
      <c r="D73" s="1234" t="str">
        <f>Translations!$B$128</f>
        <v>Contact persons:</v>
      </c>
      <c r="E73" s="1176"/>
      <c r="F73" s="1176"/>
      <c r="G73" s="1176"/>
      <c r="H73" s="1176"/>
      <c r="I73" s="1176"/>
      <c r="J73" s="1176"/>
      <c r="K73" s="1176"/>
      <c r="L73" s="1176"/>
      <c r="M73" s="1176"/>
      <c r="N73" s="1176"/>
      <c r="O73" s="8"/>
    </row>
    <row r="74" spans="2:16" x14ac:dyDescent="0.25">
      <c r="B74" s="17"/>
      <c r="C74" s="17"/>
      <c r="D74" s="17"/>
      <c r="E74" s="1223" t="s">
        <v>227</v>
      </c>
      <c r="F74" s="1176"/>
      <c r="G74" s="1176"/>
      <c r="H74" s="1176"/>
      <c r="I74" s="1176"/>
      <c r="J74" s="1176"/>
      <c r="K74" s="1176"/>
      <c r="L74" s="1176"/>
      <c r="M74" s="1176"/>
      <c r="N74" s="1176"/>
      <c r="O74" s="8"/>
    </row>
    <row r="75" spans="2:16" ht="5.0999999999999996" customHeight="1" x14ac:dyDescent="0.25">
      <c r="B75" s="8"/>
      <c r="C75" s="8"/>
      <c r="D75" s="8"/>
      <c r="E75" s="8"/>
      <c r="F75" s="8"/>
      <c r="G75" s="8"/>
      <c r="H75" s="8"/>
      <c r="I75" s="8"/>
      <c r="J75" s="8"/>
      <c r="K75" s="8"/>
      <c r="L75" s="8"/>
      <c r="M75" s="8"/>
      <c r="N75" s="8"/>
      <c r="O75" s="8"/>
      <c r="P75" s="190"/>
    </row>
    <row r="76" spans="2:16" x14ac:dyDescent="0.25">
      <c r="B76" s="17"/>
      <c r="C76" s="17"/>
      <c r="D76" s="15" t="s">
        <v>190</v>
      </c>
      <c r="E76" s="1165" t="str">
        <f>Translations!$B$130</f>
        <v>Authorised representative of the operator in charge of this installation:</v>
      </c>
      <c r="F76" s="1176"/>
      <c r="G76" s="1176"/>
      <c r="H76" s="1176"/>
      <c r="I76" s="1176"/>
      <c r="J76" s="1176"/>
      <c r="K76" s="1176"/>
      <c r="L76" s="1176"/>
      <c r="M76" s="1176"/>
      <c r="N76" s="1176"/>
      <c r="O76" s="8"/>
    </row>
    <row r="77" spans="2:16" x14ac:dyDescent="0.25">
      <c r="B77" s="17"/>
      <c r="C77" s="17"/>
      <c r="D77" s="627"/>
      <c r="E77" s="27"/>
      <c r="F77" s="114" t="s">
        <v>206</v>
      </c>
      <c r="G77" s="1248" t="str">
        <f>Translations!$B$131</f>
        <v>Name:</v>
      </c>
      <c r="H77" s="1249"/>
      <c r="I77" s="1250"/>
      <c r="J77" s="1246"/>
      <c r="K77" s="1247"/>
      <c r="L77" s="1247"/>
      <c r="M77" s="1247"/>
      <c r="N77" s="1247"/>
      <c r="O77" s="8"/>
    </row>
    <row r="78" spans="2:16" x14ac:dyDescent="0.25">
      <c r="B78" s="17"/>
      <c r="C78" s="17"/>
      <c r="D78" s="627"/>
      <c r="E78" s="27"/>
      <c r="F78" s="114" t="s">
        <v>208</v>
      </c>
      <c r="G78" s="1251" t="str">
        <f>Translations!$B$124</f>
        <v>Email:</v>
      </c>
      <c r="H78" s="1252"/>
      <c r="I78" s="1253"/>
      <c r="J78" s="1242"/>
      <c r="K78" s="1243"/>
      <c r="L78" s="1243"/>
      <c r="M78" s="1243"/>
      <c r="N78" s="1243"/>
      <c r="O78" s="8"/>
    </row>
    <row r="79" spans="2:16" x14ac:dyDescent="0.25">
      <c r="B79" s="17"/>
      <c r="C79" s="17"/>
      <c r="D79" s="627"/>
      <c r="E79" s="27"/>
      <c r="F79" s="114" t="s">
        <v>209</v>
      </c>
      <c r="G79" s="1254" t="str">
        <f>Translations!$B$125</f>
        <v>Telephone:</v>
      </c>
      <c r="H79" s="1255"/>
      <c r="I79" s="1256"/>
      <c r="J79" s="1244"/>
      <c r="K79" s="1245"/>
      <c r="L79" s="1245"/>
      <c r="M79" s="1245"/>
      <c r="N79" s="1245"/>
      <c r="O79" s="8"/>
    </row>
    <row r="80" spans="2:16" hidden="1" x14ac:dyDescent="0.25">
      <c r="B80" s="17"/>
      <c r="C80" s="17"/>
      <c r="D80" s="627"/>
      <c r="E80" s="27"/>
      <c r="F80" s="1100" t="s">
        <v>210</v>
      </c>
      <c r="G80" s="1221" t="str">
        <f>Translations!$B$126</f>
        <v>Fax:</v>
      </c>
      <c r="H80" s="1193"/>
      <c r="I80" s="1193"/>
      <c r="J80" s="1339"/>
      <c r="K80" s="1339"/>
      <c r="L80" s="1339"/>
      <c r="M80" s="1339"/>
      <c r="N80" s="1339"/>
      <c r="O80" s="8"/>
    </row>
    <row r="81" spans="2:16" ht="5.0999999999999996" customHeight="1" x14ac:dyDescent="0.25">
      <c r="B81" s="8"/>
      <c r="C81" s="8"/>
      <c r="D81" s="8"/>
      <c r="E81" s="8"/>
      <c r="F81" s="8"/>
      <c r="G81" s="8"/>
      <c r="H81" s="8"/>
      <c r="I81" s="8"/>
      <c r="J81" s="8"/>
      <c r="K81" s="8"/>
      <c r="L81" s="8"/>
      <c r="M81" s="8"/>
      <c r="N81" s="8"/>
      <c r="O81" s="8"/>
      <c r="P81" s="190"/>
    </row>
    <row r="82" spans="2:16" x14ac:dyDescent="0.25">
      <c r="B82" s="17"/>
      <c r="C82" s="17"/>
      <c r="D82" s="15" t="s">
        <v>192</v>
      </c>
      <c r="E82" s="1165" t="str">
        <f>Translations!$B$132</f>
        <v>Primary contact person for technical questions regarding installation data, if different from (a):</v>
      </c>
      <c r="F82" s="1176"/>
      <c r="G82" s="1176"/>
      <c r="H82" s="1176"/>
      <c r="I82" s="1176"/>
      <c r="J82" s="1176"/>
      <c r="K82" s="1176"/>
      <c r="L82" s="1176"/>
      <c r="M82" s="1176"/>
      <c r="N82" s="1176"/>
      <c r="O82" s="8"/>
    </row>
    <row r="83" spans="2:16" x14ac:dyDescent="0.25">
      <c r="B83" s="17"/>
      <c r="C83" s="17"/>
      <c r="D83" s="627"/>
      <c r="E83" s="27"/>
      <c r="F83" s="114" t="s">
        <v>206</v>
      </c>
      <c r="G83" s="1248" t="str">
        <f>Translations!$B$131</f>
        <v>Name:</v>
      </c>
      <c r="H83" s="1249"/>
      <c r="I83" s="1250"/>
      <c r="J83" s="1257"/>
      <c r="K83" s="1258"/>
      <c r="L83" s="1258"/>
      <c r="M83" s="1258"/>
      <c r="N83" s="1258"/>
      <c r="O83" s="8"/>
    </row>
    <row r="84" spans="2:16" x14ac:dyDescent="0.25">
      <c r="B84" s="17"/>
      <c r="C84" s="17"/>
      <c r="D84" s="627"/>
      <c r="E84" s="27"/>
      <c r="F84" s="114" t="s">
        <v>208</v>
      </c>
      <c r="G84" s="1251" t="str">
        <f>Translations!$B$124</f>
        <v>Email:</v>
      </c>
      <c r="H84" s="1252"/>
      <c r="I84" s="1253"/>
      <c r="J84" s="1340"/>
      <c r="K84" s="1341"/>
      <c r="L84" s="1341"/>
      <c r="M84" s="1341"/>
      <c r="N84" s="1341"/>
      <c r="O84" s="8"/>
    </row>
    <row r="85" spans="2:16" x14ac:dyDescent="0.25">
      <c r="B85" s="17"/>
      <c r="C85" s="17"/>
      <c r="D85" s="627"/>
      <c r="E85" s="27"/>
      <c r="F85" s="114" t="s">
        <v>209</v>
      </c>
      <c r="G85" s="1254" t="str">
        <f>Translations!$B$125</f>
        <v>Telephone:</v>
      </c>
      <c r="H85" s="1255"/>
      <c r="I85" s="1256"/>
      <c r="J85" s="1262"/>
      <c r="K85" s="1263"/>
      <c r="L85" s="1263"/>
      <c r="M85" s="1263"/>
      <c r="N85" s="1263"/>
      <c r="O85" s="8"/>
    </row>
    <row r="86" spans="2:16" x14ac:dyDescent="0.25">
      <c r="B86" s="17"/>
      <c r="C86" s="17"/>
      <c r="D86" s="627"/>
      <c r="E86" s="27"/>
      <c r="F86" s="1100" t="s">
        <v>210</v>
      </c>
      <c r="G86" s="1221" t="str">
        <f>Translations!$B$126</f>
        <v>Fax:</v>
      </c>
      <c r="H86" s="1193"/>
      <c r="I86" s="1193"/>
      <c r="J86" s="1339"/>
      <c r="K86" s="1339"/>
      <c r="L86" s="1339"/>
      <c r="M86" s="1339"/>
      <c r="N86" s="1339"/>
      <c r="O86" s="8"/>
    </row>
    <row r="87" spans="2:16" ht="5.0999999999999996" customHeight="1" x14ac:dyDescent="0.25">
      <c r="B87" s="8"/>
      <c r="C87" s="8"/>
      <c r="D87" s="8"/>
      <c r="E87" s="8"/>
      <c r="F87" s="8"/>
      <c r="G87" s="8"/>
      <c r="H87" s="8"/>
      <c r="I87" s="8"/>
      <c r="J87" s="8"/>
      <c r="K87" s="8"/>
      <c r="L87" s="8"/>
      <c r="M87" s="8"/>
      <c r="N87" s="8"/>
      <c r="O87" s="8"/>
      <c r="P87" s="190"/>
    </row>
    <row r="88" spans="2:16" ht="13.8" x14ac:dyDescent="0.25">
      <c r="B88" s="17"/>
      <c r="C88" s="19">
        <v>3</v>
      </c>
      <c r="D88" s="1234" t="str">
        <f>Translations!$B$133</f>
        <v>Verifier engaged for this baseline data report:</v>
      </c>
      <c r="E88" s="1176"/>
      <c r="F88" s="1176"/>
      <c r="G88" s="1176"/>
      <c r="H88" s="1176"/>
      <c r="I88" s="1176"/>
      <c r="J88" s="1176"/>
      <c r="K88" s="1176"/>
      <c r="L88" s="1176"/>
      <c r="M88" s="1176"/>
      <c r="N88" s="1176"/>
      <c r="O88" s="8"/>
    </row>
    <row r="89" spans="2:16" ht="5.0999999999999996" customHeight="1" x14ac:dyDescent="0.25">
      <c r="B89" s="8"/>
      <c r="C89" s="8"/>
      <c r="D89" s="8"/>
      <c r="E89" s="8"/>
      <c r="F89" s="8"/>
      <c r="G89" s="8"/>
      <c r="H89" s="8"/>
      <c r="I89" s="8"/>
      <c r="J89" s="8"/>
      <c r="K89" s="8"/>
      <c r="L89" s="8"/>
      <c r="M89" s="8"/>
      <c r="N89" s="8"/>
      <c r="O89" s="8"/>
      <c r="P89" s="190"/>
    </row>
    <row r="90" spans="2:16" x14ac:dyDescent="0.25">
      <c r="B90" s="17"/>
      <c r="C90" s="17"/>
      <c r="D90" s="27" t="s">
        <v>190</v>
      </c>
      <c r="E90" s="1165" t="str">
        <f>Translations!$B$134</f>
        <v>Name and address of the verifier of this baseline data report:</v>
      </c>
      <c r="F90" s="1176"/>
      <c r="G90" s="1176"/>
      <c r="H90" s="1176"/>
      <c r="I90" s="1176"/>
      <c r="J90" s="1176"/>
      <c r="K90" s="1176"/>
      <c r="L90" s="1176"/>
      <c r="M90" s="1176"/>
      <c r="N90" s="1176"/>
      <c r="O90" s="8"/>
    </row>
    <row r="91" spans="2:16" x14ac:dyDescent="0.25">
      <c r="B91" s="17"/>
      <c r="C91" s="17"/>
      <c r="D91" s="631"/>
      <c r="E91" s="27"/>
      <c r="F91" s="114" t="s">
        <v>206</v>
      </c>
      <c r="G91" s="1248" t="str">
        <f>Translations!$B$135</f>
        <v>Company Name:</v>
      </c>
      <c r="H91" s="1248"/>
      <c r="I91" s="1347"/>
      <c r="J91" s="1246"/>
      <c r="K91" s="1247"/>
      <c r="L91" s="1247"/>
      <c r="M91" s="1247"/>
      <c r="N91" s="1247"/>
      <c r="O91" s="8"/>
    </row>
    <row r="92" spans="2:16" x14ac:dyDescent="0.25">
      <c r="B92" s="17"/>
      <c r="C92" s="17"/>
      <c r="D92" s="631"/>
      <c r="E92" s="17"/>
      <c r="F92" s="114" t="s">
        <v>208</v>
      </c>
      <c r="G92" s="1251" t="str">
        <f>Translations!$B$119</f>
        <v>Street, Number:</v>
      </c>
      <c r="H92" s="1252"/>
      <c r="I92" s="1253"/>
      <c r="J92" s="1242"/>
      <c r="K92" s="1243"/>
      <c r="L92" s="1243"/>
      <c r="M92" s="1243"/>
      <c r="N92" s="1243"/>
      <c r="O92" s="8"/>
    </row>
    <row r="93" spans="2:16" x14ac:dyDescent="0.25">
      <c r="B93" s="17"/>
      <c r="C93" s="17"/>
      <c r="D93" s="627"/>
      <c r="E93" s="17"/>
      <c r="F93" s="114" t="s">
        <v>209</v>
      </c>
      <c r="G93" s="1251" t="str">
        <f>Translations!$B$121</f>
        <v>City:</v>
      </c>
      <c r="H93" s="1252"/>
      <c r="I93" s="1253"/>
      <c r="J93" s="1242"/>
      <c r="K93" s="1243"/>
      <c r="L93" s="1243"/>
      <c r="M93" s="1243"/>
      <c r="N93" s="1243"/>
      <c r="O93" s="8"/>
    </row>
    <row r="94" spans="2:16" x14ac:dyDescent="0.25">
      <c r="B94" s="17"/>
      <c r="C94" s="17"/>
      <c r="D94" s="627"/>
      <c r="E94" s="17"/>
      <c r="F94" s="114" t="s">
        <v>210</v>
      </c>
      <c r="G94" s="1251" t="s">
        <v>219</v>
      </c>
      <c r="H94" s="1252"/>
      <c r="I94" s="1253"/>
      <c r="J94" s="1242"/>
      <c r="K94" s="1243"/>
      <c r="L94" s="1243"/>
      <c r="M94" s="1243"/>
      <c r="N94" s="1243"/>
      <c r="O94" s="8"/>
    </row>
    <row r="95" spans="2:16" x14ac:dyDescent="0.25">
      <c r="B95" s="17"/>
      <c r="C95" s="17"/>
      <c r="D95" s="627"/>
      <c r="E95" s="17"/>
      <c r="F95" s="114" t="s">
        <v>220</v>
      </c>
      <c r="G95" s="1254" t="str">
        <f>Translations!$B$122</f>
        <v>Country:</v>
      </c>
      <c r="H95" s="1255"/>
      <c r="I95" s="1256"/>
      <c r="J95" s="1244"/>
      <c r="K95" s="1245"/>
      <c r="L95" s="1245"/>
      <c r="M95" s="1245"/>
      <c r="N95" s="1245"/>
      <c r="O95" s="8"/>
    </row>
    <row r="96" spans="2:16" ht="5.0999999999999996" customHeight="1" x14ac:dyDescent="0.25">
      <c r="B96" s="8"/>
      <c r="C96" s="8"/>
      <c r="D96" s="8"/>
      <c r="E96" s="8"/>
      <c r="F96" s="8"/>
      <c r="G96" s="8"/>
      <c r="H96" s="8"/>
      <c r="I96" s="8"/>
      <c r="J96" s="8"/>
      <c r="K96" s="8"/>
      <c r="L96" s="8"/>
      <c r="M96" s="8"/>
      <c r="N96" s="8"/>
      <c r="O96" s="8"/>
      <c r="P96" s="190"/>
    </row>
    <row r="97" spans="2:16" x14ac:dyDescent="0.25">
      <c r="B97" s="17"/>
      <c r="C97" s="17"/>
      <c r="D97" s="27" t="s">
        <v>192</v>
      </c>
      <c r="E97" s="1165" t="str">
        <f>Translations!$B$137</f>
        <v>Authorised representative of the verifier:</v>
      </c>
      <c r="F97" s="1176"/>
      <c r="G97" s="1176"/>
      <c r="H97" s="1176"/>
      <c r="I97" s="1176"/>
      <c r="J97" s="1176"/>
      <c r="K97" s="1176"/>
      <c r="L97" s="1176"/>
      <c r="M97" s="1176"/>
      <c r="N97" s="1176"/>
      <c r="O97" s="8"/>
    </row>
    <row r="98" spans="2:16" x14ac:dyDescent="0.25">
      <c r="B98" s="17"/>
      <c r="C98" s="17"/>
      <c r="D98" s="627"/>
      <c r="E98" s="1223" t="str">
        <f>Translations!$B$138</f>
        <v>The nominated person should be familiar with this report. Ideally it is the lead verifier involved with this report.</v>
      </c>
      <c r="F98" s="1176"/>
      <c r="G98" s="1176"/>
      <c r="H98" s="1176"/>
      <c r="I98" s="1176"/>
      <c r="J98" s="1176"/>
      <c r="K98" s="1176"/>
      <c r="L98" s="1176"/>
      <c r="M98" s="1176"/>
      <c r="N98" s="1176"/>
      <c r="O98" s="8"/>
    </row>
    <row r="99" spans="2:16" x14ac:dyDescent="0.25">
      <c r="B99" s="17"/>
      <c r="C99" s="17"/>
      <c r="D99" s="627"/>
      <c r="E99" s="17"/>
      <c r="F99" s="114" t="s">
        <v>206</v>
      </c>
      <c r="G99" s="1248" t="str">
        <f>Translations!$B$131</f>
        <v>Name:</v>
      </c>
      <c r="H99" s="1248"/>
      <c r="I99" s="1347"/>
      <c r="J99" s="1246"/>
      <c r="K99" s="1247"/>
      <c r="L99" s="1247"/>
      <c r="M99" s="1247"/>
      <c r="N99" s="1247"/>
      <c r="O99" s="8"/>
    </row>
    <row r="100" spans="2:16" x14ac:dyDescent="0.25">
      <c r="B100" s="17"/>
      <c r="C100" s="17"/>
      <c r="D100" s="631"/>
      <c r="E100" s="17"/>
      <c r="F100" s="114" t="s">
        <v>208</v>
      </c>
      <c r="G100" s="1251" t="str">
        <f>Translations!$B$139</f>
        <v>Email address:</v>
      </c>
      <c r="H100" s="1251"/>
      <c r="I100" s="1353"/>
      <c r="J100" s="1242"/>
      <c r="K100" s="1243"/>
      <c r="L100" s="1243"/>
      <c r="M100" s="1243"/>
      <c r="N100" s="1243"/>
      <c r="O100" s="8"/>
    </row>
    <row r="101" spans="2:16" x14ac:dyDescent="0.25">
      <c r="B101" s="17"/>
      <c r="C101" s="17"/>
      <c r="D101" s="631"/>
      <c r="E101" s="17"/>
      <c r="F101" s="114" t="s">
        <v>209</v>
      </c>
      <c r="G101" s="1254" t="str">
        <f>Translations!$B$140</f>
        <v>Telephone number:</v>
      </c>
      <c r="H101" s="1254"/>
      <c r="I101" s="1348"/>
      <c r="J101" s="1244"/>
      <c r="K101" s="1245"/>
      <c r="L101" s="1245"/>
      <c r="M101" s="1245"/>
      <c r="N101" s="1245"/>
      <c r="O101" s="8"/>
    </row>
    <row r="102" spans="2:16" hidden="1" x14ac:dyDescent="0.25">
      <c r="B102" s="17"/>
      <c r="C102" s="17"/>
      <c r="D102" s="627"/>
      <c r="E102" s="27"/>
      <c r="F102" s="1100" t="s">
        <v>210</v>
      </c>
      <c r="G102" s="1221" t="str">
        <f>Translations!$B$126</f>
        <v>Fax:</v>
      </c>
      <c r="H102" s="1193"/>
      <c r="I102" s="1193"/>
      <c r="J102" s="1339"/>
      <c r="K102" s="1339"/>
      <c r="L102" s="1339"/>
      <c r="M102" s="1339"/>
      <c r="N102" s="1339"/>
      <c r="O102" s="8"/>
    </row>
    <row r="103" spans="2:16" ht="5.0999999999999996" customHeight="1" x14ac:dyDescent="0.25">
      <c r="B103" s="8"/>
      <c r="C103" s="8"/>
      <c r="D103" s="8"/>
      <c r="E103" s="8"/>
      <c r="F103" s="8"/>
      <c r="G103" s="8"/>
      <c r="H103" s="8"/>
      <c r="I103" s="8"/>
      <c r="J103" s="8"/>
      <c r="K103" s="8"/>
      <c r="L103" s="8"/>
      <c r="M103" s="8"/>
      <c r="N103" s="8"/>
      <c r="O103" s="8"/>
      <c r="P103" s="190"/>
    </row>
    <row r="104" spans="2:16" ht="12.75" customHeight="1" x14ac:dyDescent="0.25">
      <c r="B104" s="17"/>
      <c r="C104" s="17"/>
      <c r="D104" s="27" t="s">
        <v>195</v>
      </c>
      <c r="E104" s="1165" t="str">
        <f>Translations!$B$141</f>
        <v>Information about the verifier's accreditation:</v>
      </c>
      <c r="F104" s="1176"/>
      <c r="G104" s="1176"/>
      <c r="H104" s="1176"/>
      <c r="I104" s="1176"/>
      <c r="J104" s="1176"/>
      <c r="K104" s="1176"/>
      <c r="L104" s="1176"/>
      <c r="M104" s="1176"/>
      <c r="N104" s="1176"/>
      <c r="O104" s="8"/>
    </row>
    <row r="105" spans="2:16" hidden="1" x14ac:dyDescent="0.25">
      <c r="B105" s="17"/>
      <c r="C105" s="17"/>
      <c r="D105" s="631"/>
      <c r="E105" s="27"/>
      <c r="F105" s="1100" t="s">
        <v>206</v>
      </c>
      <c r="G105" s="1221" t="str">
        <f>Translations!$B$142</f>
        <v>Accreditation Member State:</v>
      </c>
      <c r="H105" s="1221"/>
      <c r="I105" s="1221"/>
      <c r="J105" s="1339"/>
      <c r="K105" s="1339"/>
      <c r="L105" s="1339"/>
      <c r="M105" s="1339"/>
      <c r="N105" s="1339"/>
      <c r="O105" s="8"/>
    </row>
    <row r="106" spans="2:16" x14ac:dyDescent="0.25">
      <c r="B106" s="17"/>
      <c r="C106" s="17"/>
      <c r="D106" s="631"/>
      <c r="E106" s="27"/>
      <c r="F106" s="114" t="s">
        <v>206</v>
      </c>
      <c r="G106" s="1248" t="str">
        <f>Translations!$B$143</f>
        <v>Name of the national accreditation body:</v>
      </c>
      <c r="H106" s="1248"/>
      <c r="I106" s="1347"/>
      <c r="J106" s="1352"/>
      <c r="K106" s="1247"/>
      <c r="L106" s="1247"/>
      <c r="M106" s="1247"/>
      <c r="N106" s="1247"/>
      <c r="O106" s="8"/>
    </row>
    <row r="107" spans="2:16" ht="25.5" customHeight="1" x14ac:dyDescent="0.25">
      <c r="B107" s="17"/>
      <c r="C107" s="17"/>
      <c r="D107" s="631"/>
      <c r="E107" s="27"/>
      <c r="F107" s="114" t="s">
        <v>208</v>
      </c>
      <c r="G107" s="1254" t="s">
        <v>228</v>
      </c>
      <c r="H107" s="1254"/>
      <c r="I107" s="1348"/>
      <c r="J107" s="1244"/>
      <c r="K107" s="1245"/>
      <c r="L107" s="1245"/>
      <c r="M107" s="1245"/>
      <c r="N107" s="1245"/>
      <c r="O107" s="8"/>
    </row>
    <row r="108" spans="2:16" ht="5.0999999999999996" customHeight="1" x14ac:dyDescent="0.25">
      <c r="B108" s="8"/>
      <c r="C108" s="8"/>
      <c r="D108" s="8"/>
      <c r="E108" s="8"/>
      <c r="F108" s="8"/>
      <c r="G108" s="8"/>
      <c r="H108" s="8"/>
      <c r="I108" s="8"/>
      <c r="J108" s="8"/>
      <c r="K108" s="8"/>
      <c r="L108" s="8"/>
      <c r="M108" s="8"/>
      <c r="N108" s="8"/>
      <c r="O108" s="8"/>
      <c r="P108" s="190"/>
    </row>
    <row r="109" spans="2:16" ht="13.8" x14ac:dyDescent="0.25">
      <c r="B109" s="17"/>
      <c r="C109" s="19">
        <v>4</v>
      </c>
      <c r="D109" s="1234" t="str">
        <f>Translations!$B$145</f>
        <v>Further installation data:</v>
      </c>
      <c r="E109" s="1176"/>
      <c r="F109" s="1176"/>
      <c r="G109" s="1176"/>
      <c r="H109" s="1176"/>
      <c r="I109" s="1176"/>
      <c r="J109" s="1176"/>
      <c r="K109" s="1176"/>
      <c r="L109" s="1176"/>
      <c r="M109" s="1176"/>
      <c r="N109" s="1176"/>
      <c r="O109" s="8"/>
    </row>
    <row r="110" spans="2:16" ht="5.0999999999999996" customHeight="1" x14ac:dyDescent="0.25">
      <c r="B110" s="8"/>
      <c r="C110" s="8"/>
      <c r="D110" s="8"/>
      <c r="E110" s="8"/>
      <c r="F110" s="8"/>
      <c r="G110" s="8"/>
      <c r="H110" s="8"/>
      <c r="I110" s="8"/>
      <c r="J110" s="8"/>
      <c r="K110" s="8"/>
      <c r="L110" s="8"/>
      <c r="M110" s="8"/>
      <c r="N110" s="8"/>
      <c r="O110" s="8"/>
      <c r="P110" s="190"/>
    </row>
    <row r="111" spans="2:16" x14ac:dyDescent="0.25">
      <c r="B111" s="17"/>
      <c r="C111" s="17"/>
      <c r="D111" s="15" t="s">
        <v>190</v>
      </c>
      <c r="E111" s="1165" t="s">
        <v>229</v>
      </c>
      <c r="F111" s="1176"/>
      <c r="G111" s="1176"/>
      <c r="H111" s="1176"/>
      <c r="I111" s="1176"/>
      <c r="J111" s="1176"/>
      <c r="K111" s="1176"/>
      <c r="L111" s="1176"/>
      <c r="M111" s="1176"/>
      <c r="N111" s="1176"/>
      <c r="O111" s="8"/>
    </row>
    <row r="112" spans="2:16" x14ac:dyDescent="0.25">
      <c r="B112" s="17"/>
      <c r="C112" s="17"/>
      <c r="D112" s="17"/>
      <c r="E112" s="1223" t="s">
        <v>230</v>
      </c>
      <c r="F112" s="1176"/>
      <c r="G112" s="1176"/>
      <c r="H112" s="1176"/>
      <c r="I112" s="1176"/>
      <c r="J112" s="1176"/>
      <c r="K112" s="1176"/>
      <c r="L112" s="1176"/>
      <c r="M112" s="1176"/>
      <c r="N112" s="1176"/>
      <c r="O112" s="8"/>
    </row>
    <row r="113" spans="2:16" x14ac:dyDescent="0.25">
      <c r="B113" s="17"/>
      <c r="C113" s="17"/>
      <c r="D113" s="17"/>
      <c r="E113" s="1223" t="str">
        <f>Translations!$B$148</f>
        <v>To the extent feasible, please sort the list with regard to the direct emissions, starting with the activity causing the highest direct emissions.</v>
      </c>
      <c r="F113" s="1176"/>
      <c r="G113" s="1176"/>
      <c r="H113" s="1176"/>
      <c r="I113" s="1176"/>
      <c r="J113" s="1176"/>
      <c r="K113" s="1176"/>
      <c r="L113" s="1176"/>
      <c r="M113" s="1176"/>
      <c r="N113" s="1176"/>
      <c r="O113" s="8"/>
    </row>
    <row r="114" spans="2:16" ht="13.8" thickBot="1" x14ac:dyDescent="0.3">
      <c r="B114" s="17"/>
      <c r="C114" s="17"/>
      <c r="D114" s="627"/>
      <c r="E114" s="632" t="str">
        <f>Translations!$B$149</f>
        <v>Number</v>
      </c>
      <c r="F114" s="29" t="s">
        <v>231</v>
      </c>
      <c r="G114" s="78"/>
      <c r="H114" s="633"/>
      <c r="I114" s="633"/>
      <c r="J114" s="79"/>
      <c r="K114" s="79"/>
      <c r="L114" s="79"/>
      <c r="M114" s="78"/>
      <c r="N114" s="78"/>
      <c r="O114" s="8"/>
      <c r="P114" s="150" t="s">
        <v>232</v>
      </c>
    </row>
    <row r="115" spans="2:16" x14ac:dyDescent="0.25">
      <c r="B115" s="17"/>
      <c r="C115" s="17"/>
      <c r="D115" s="627"/>
      <c r="E115" s="634">
        <v>1</v>
      </c>
      <c r="F115" s="1361"/>
      <c r="G115" s="1362"/>
      <c r="H115" s="1362"/>
      <c r="I115" s="1362"/>
      <c r="J115" s="1362"/>
      <c r="K115" s="1362"/>
      <c r="L115" s="1362"/>
      <c r="M115" s="1362"/>
      <c r="N115" s="1362"/>
      <c r="O115" s="8"/>
      <c r="P115" s="295" t="str">
        <f t="shared" ref="P115:P120" si="0">IF(ISBLANK(F115),"",MATCH(F115,EUconst_AnnexIActivities,0))</f>
        <v/>
      </c>
    </row>
    <row r="116" spans="2:16" x14ac:dyDescent="0.25">
      <c r="B116" s="17"/>
      <c r="C116" s="17"/>
      <c r="D116" s="627"/>
      <c r="E116" s="635">
        <f>E115+1</f>
        <v>2</v>
      </c>
      <c r="F116" s="1268"/>
      <c r="G116" s="1269"/>
      <c r="H116" s="1269"/>
      <c r="I116" s="1269"/>
      <c r="J116" s="1269"/>
      <c r="K116" s="1269"/>
      <c r="L116" s="1269"/>
      <c r="M116" s="1269"/>
      <c r="N116" s="1269"/>
      <c r="O116" s="8"/>
      <c r="P116" s="636" t="str">
        <f t="shared" si="0"/>
        <v/>
      </c>
    </row>
    <row r="117" spans="2:16" x14ac:dyDescent="0.25">
      <c r="B117" s="17"/>
      <c r="C117" s="17"/>
      <c r="D117" s="627"/>
      <c r="E117" s="635">
        <f>E116+1</f>
        <v>3</v>
      </c>
      <c r="F117" s="1268"/>
      <c r="G117" s="1269"/>
      <c r="H117" s="1269"/>
      <c r="I117" s="1269"/>
      <c r="J117" s="1269"/>
      <c r="K117" s="1269"/>
      <c r="L117" s="1269"/>
      <c r="M117" s="1269"/>
      <c r="N117" s="1269"/>
      <c r="O117" s="8"/>
      <c r="P117" s="636" t="str">
        <f t="shared" si="0"/>
        <v/>
      </c>
    </row>
    <row r="118" spans="2:16" x14ac:dyDescent="0.25">
      <c r="B118" s="17"/>
      <c r="C118" s="17"/>
      <c r="D118" s="627"/>
      <c r="E118" s="635">
        <f>E117+1</f>
        <v>4</v>
      </c>
      <c r="F118" s="1268"/>
      <c r="G118" s="1269"/>
      <c r="H118" s="1269"/>
      <c r="I118" s="1269"/>
      <c r="J118" s="1269"/>
      <c r="K118" s="1269"/>
      <c r="L118" s="1269"/>
      <c r="M118" s="1269"/>
      <c r="N118" s="1269"/>
      <c r="O118" s="8"/>
      <c r="P118" s="636" t="str">
        <f t="shared" si="0"/>
        <v/>
      </c>
    </row>
    <row r="119" spans="2:16" x14ac:dyDescent="0.25">
      <c r="B119" s="17"/>
      <c r="C119" s="17"/>
      <c r="D119" s="627"/>
      <c r="E119" s="635">
        <f>E118+1</f>
        <v>5</v>
      </c>
      <c r="F119" s="1268"/>
      <c r="G119" s="1269"/>
      <c r="H119" s="1269"/>
      <c r="I119" s="1269"/>
      <c r="J119" s="1269"/>
      <c r="K119" s="1269"/>
      <c r="L119" s="1269"/>
      <c r="M119" s="1269"/>
      <c r="N119" s="1269"/>
      <c r="O119" s="8"/>
      <c r="P119" s="636" t="str">
        <f t="shared" si="0"/>
        <v/>
      </c>
    </row>
    <row r="120" spans="2:16" ht="13.8" thickBot="1" x14ac:dyDescent="0.3">
      <c r="B120" s="17"/>
      <c r="C120" s="17"/>
      <c r="D120" s="627"/>
      <c r="E120" s="637">
        <v>6</v>
      </c>
      <c r="F120" s="1336"/>
      <c r="G120" s="1354"/>
      <c r="H120" s="1354"/>
      <c r="I120" s="1354"/>
      <c r="J120" s="1354"/>
      <c r="K120" s="1354"/>
      <c r="L120" s="1354"/>
      <c r="M120" s="1354"/>
      <c r="N120" s="1354"/>
      <c r="O120" s="8"/>
      <c r="P120" s="297" t="str">
        <f t="shared" si="0"/>
        <v/>
      </c>
    </row>
    <row r="121" spans="2:16" ht="5.0999999999999996" customHeight="1" x14ac:dyDescent="0.25">
      <c r="B121" s="17"/>
      <c r="C121" s="17"/>
      <c r="D121" s="627"/>
      <c r="E121" s="27"/>
      <c r="F121" s="17"/>
      <c r="G121" s="17"/>
      <c r="H121" s="8"/>
      <c r="I121" s="8"/>
      <c r="J121" s="77"/>
      <c r="K121" s="77"/>
      <c r="L121" s="77"/>
      <c r="M121" s="17"/>
      <c r="N121" s="17"/>
      <c r="O121" s="8"/>
    </row>
    <row r="122" spans="2:16" x14ac:dyDescent="0.25">
      <c r="B122" s="17"/>
      <c r="C122" s="17"/>
      <c r="D122" s="15" t="s">
        <v>192</v>
      </c>
      <c r="E122" s="1165" t="str">
        <f>Translations!$B$151</f>
        <v>Under which NACE code has your company reported value added for structural business statistics?</v>
      </c>
      <c r="F122" s="1176"/>
      <c r="G122" s="1176"/>
      <c r="H122" s="1176"/>
      <c r="I122" s="1176"/>
      <c r="J122" s="1176"/>
      <c r="K122" s="1176"/>
      <c r="L122" s="1176"/>
      <c r="M122" s="1176"/>
      <c r="N122" s="1176"/>
      <c r="O122" s="8"/>
    </row>
    <row r="123" spans="2:16" x14ac:dyDescent="0.25">
      <c r="B123" s="17"/>
      <c r="C123" s="17"/>
      <c r="D123" s="17"/>
      <c r="E123" s="1223" t="s">
        <v>233</v>
      </c>
      <c r="F123" s="1176"/>
      <c r="G123" s="1176"/>
      <c r="H123" s="1176"/>
      <c r="I123" s="1176"/>
      <c r="J123" s="1176"/>
      <c r="K123" s="1176"/>
      <c r="L123" s="1176"/>
      <c r="M123" s="1176"/>
      <c r="N123" s="1176"/>
      <c r="O123" s="8"/>
    </row>
    <row r="124" spans="2:16" ht="12.75" customHeight="1" x14ac:dyDescent="0.25">
      <c r="B124" s="17"/>
      <c r="C124" s="17"/>
      <c r="D124" s="17"/>
      <c r="E124" s="1223" t="str">
        <f>Translations!$B$153</f>
        <v xml:space="preserve">NACE rev 2.0 can be found here: </v>
      </c>
      <c r="F124" s="1176"/>
      <c r="G124" s="1176"/>
      <c r="H124" s="1176"/>
      <c r="I124" s="1176"/>
      <c r="J124" s="1176"/>
      <c r="K124" s="1176"/>
      <c r="L124" s="1176"/>
      <c r="M124" s="1176"/>
      <c r="N124" s="1176"/>
      <c r="O124" s="8"/>
    </row>
    <row r="125" spans="2:16" ht="12.75" customHeight="1" x14ac:dyDescent="0.25">
      <c r="B125" s="17"/>
      <c r="C125" s="17"/>
      <c r="D125" s="17"/>
      <c r="E125" s="1363" t="s">
        <v>234</v>
      </c>
      <c r="F125" s="1363"/>
      <c r="G125" s="1363"/>
      <c r="H125" s="1363"/>
      <c r="I125" s="1363"/>
      <c r="J125" s="1363"/>
      <c r="K125" s="1363"/>
      <c r="L125" s="1363"/>
      <c r="M125" s="1363"/>
      <c r="N125" s="1363"/>
      <c r="O125" s="8"/>
    </row>
    <row r="126" spans="2:16" x14ac:dyDescent="0.25">
      <c r="B126" s="17"/>
      <c r="C126" s="17"/>
      <c r="D126" s="17"/>
      <c r="E126" s="1378" t="str">
        <f>Translations!$B$155</f>
        <v>NACE codes shall be entered at 4-digit level, in the form "nnnn", i.e. without any dots or other delimiters in between.</v>
      </c>
      <c r="F126" s="1168"/>
      <c r="G126" s="1168"/>
      <c r="H126" s="1168"/>
      <c r="I126" s="1168"/>
      <c r="J126" s="1168"/>
      <c r="K126" s="1168"/>
      <c r="L126" s="1168"/>
      <c r="M126" s="1168"/>
      <c r="N126" s="1168"/>
      <c r="O126" s="8"/>
    </row>
    <row r="127" spans="2:16" x14ac:dyDescent="0.25">
      <c r="B127" s="17"/>
      <c r="C127" s="17"/>
      <c r="D127" s="17"/>
      <c r="E127" s="1223" t="str">
        <f>Translations!$B$156</f>
        <v>You will receive an error message if you do not enter exactly 4 digits.</v>
      </c>
      <c r="F127" s="1176"/>
      <c r="G127" s="1176"/>
      <c r="H127" s="1176"/>
      <c r="I127" s="1176"/>
      <c r="J127" s="1176"/>
      <c r="K127" s="1176"/>
      <c r="L127" s="1176"/>
      <c r="M127" s="1176"/>
      <c r="N127" s="1176"/>
      <c r="O127" s="8"/>
    </row>
    <row r="128" spans="2:16" x14ac:dyDescent="0.25">
      <c r="B128" s="17"/>
      <c r="C128" s="17"/>
      <c r="D128" s="627"/>
      <c r="E128" s="113"/>
      <c r="F128" s="1166" t="str">
        <f>Translations!$B$157</f>
        <v>NACE code reported using NACE rev 2 classification:</v>
      </c>
      <c r="G128" s="1176"/>
      <c r="H128" s="1176"/>
      <c r="I128" s="1176"/>
      <c r="J128" s="1176"/>
      <c r="K128" s="1260"/>
      <c r="L128" s="121"/>
      <c r="M128" s="17"/>
      <c r="N128" s="17"/>
      <c r="O128" s="8"/>
      <c r="P128" s="626" t="s">
        <v>235</v>
      </c>
    </row>
    <row r="129" spans="1:24" ht="5.0999999999999996" customHeight="1" x14ac:dyDescent="0.25">
      <c r="B129" s="17"/>
      <c r="C129" s="17"/>
      <c r="D129" s="627"/>
      <c r="E129" s="27"/>
      <c r="F129" s="17"/>
      <c r="G129" s="17"/>
      <c r="H129" s="8"/>
      <c r="I129" s="8"/>
      <c r="J129" s="77"/>
      <c r="K129" s="77"/>
      <c r="L129" s="77"/>
      <c r="M129" s="17"/>
      <c r="N129" s="17"/>
      <c r="O129" s="8"/>
    </row>
    <row r="130" spans="1:24" x14ac:dyDescent="0.25">
      <c r="B130" s="17"/>
      <c r="C130" s="17"/>
      <c r="D130" s="15" t="s">
        <v>195</v>
      </c>
      <c r="E130" s="1165" t="s">
        <v>236</v>
      </c>
      <c r="F130" s="1176"/>
      <c r="G130" s="1176"/>
      <c r="H130" s="1176"/>
      <c r="I130" s="1176"/>
      <c r="J130" s="1176"/>
      <c r="K130" s="1260"/>
      <c r="L130" s="1349"/>
      <c r="M130" s="1350"/>
      <c r="N130" s="1351"/>
      <c r="O130" s="8"/>
    </row>
    <row r="131" spans="1:24" x14ac:dyDescent="0.25">
      <c r="B131" s="17"/>
      <c r="C131" s="17"/>
      <c r="D131" s="17"/>
      <c r="E131" s="1223" t="str">
        <f>Translations!$B$159</f>
        <v>The EPRTR is the European Pollutant Release and Transfer Register.</v>
      </c>
      <c r="F131" s="1176"/>
      <c r="G131" s="1176"/>
      <c r="H131" s="1176"/>
      <c r="I131" s="1176"/>
      <c r="J131" s="1176"/>
      <c r="K131" s="1176"/>
      <c r="L131" s="1176"/>
      <c r="M131" s="1176"/>
      <c r="N131" s="1176"/>
      <c r="O131" s="8"/>
    </row>
    <row r="132" spans="1:24" x14ac:dyDescent="0.25">
      <c r="B132" s="17"/>
      <c r="C132" s="17"/>
      <c r="D132" s="17"/>
      <c r="E132" s="1223" t="s">
        <v>237</v>
      </c>
      <c r="F132" s="1176"/>
      <c r="G132" s="1176"/>
      <c r="H132" s="1176"/>
      <c r="I132" s="1176"/>
      <c r="J132" s="1176"/>
      <c r="K132" s="1176"/>
      <c r="L132" s="1176"/>
      <c r="M132" s="1176"/>
      <c r="N132" s="1176"/>
      <c r="O132" s="8"/>
    </row>
    <row r="133" spans="1:24" ht="5.0999999999999996" customHeight="1" x14ac:dyDescent="0.25">
      <c r="B133" s="8"/>
      <c r="C133" s="8"/>
      <c r="D133" s="8"/>
      <c r="E133" s="8"/>
      <c r="F133" s="8"/>
      <c r="G133" s="8"/>
      <c r="H133" s="8"/>
      <c r="I133" s="8"/>
      <c r="J133" s="8"/>
      <c r="K133" s="8"/>
      <c r="L133" s="8"/>
      <c r="M133" s="8"/>
      <c r="N133" s="8"/>
      <c r="O133" s="8"/>
      <c r="P133" s="190"/>
    </row>
    <row r="134" spans="1:24" ht="12.75" customHeight="1" x14ac:dyDescent="0.25">
      <c r="B134" s="17"/>
      <c r="C134" s="17"/>
      <c r="D134" s="15" t="s">
        <v>197</v>
      </c>
      <c r="E134" s="1165" t="s">
        <v>238</v>
      </c>
      <c r="F134" s="1176"/>
      <c r="G134" s="1176"/>
      <c r="H134" s="1176"/>
      <c r="I134" s="1176"/>
      <c r="J134" s="1176"/>
      <c r="K134" s="1176"/>
      <c r="L134" s="1176"/>
      <c r="M134" s="1176"/>
      <c r="N134" s="1176"/>
      <c r="O134" s="8"/>
    </row>
    <row r="135" spans="1:24" ht="4.95" customHeight="1" x14ac:dyDescent="0.25">
      <c r="B135" s="17"/>
      <c r="C135" s="17"/>
      <c r="D135" s="15"/>
      <c r="E135" s="1223"/>
      <c r="F135" s="1176"/>
      <c r="G135" s="1176"/>
      <c r="H135" s="1176"/>
      <c r="I135" s="1176"/>
      <c r="J135" s="1176"/>
      <c r="K135" s="1176"/>
      <c r="L135" s="1176"/>
      <c r="M135" s="1176"/>
      <c r="N135" s="1176"/>
      <c r="O135" s="8"/>
    </row>
    <row r="136" spans="1:24" hidden="1" x14ac:dyDescent="0.25">
      <c r="B136" s="17"/>
      <c r="C136" s="17"/>
      <c r="D136" s="15"/>
      <c r="E136" s="630"/>
      <c r="F136" s="1223"/>
      <c r="G136" s="1176"/>
      <c r="H136" s="1176"/>
      <c r="I136" s="1176"/>
      <c r="J136" s="1176"/>
      <c r="K136" s="1176"/>
      <c r="L136" s="1176"/>
      <c r="M136" s="1176"/>
      <c r="N136" s="1176"/>
      <c r="O136" s="8"/>
    </row>
    <row r="137" spans="1:24" ht="12.75" hidden="1" customHeight="1" x14ac:dyDescent="0.25">
      <c r="B137" s="17"/>
      <c r="C137" s="17"/>
      <c r="D137" s="15"/>
      <c r="E137" s="113"/>
      <c r="F137" s="1171"/>
      <c r="G137" s="1171"/>
      <c r="H137" s="1171"/>
      <c r="I137" s="1171"/>
      <c r="J137" s="1171"/>
      <c r="K137" s="1171"/>
      <c r="L137" s="1171"/>
      <c r="M137" s="1195"/>
      <c r="N137" s="1195"/>
      <c r="O137" s="8"/>
    </row>
    <row r="138" spans="1:24" hidden="1" x14ac:dyDescent="0.25">
      <c r="B138" s="17"/>
      <c r="C138" s="17"/>
      <c r="D138" s="15"/>
      <c r="E138" s="630"/>
      <c r="F138" s="1359"/>
      <c r="G138" s="1360"/>
      <c r="H138" s="1360"/>
      <c r="I138" s="1360"/>
      <c r="J138" s="1360"/>
      <c r="K138" s="1360"/>
      <c r="L138" s="1360"/>
      <c r="M138" s="1360"/>
      <c r="N138" s="1360"/>
      <c r="O138" s="8"/>
    </row>
    <row r="139" spans="1:24" ht="5.0999999999999996" customHeight="1" thickBot="1" x14ac:dyDescent="0.3">
      <c r="B139" s="17"/>
      <c r="C139" s="17"/>
      <c r="D139" s="15"/>
      <c r="E139" s="15"/>
      <c r="F139" s="15"/>
      <c r="G139" s="15"/>
      <c r="H139" s="15"/>
      <c r="I139" s="15"/>
      <c r="J139" s="15"/>
      <c r="K139" s="15"/>
      <c r="L139" s="15"/>
      <c r="M139" s="15"/>
      <c r="N139" s="15"/>
      <c r="O139" s="8"/>
    </row>
    <row r="140" spans="1:24" ht="13.95" customHeight="1" thickBot="1" x14ac:dyDescent="0.3">
      <c r="B140" s="17"/>
      <c r="C140" s="17"/>
      <c r="D140" s="220"/>
      <c r="E140" s="113" t="s">
        <v>206</v>
      </c>
      <c r="F140" s="1171" t="s">
        <v>239</v>
      </c>
      <c r="G140" s="1171"/>
      <c r="H140" s="1171"/>
      <c r="I140" s="1171"/>
      <c r="J140" s="1171"/>
      <c r="K140" s="1171"/>
      <c r="L140" s="1171"/>
      <c r="M140" s="1355"/>
      <c r="N140" s="1356"/>
      <c r="O140" s="8"/>
      <c r="W140" s="638" t="s">
        <v>240</v>
      </c>
      <c r="X140" s="250" t="b">
        <f>MSconst_RequireArt27Info</f>
        <v>1</v>
      </c>
    </row>
    <row r="141" spans="1:24" s="642" customFormat="1" ht="125.4" customHeight="1" x14ac:dyDescent="0.25">
      <c r="A141" s="639"/>
      <c r="B141" s="640"/>
      <c r="C141" s="640"/>
      <c r="D141" s="640"/>
      <c r="E141" s="640"/>
      <c r="F141" s="1171"/>
      <c r="G141" s="1171"/>
      <c r="H141" s="1171"/>
      <c r="I141" s="1171"/>
      <c r="J141" s="1171"/>
      <c r="K141" s="1171"/>
      <c r="L141" s="1171"/>
      <c r="M141" s="640"/>
      <c r="N141" s="640"/>
      <c r="O141" s="8"/>
      <c r="P141" s="641"/>
      <c r="Q141" s="641"/>
      <c r="R141" s="641"/>
      <c r="S141" s="641"/>
      <c r="T141" s="641"/>
      <c r="U141" s="641"/>
      <c r="V141" s="641"/>
      <c r="W141" s="641"/>
      <c r="X141" s="641"/>
    </row>
    <row r="142" spans="1:24" ht="18.600000000000001" hidden="1" customHeight="1" x14ac:dyDescent="0.25">
      <c r="B142" s="17"/>
      <c r="C142" s="17"/>
      <c r="D142" s="220"/>
      <c r="E142" s="1097" t="s">
        <v>209</v>
      </c>
      <c r="F142" s="1219" t="s">
        <v>241</v>
      </c>
      <c r="G142" s="1219"/>
      <c r="H142" s="1219"/>
      <c r="I142" s="1219"/>
      <c r="J142" s="1219"/>
      <c r="K142" s="1219"/>
      <c r="L142" s="1219"/>
      <c r="M142" s="1179"/>
      <c r="N142" s="1179"/>
      <c r="O142" s="8"/>
    </row>
    <row r="143" spans="1:24" ht="1.2" customHeight="1" x14ac:dyDescent="0.25">
      <c r="B143" s="17"/>
      <c r="C143" s="17"/>
      <c r="D143" s="640"/>
      <c r="E143" s="640"/>
      <c r="F143" s="640"/>
      <c r="G143" s="640"/>
      <c r="H143" s="640"/>
      <c r="I143" s="640"/>
      <c r="J143" s="640"/>
      <c r="K143" s="640"/>
      <c r="L143" s="640"/>
      <c r="M143" s="640"/>
      <c r="N143" s="640"/>
      <c r="O143" s="8"/>
    </row>
    <row r="144" spans="1:24" ht="16.95" customHeight="1" x14ac:dyDescent="0.25">
      <c r="B144" s="17"/>
      <c r="C144" s="17"/>
      <c r="D144" s="640"/>
      <c r="E144" s="113" t="s">
        <v>208</v>
      </c>
      <c r="F144" s="1171" t="s">
        <v>242</v>
      </c>
      <c r="G144" s="1171"/>
      <c r="H144" s="1171"/>
      <c r="I144" s="1171"/>
      <c r="J144" s="1171"/>
      <c r="K144" s="1171"/>
      <c r="L144" s="1233"/>
      <c r="M144" s="1224" t="str">
        <f>IF(AND(ISBLANK(M140),ISBLANK(M142)),"",IF(OR(M140,M142),TRUE,FALSE))</f>
        <v/>
      </c>
      <c r="N144" s="1225"/>
      <c r="O144" s="8"/>
    </row>
    <row r="145" spans="2:24" ht="15.6" customHeight="1" x14ac:dyDescent="0.25">
      <c r="B145" s="17"/>
      <c r="C145" s="17"/>
      <c r="D145" s="627"/>
      <c r="E145" s="1357" t="s">
        <v>243</v>
      </c>
      <c r="F145" s="1358"/>
      <c r="G145" s="1358"/>
      <c r="H145" s="1358"/>
      <c r="I145" s="1358"/>
      <c r="J145" s="1358"/>
      <c r="K145" s="1358"/>
      <c r="L145" s="1358"/>
      <c r="M145" s="1358"/>
      <c r="N145" s="1358"/>
      <c r="O145" s="8"/>
    </row>
    <row r="146" spans="2:24" ht="5.0999999999999996" customHeight="1" x14ac:dyDescent="0.25">
      <c r="B146" s="8"/>
      <c r="C146" s="8"/>
      <c r="D146" s="8"/>
      <c r="E146" s="8"/>
      <c r="F146" s="8"/>
      <c r="G146" s="8"/>
      <c r="H146" s="8"/>
      <c r="I146" s="8"/>
      <c r="J146" s="8"/>
      <c r="K146" s="8"/>
      <c r="L146" s="8"/>
      <c r="M146" s="1179"/>
      <c r="N146" s="1179"/>
      <c r="O146" s="8"/>
      <c r="P146" s="190"/>
    </row>
    <row r="147" spans="2:24" ht="12.75" customHeight="1" x14ac:dyDescent="0.25">
      <c r="B147" s="17"/>
      <c r="C147" s="17"/>
      <c r="D147" s="15" t="s">
        <v>202</v>
      </c>
      <c r="E147" s="1208" t="s">
        <v>244</v>
      </c>
      <c r="F147" s="1195"/>
      <c r="G147" s="1195"/>
      <c r="H147" s="1195"/>
      <c r="I147" s="1195"/>
      <c r="J147" s="1195"/>
      <c r="K147" s="1195"/>
      <c r="L147" s="1195"/>
      <c r="M147" s="1195"/>
      <c r="N147" s="1195"/>
      <c r="O147" s="8"/>
    </row>
    <row r="148" spans="2:24" ht="12.75" customHeight="1" x14ac:dyDescent="0.25">
      <c r="B148" s="17"/>
      <c r="C148" s="17"/>
      <c r="D148" s="15"/>
      <c r="E148" s="1223" t="s">
        <v>245</v>
      </c>
      <c r="F148" s="1176"/>
      <c r="G148" s="1176"/>
      <c r="H148" s="1176"/>
      <c r="I148" s="1176"/>
      <c r="J148" s="1176"/>
      <c r="K148" s="1176"/>
      <c r="L148" s="1176"/>
      <c r="M148" s="1176"/>
      <c r="N148" s="1176"/>
      <c r="O148" s="8"/>
    </row>
    <row r="149" spans="2:24" ht="25.5" customHeight="1" x14ac:dyDescent="0.25">
      <c r="B149" s="17"/>
      <c r="C149" s="17"/>
      <c r="D149" s="15"/>
      <c r="E149" s="630" t="s">
        <v>214</v>
      </c>
      <c r="F149" s="1223" t="s">
        <v>246</v>
      </c>
      <c r="G149" s="1176"/>
      <c r="H149" s="1176"/>
      <c r="I149" s="1176"/>
      <c r="J149" s="1176"/>
      <c r="K149" s="1176"/>
      <c r="L149" s="1176"/>
      <c r="M149" s="1176"/>
      <c r="N149" s="1176"/>
      <c r="O149" s="8"/>
    </row>
    <row r="150" spans="2:24" hidden="1" x14ac:dyDescent="0.25">
      <c r="B150" s="17"/>
      <c r="C150" s="17"/>
      <c r="D150" s="15"/>
      <c r="E150" s="1098" t="s">
        <v>214</v>
      </c>
      <c r="F150" s="1241" t="str">
        <f>Translations!$B$172</f>
        <v>units kept in reserve or as backup which did not operate more than 300 hours per year in each of the three years;</v>
      </c>
      <c r="G150" s="1193"/>
      <c r="H150" s="1193"/>
      <c r="I150" s="1193"/>
      <c r="J150" s="1193"/>
      <c r="K150" s="1193"/>
      <c r="L150" s="1193"/>
      <c r="M150" s="1193"/>
      <c r="N150" s="1193"/>
      <c r="O150" s="8"/>
    </row>
    <row r="151" spans="2:24" ht="5.0999999999999996" customHeight="1" thickBot="1" x14ac:dyDescent="0.3">
      <c r="B151" s="17"/>
      <c r="C151" s="17"/>
      <c r="D151" s="15"/>
      <c r="E151" s="15"/>
      <c r="F151" s="15"/>
      <c r="G151" s="15"/>
      <c r="H151" s="15"/>
      <c r="I151" s="15"/>
      <c r="J151" s="15"/>
      <c r="K151" s="15"/>
      <c r="L151" s="15"/>
      <c r="M151" s="15"/>
      <c r="N151" s="15"/>
      <c r="O151" s="8"/>
    </row>
    <row r="152" spans="2:24" ht="12.75" customHeight="1" thickBot="1" x14ac:dyDescent="0.3">
      <c r="B152" s="17"/>
      <c r="C152" s="17"/>
      <c r="D152" s="220"/>
      <c r="E152" s="113" t="s">
        <v>206</v>
      </c>
      <c r="F152" s="1171" t="str">
        <f>Translations!$B$173</f>
        <v>Did the installation emit less than 2 500 tonnes CO2(e) per year?</v>
      </c>
      <c r="G152" s="1171"/>
      <c r="H152" s="1171"/>
      <c r="I152" s="1171"/>
      <c r="J152" s="1171"/>
      <c r="K152" s="1171"/>
      <c r="L152" s="1233"/>
      <c r="M152" s="1355"/>
      <c r="N152" s="1356"/>
      <c r="O152" s="8"/>
      <c r="W152" s="638" t="s">
        <v>247</v>
      </c>
      <c r="X152" s="250" t="b">
        <f>MSconst_RequireArt27aInfo</f>
        <v>1</v>
      </c>
    </row>
    <row r="153" spans="2:24" ht="5.0999999999999996" customHeight="1" x14ac:dyDescent="0.25">
      <c r="B153" s="17"/>
      <c r="C153" s="17"/>
      <c r="D153" s="640"/>
      <c r="E153" s="640"/>
      <c r="F153" s="640"/>
      <c r="G153" s="640"/>
      <c r="H153" s="640"/>
      <c r="I153" s="640"/>
      <c r="J153" s="640"/>
      <c r="K153" s="640"/>
      <c r="L153" s="640"/>
      <c r="M153" s="640"/>
      <c r="N153" s="640"/>
      <c r="O153" s="8"/>
    </row>
    <row r="154" spans="2:24" ht="12.75" hidden="1" customHeight="1" x14ac:dyDescent="0.25">
      <c r="B154" s="17"/>
      <c r="C154" s="17"/>
      <c r="D154" s="220"/>
      <c r="E154" s="1097" t="s">
        <v>208</v>
      </c>
      <c r="F154" s="1219" t="str">
        <f>Translations!$B$174</f>
        <v>Did units kept in reserve or as back-up in the installation not operate more than 300 hours per year?</v>
      </c>
      <c r="G154" s="1219"/>
      <c r="H154" s="1219"/>
      <c r="I154" s="1219"/>
      <c r="J154" s="1219"/>
      <c r="K154" s="1219"/>
      <c r="L154" s="1219"/>
      <c r="M154" s="1179"/>
      <c r="N154" s="1179"/>
      <c r="O154" s="8"/>
    </row>
    <row r="155" spans="2:24" ht="5.0999999999999996" customHeight="1" x14ac:dyDescent="0.25">
      <c r="B155" s="17"/>
      <c r="C155" s="17"/>
      <c r="D155" s="640"/>
      <c r="E155" s="640"/>
      <c r="F155" s="640"/>
      <c r="G155" s="640"/>
      <c r="H155" s="640"/>
      <c r="I155" s="640"/>
      <c r="J155" s="640"/>
      <c r="K155" s="640"/>
      <c r="L155" s="640"/>
      <c r="M155" s="640"/>
      <c r="N155" s="640"/>
      <c r="O155" s="8"/>
    </row>
    <row r="156" spans="2:24" ht="12.6" customHeight="1" x14ac:dyDescent="0.25">
      <c r="B156" s="17"/>
      <c r="C156" s="17"/>
      <c r="D156" s="640"/>
      <c r="E156" s="113" t="s">
        <v>208</v>
      </c>
      <c r="F156" s="1171" t="s">
        <v>248</v>
      </c>
      <c r="G156" s="1171"/>
      <c r="H156" s="1171"/>
      <c r="I156" s="1171"/>
      <c r="J156" s="1171"/>
      <c r="K156" s="1171"/>
      <c r="L156" s="1233"/>
      <c r="M156" s="1224" t="str">
        <f>IF(AND(ISBLANK(M152),ISBLANK(M154)),"",IF(OR(M152,M154),TRUE,FALSE))</f>
        <v/>
      </c>
      <c r="N156" s="1225"/>
      <c r="O156" s="8"/>
    </row>
    <row r="157" spans="2:24" ht="87.75" customHeight="1" x14ac:dyDescent="0.25">
      <c r="B157" s="17"/>
      <c r="C157" s="17"/>
      <c r="D157" s="627"/>
      <c r="E157" s="1229" t="s">
        <v>249</v>
      </c>
      <c r="F157" s="1230"/>
      <c r="G157" s="1230"/>
      <c r="H157" s="1230"/>
      <c r="I157" s="1230"/>
      <c r="J157" s="1230"/>
      <c r="K157" s="1230"/>
      <c r="L157" s="1230"/>
      <c r="M157" s="1230"/>
      <c r="N157" s="1230"/>
      <c r="O157" s="8"/>
    </row>
    <row r="158" spans="2:24" ht="12.75" customHeight="1" x14ac:dyDescent="0.25">
      <c r="B158" s="17"/>
      <c r="C158" s="17"/>
      <c r="D158" s="15" t="s">
        <v>199</v>
      </c>
      <c r="E158" s="1208" t="str">
        <f>Translations!$B$176</f>
        <v>Annual emissions from the three previous years for plausibility checking of (d) above</v>
      </c>
      <c r="F158" s="1195"/>
      <c r="G158" s="1195"/>
      <c r="H158" s="1195"/>
      <c r="I158" s="1195"/>
      <c r="J158" s="1195"/>
      <c r="K158" s="1195"/>
      <c r="L158" s="1195"/>
      <c r="M158" s="1195"/>
      <c r="N158" s="1195"/>
      <c r="O158" s="8"/>
    </row>
    <row r="159" spans="2:24" ht="12.75" customHeight="1" x14ac:dyDescent="0.25">
      <c r="B159" s="17"/>
      <c r="C159" s="17"/>
      <c r="D159" s="15"/>
      <c r="E159" s="1223" t="s">
        <v>250</v>
      </c>
      <c r="F159" s="1176"/>
      <c r="G159" s="1176"/>
      <c r="H159" s="1176"/>
      <c r="I159" s="1176"/>
      <c r="J159" s="1176"/>
      <c r="K159" s="1176"/>
      <c r="L159" s="1176"/>
      <c r="M159" s="1176"/>
      <c r="N159" s="1176"/>
      <c r="O159" s="8"/>
    </row>
    <row r="160" spans="2:24" x14ac:dyDescent="0.25">
      <c r="B160" s="17"/>
      <c r="C160" s="17"/>
      <c r="D160" s="627"/>
      <c r="E160" s="27"/>
      <c r="F160" s="17"/>
      <c r="G160" s="17"/>
      <c r="H160" s="77"/>
      <c r="I160" s="77"/>
      <c r="J160" s="23" t="str">
        <f>EUconst_Unit</f>
        <v>Unit</v>
      </c>
      <c r="K160" s="643">
        <f>K$330</f>
        <v>2021</v>
      </c>
      <c r="L160" s="128">
        <f>L$330</f>
        <v>2022</v>
      </c>
      <c r="M160" s="128">
        <f>M$330</f>
        <v>2023</v>
      </c>
      <c r="N160" s="204" t="str">
        <f>Translations!$B$178</f>
        <v>Maximum</v>
      </c>
      <c r="O160" s="8"/>
    </row>
    <row r="161" spans="2:19" x14ac:dyDescent="0.25">
      <c r="B161" s="17"/>
      <c r="C161" s="17"/>
      <c r="D161" s="627"/>
      <c r="E161" s="113"/>
      <c r="F161" s="78" t="str">
        <f>Translations!$B$179</f>
        <v>Annual emissions for plausibility checking:</v>
      </c>
      <c r="G161" s="78"/>
      <c r="H161" s="79"/>
      <c r="I161" s="79"/>
      <c r="J161" s="644" t="str">
        <f>EUconst_tCO2epa</f>
        <v>t CO2e/year</v>
      </c>
      <c r="K161" s="203" t="str">
        <f>D_Emissions!K58</f>
        <v/>
      </c>
      <c r="L161" s="203" t="str">
        <f>D_Emissions!L58</f>
        <v/>
      </c>
      <c r="M161" s="203" t="str">
        <f>D_Emissions!M58</f>
        <v/>
      </c>
      <c r="N161" s="645" t="str">
        <f>IF(COUNT(K161:M161)&gt;0,MAX(K161:M161),"")</f>
        <v/>
      </c>
      <c r="O161" s="8"/>
    </row>
    <row r="162" spans="2:19" ht="5.0999999999999996" customHeight="1" x14ac:dyDescent="0.25">
      <c r="B162" s="8"/>
      <c r="C162" s="8"/>
      <c r="D162" s="8"/>
      <c r="E162" s="8"/>
      <c r="F162" s="8"/>
      <c r="G162" s="8"/>
      <c r="H162" s="8"/>
      <c r="I162" s="8"/>
      <c r="J162" s="8"/>
      <c r="K162" s="8"/>
      <c r="L162" s="8"/>
      <c r="M162" s="8"/>
      <c r="N162" s="8"/>
      <c r="O162" s="8"/>
      <c r="P162" s="190"/>
    </row>
    <row r="163" spans="2:19" hidden="1" x14ac:dyDescent="0.25">
      <c r="B163" s="17"/>
      <c r="C163" s="17"/>
      <c r="D163" s="1099" t="s">
        <v>212</v>
      </c>
      <c r="E163" s="1240" t="str">
        <f>Translations!$B$180</f>
        <v>Has the installation been opted-in?</v>
      </c>
      <c r="F163" s="1193"/>
      <c r="G163" s="1193"/>
      <c r="H163" s="1193"/>
      <c r="I163" s="1193"/>
      <c r="J163" s="8"/>
      <c r="K163" s="77"/>
      <c r="L163" s="77"/>
      <c r="M163" s="17"/>
      <c r="N163" s="17"/>
      <c r="O163" s="8"/>
    </row>
    <row r="164" spans="2:19" ht="25.5" hidden="1" customHeight="1" x14ac:dyDescent="0.25">
      <c r="B164" s="17"/>
      <c r="C164" s="17"/>
      <c r="D164" s="17"/>
      <c r="E164" s="1241" t="str">
        <f>Translations!$B$181</f>
        <v>Please provide information if the installation does not carry out at least one Annex I activity of the EU ETS Directive but has been unilaterally included by the Member State (opted-in) pursuant to Article 24 of that Directive.</v>
      </c>
      <c r="F164" s="1193"/>
      <c r="G164" s="1193"/>
      <c r="H164" s="1193"/>
      <c r="I164" s="1193"/>
      <c r="J164" s="1193"/>
      <c r="K164" s="1193"/>
      <c r="L164" s="1193"/>
      <c r="M164" s="1193"/>
      <c r="N164" s="1193"/>
      <c r="O164" s="8"/>
    </row>
    <row r="165" spans="2:19" x14ac:dyDescent="0.25">
      <c r="B165" s="17"/>
      <c r="C165" s="17"/>
      <c r="D165" s="627"/>
      <c r="E165" s="27"/>
      <c r="F165" s="17"/>
      <c r="G165" s="17"/>
      <c r="H165" s="77"/>
      <c r="I165" s="77"/>
      <c r="J165" s="77"/>
      <c r="K165" s="77"/>
      <c r="L165" s="77"/>
      <c r="M165" s="17"/>
      <c r="N165" s="17"/>
      <c r="O165" s="8"/>
    </row>
    <row r="166" spans="2:19" ht="15.6" x14ac:dyDescent="0.3">
      <c r="B166" s="8"/>
      <c r="C166" s="13" t="s">
        <v>4</v>
      </c>
      <c r="D166" s="1175" t="str">
        <f>Translations!$B$182</f>
        <v>Information on this baseline data report</v>
      </c>
      <c r="E166" s="1175"/>
      <c r="F166" s="1175"/>
      <c r="G166" s="1175"/>
      <c r="H166" s="1175"/>
      <c r="I166" s="1175"/>
      <c r="J166" s="1175"/>
      <c r="K166" s="1175"/>
      <c r="L166" s="1175"/>
      <c r="M166" s="1175"/>
      <c r="N166" s="1175"/>
      <c r="O166" s="8"/>
      <c r="P166" s="190"/>
    </row>
    <row r="167" spans="2:19" ht="5.0999999999999996" customHeight="1" x14ac:dyDescent="0.25">
      <c r="B167" s="8"/>
      <c r="C167" s="8"/>
      <c r="D167" s="8"/>
      <c r="E167" s="8"/>
      <c r="F167" s="8"/>
      <c r="G167" s="8"/>
      <c r="H167" s="8"/>
      <c r="I167" s="8"/>
      <c r="J167" s="8"/>
      <c r="K167" s="8"/>
      <c r="L167" s="8"/>
      <c r="M167" s="8"/>
      <c r="N167" s="8"/>
      <c r="O167" s="8"/>
      <c r="P167" s="190"/>
    </row>
    <row r="168" spans="2:19" ht="13.8" x14ac:dyDescent="0.25">
      <c r="B168" s="17"/>
      <c r="C168" s="19">
        <v>1</v>
      </c>
      <c r="D168" s="1234" t="s">
        <v>251</v>
      </c>
      <c r="E168" s="1176"/>
      <c r="F168" s="1176"/>
      <c r="G168" s="1176"/>
      <c r="H168" s="1176"/>
      <c r="I168" s="1176"/>
      <c r="J168" s="1176"/>
      <c r="K168" s="1176"/>
      <c r="L168" s="1176"/>
      <c r="M168" s="1176"/>
      <c r="N168" s="1176"/>
      <c r="O168" s="8"/>
    </row>
    <row r="169" spans="2:19" ht="5.0999999999999996" customHeight="1" x14ac:dyDescent="0.25">
      <c r="B169" s="8"/>
      <c r="C169" s="8"/>
      <c r="D169" s="8"/>
      <c r="E169" s="8"/>
      <c r="F169" s="8"/>
      <c r="G169" s="8"/>
      <c r="H169" s="8"/>
      <c r="I169" s="8"/>
      <c r="J169" s="8"/>
      <c r="K169" s="8"/>
      <c r="L169" s="8"/>
      <c r="M169" s="8"/>
      <c r="N169" s="8"/>
      <c r="O169" s="8"/>
      <c r="P169" s="190"/>
    </row>
    <row r="170" spans="2:19" ht="15" customHeight="1" x14ac:dyDescent="0.25">
      <c r="B170" s="17"/>
      <c r="C170" s="17"/>
      <c r="D170" s="15" t="s">
        <v>190</v>
      </c>
      <c r="E170" s="1208" t="s">
        <v>252</v>
      </c>
      <c r="F170" s="1208"/>
      <c r="G170" s="1208"/>
      <c r="H170" s="1208"/>
      <c r="I170" s="1208"/>
      <c r="J170" s="1208"/>
      <c r="K170" s="1208"/>
      <c r="L170" s="1208"/>
      <c r="M170" s="1231"/>
      <c r="N170" s="1232"/>
      <c r="O170" s="8"/>
      <c r="P170" s="1392" t="s">
        <v>2558</v>
      </c>
      <c r="Q170" s="1393"/>
      <c r="R170" s="1393"/>
      <c r="S170" s="1394"/>
    </row>
    <row r="171" spans="2:19" ht="15" customHeight="1" x14ac:dyDescent="0.25">
      <c r="B171" s="17"/>
      <c r="C171" s="17"/>
      <c r="D171" s="17"/>
      <c r="E171" s="1208"/>
      <c r="F171" s="1208"/>
      <c r="G171" s="1208"/>
      <c r="H171" s="1208"/>
      <c r="I171" s="1208"/>
      <c r="J171" s="1208"/>
      <c r="K171" s="1208"/>
      <c r="L171" s="1208"/>
      <c r="M171" s="17"/>
      <c r="N171" s="17"/>
      <c r="O171" s="8"/>
      <c r="P171" s="1136" t="b">
        <f>IF( CNTR_HasEntries_A_I,OR(M170 = "", M174 = ""),FALSE)</f>
        <v>0</v>
      </c>
      <c r="Q171" s="1134"/>
      <c r="R171" s="1134"/>
      <c r="S171" s="1135"/>
    </row>
    <row r="172" spans="2:19" ht="92.25" customHeight="1" x14ac:dyDescent="0.25">
      <c r="B172" s="17"/>
      <c r="C172" s="17"/>
      <c r="D172" s="17"/>
      <c r="E172" s="1223" t="s">
        <v>253</v>
      </c>
      <c r="F172" s="1176"/>
      <c r="G172" s="1176"/>
      <c r="H172" s="1176"/>
      <c r="I172" s="1176"/>
      <c r="J172" s="1176"/>
      <c r="K172" s="1176"/>
      <c r="L172" s="1176"/>
      <c r="M172" s="1176"/>
      <c r="N172" s="1176"/>
      <c r="O172" s="8"/>
    </row>
    <row r="173" spans="2:19" ht="5.0999999999999996" customHeight="1" x14ac:dyDescent="0.25">
      <c r="B173" s="8"/>
      <c r="C173" s="8"/>
      <c r="D173" s="8"/>
      <c r="E173" s="8"/>
      <c r="F173" s="8"/>
      <c r="G173" s="8"/>
      <c r="H173" s="8"/>
      <c r="I173" s="8"/>
      <c r="J173" s="8"/>
      <c r="K173" s="8"/>
      <c r="L173" s="8"/>
      <c r="M173" s="8"/>
      <c r="N173" s="8"/>
      <c r="O173" s="8"/>
      <c r="P173" s="190"/>
    </row>
    <row r="174" spans="2:19" x14ac:dyDescent="0.25">
      <c r="B174" s="17"/>
      <c r="C174" s="17"/>
      <c r="D174" s="15" t="s">
        <v>192</v>
      </c>
      <c r="E174" s="1208" t="s">
        <v>254</v>
      </c>
      <c r="F174" s="1208"/>
      <c r="G174" s="1208"/>
      <c r="H174" s="1208"/>
      <c r="I174" s="1208"/>
      <c r="J174" s="1208"/>
      <c r="K174" s="1208"/>
      <c r="L174" s="1208"/>
      <c r="M174" s="1231"/>
      <c r="N174" s="1232"/>
      <c r="O174" s="8"/>
    </row>
    <row r="175" spans="2:19" ht="33.6" customHeight="1" x14ac:dyDescent="0.25">
      <c r="B175" s="8"/>
      <c r="C175" s="8"/>
      <c r="D175" s="8"/>
      <c r="E175" s="1208"/>
      <c r="F175" s="1208"/>
      <c r="G175" s="1208"/>
      <c r="H175" s="1208"/>
      <c r="I175" s="1208"/>
      <c r="J175" s="1208"/>
      <c r="K175" s="1208"/>
      <c r="L175" s="1208"/>
      <c r="M175" s="8"/>
      <c r="N175" s="8"/>
      <c r="O175" s="8"/>
      <c r="P175" s="190"/>
    </row>
    <row r="176" spans="2:19" ht="42.6" hidden="1" customHeight="1" x14ac:dyDescent="0.25">
      <c r="B176" s="17"/>
      <c r="C176" s="17"/>
      <c r="D176" s="1099" t="s">
        <v>195</v>
      </c>
      <c r="E176" s="1239" t="s">
        <v>255</v>
      </c>
      <c r="F176" s="1193"/>
      <c r="G176" s="1193"/>
      <c r="H176" s="1193"/>
      <c r="I176" s="1193"/>
      <c r="J176" s="1193"/>
      <c r="K176" s="1193"/>
      <c r="L176" s="1193"/>
      <c r="M176" s="1238" t="str">
        <f>IF(AND(ISBLANK(M170),ISBLANK(M174)),"",IF(OR(M170,M174),TRUE,FALSE))</f>
        <v/>
      </c>
      <c r="N176" s="1238"/>
      <c r="O176" s="8"/>
    </row>
    <row r="177" spans="2:26" ht="14.4" customHeight="1" x14ac:dyDescent="0.25">
      <c r="B177" s="17"/>
      <c r="C177" s="17"/>
      <c r="D177" s="15" t="s">
        <v>195</v>
      </c>
      <c r="E177" s="1228" t="s">
        <v>2551</v>
      </c>
      <c r="F177" s="1228"/>
      <c r="G177" s="1228"/>
      <c r="H177" s="1228"/>
      <c r="I177" s="1228"/>
      <c r="J177" s="1228"/>
      <c r="K177" s="1228"/>
      <c r="L177" s="1228"/>
      <c r="M177" s="1226"/>
      <c r="N177" s="1227"/>
      <c r="O177" s="8"/>
      <c r="P177" s="1395" t="s">
        <v>2557</v>
      </c>
      <c r="Q177" s="1396"/>
      <c r="R177" s="1396"/>
      <c r="S177" s="1397"/>
      <c r="T177" s="1392" t="s">
        <v>2559</v>
      </c>
      <c r="U177" s="1393"/>
      <c r="V177" s="1393"/>
      <c r="W177" s="1394"/>
    </row>
    <row r="178" spans="2:26" ht="32.4" customHeight="1" x14ac:dyDescent="0.25">
      <c r="B178" s="17"/>
      <c r="C178" s="17"/>
      <c r="D178" s="17"/>
      <c r="E178" s="1228"/>
      <c r="F178" s="1228"/>
      <c r="G178" s="1228"/>
      <c r="H178" s="1228"/>
      <c r="I178" s="1228"/>
      <c r="J178" s="1228"/>
      <c r="K178" s="1228"/>
      <c r="L178" s="1228"/>
      <c r="M178" s="823"/>
      <c r="N178" s="823"/>
      <c r="O178" s="8"/>
      <c r="P178" s="1136" t="b">
        <f>IF(AND(M170 = TRUE,OR(M177 = "",M180 = "")),TRUE, FALSE)</f>
        <v>0</v>
      </c>
      <c r="Q178" s="1134"/>
      <c r="R178" s="1134"/>
      <c r="S178" s="1135"/>
      <c r="T178" s="1136" t="b">
        <f>IF(AND(M170 = FALSE,OR(M177 &lt;&gt; "",M180 &lt;&gt; "")),TRUE, FALSE)</f>
        <v>0</v>
      </c>
      <c r="U178" s="1134"/>
      <c r="V178" s="1134"/>
      <c r="W178" s="1135"/>
    </row>
    <row r="179" spans="2:26" ht="31.95" hidden="1" customHeight="1" x14ac:dyDescent="0.25">
      <c r="B179" s="8"/>
      <c r="C179" s="8"/>
      <c r="D179" s="8"/>
      <c r="E179" s="8"/>
      <c r="F179" s="8"/>
      <c r="G179" s="8"/>
      <c r="H179" s="8"/>
      <c r="I179" s="8"/>
      <c r="J179" s="8"/>
      <c r="K179" s="8"/>
      <c r="L179" s="8"/>
      <c r="M179" s="8"/>
      <c r="N179" s="8"/>
      <c r="O179" s="8"/>
      <c r="P179" s="190"/>
    </row>
    <row r="180" spans="2:26" x14ac:dyDescent="0.25">
      <c r="B180" s="17"/>
      <c r="C180" s="17"/>
      <c r="D180" s="15" t="s">
        <v>197</v>
      </c>
      <c r="E180" s="1208" t="s">
        <v>2552</v>
      </c>
      <c r="F180" s="1208"/>
      <c r="G180" s="1208"/>
      <c r="H180" s="1208"/>
      <c r="I180" s="1208"/>
      <c r="J180" s="1208"/>
      <c r="K180" s="1208"/>
      <c r="L180" s="1208"/>
      <c r="M180" s="1231"/>
      <c r="N180" s="1232"/>
      <c r="O180" s="8"/>
    </row>
    <row r="181" spans="2:26" ht="18" customHeight="1" x14ac:dyDescent="0.25">
      <c r="B181" s="8"/>
      <c r="C181" s="8"/>
      <c r="D181" s="8"/>
      <c r="E181" s="1208"/>
      <c r="F181" s="1208"/>
      <c r="G181" s="1208"/>
      <c r="H181" s="1208"/>
      <c r="I181" s="1208"/>
      <c r="J181" s="1208"/>
      <c r="K181" s="1208"/>
      <c r="L181" s="1208"/>
      <c r="M181" s="8"/>
      <c r="N181" s="8"/>
      <c r="O181" s="8"/>
    </row>
    <row r="182" spans="2:26" ht="13.5" customHeight="1" x14ac:dyDescent="0.25">
      <c r="B182" s="17"/>
      <c r="C182" s="17"/>
      <c r="D182" s="17"/>
      <c r="E182" s="1235" t="str">
        <f>IF(CNTR_HasEntries_A_I, IF(P171 = TRUE,"Questions a and b must be answered",IF(P178 = TRUE, "Questions c and d must be answered", IF(T178 = TRUE, "Questions c and d should not be answered",""))),"")</f>
        <v/>
      </c>
      <c r="F182" s="1236"/>
      <c r="G182" s="1236"/>
      <c r="H182" s="1236"/>
      <c r="I182" s="1236"/>
      <c r="J182" s="1236"/>
      <c r="K182" s="1236"/>
      <c r="L182" s="1236"/>
      <c r="M182" s="1236"/>
      <c r="N182" s="1237"/>
      <c r="O182" s="8"/>
      <c r="S182" s="769"/>
    </row>
    <row r="183" spans="2:26" ht="159.75" customHeight="1" x14ac:dyDescent="0.25">
      <c r="B183" s="8"/>
      <c r="C183" s="8"/>
      <c r="D183" s="8"/>
      <c r="E183" s="1229" t="s">
        <v>2553</v>
      </c>
      <c r="F183" s="1230"/>
      <c r="G183" s="1230"/>
      <c r="H183" s="1230"/>
      <c r="I183" s="1230"/>
      <c r="J183" s="1230"/>
      <c r="K183" s="1230"/>
      <c r="L183" s="1230"/>
      <c r="M183" s="1230"/>
      <c r="N183" s="1230"/>
      <c r="O183" s="8"/>
      <c r="P183" s="190"/>
    </row>
    <row r="184" spans="2:26" hidden="1" x14ac:dyDescent="0.25">
      <c r="B184" s="17"/>
      <c r="C184" s="17"/>
      <c r="D184" s="17"/>
      <c r="E184" s="17"/>
      <c r="F184" s="17"/>
      <c r="G184" s="17"/>
      <c r="H184" s="17"/>
      <c r="I184" s="17"/>
      <c r="J184" s="17"/>
      <c r="K184" s="17"/>
      <c r="L184" s="17"/>
      <c r="M184" s="17"/>
      <c r="N184" s="17"/>
      <c r="O184" s="8"/>
    </row>
    <row r="185" spans="2:26" ht="5.0999999999999996" customHeight="1" x14ac:dyDescent="0.25">
      <c r="B185" s="8"/>
      <c r="C185" s="8"/>
      <c r="D185" s="8"/>
      <c r="E185" s="8"/>
      <c r="F185" s="8"/>
      <c r="G185" s="8"/>
      <c r="H185" s="8"/>
      <c r="I185" s="8"/>
      <c r="J185" s="8"/>
      <c r="K185" s="8"/>
      <c r="L185" s="8"/>
      <c r="M185" s="8"/>
      <c r="N185" s="8"/>
      <c r="O185" s="8"/>
      <c r="P185" s="190"/>
    </row>
    <row r="186" spans="2:26" x14ac:dyDescent="0.25">
      <c r="B186" s="17"/>
      <c r="C186" s="17"/>
      <c r="D186" s="15" t="s">
        <v>202</v>
      </c>
      <c r="E186" s="1165" t="s">
        <v>256</v>
      </c>
      <c r="F186" s="1176"/>
      <c r="G186" s="1176"/>
      <c r="H186" s="1176"/>
      <c r="I186" s="1176"/>
      <c r="J186" s="1176"/>
      <c r="K186" s="1176"/>
      <c r="L186" s="1176"/>
      <c r="M186" s="1176"/>
      <c r="N186" s="1176"/>
      <c r="O186" s="8"/>
      <c r="Z186" s="647"/>
    </row>
    <row r="187" spans="2:26" ht="5.0999999999999996" customHeight="1" x14ac:dyDescent="0.25">
      <c r="B187" s="8"/>
      <c r="C187" s="8"/>
      <c r="D187" s="8"/>
      <c r="E187" s="8"/>
      <c r="F187" s="8"/>
      <c r="G187" s="8"/>
      <c r="H187" s="8"/>
      <c r="I187" s="8"/>
      <c r="J187" s="8"/>
      <c r="K187" s="8"/>
      <c r="L187" s="8"/>
      <c r="M187" s="8"/>
      <c r="N187" s="8"/>
      <c r="O187" s="8"/>
      <c r="P187" s="190"/>
    </row>
    <row r="188" spans="2:26" ht="30.75" customHeight="1" x14ac:dyDescent="0.25">
      <c r="B188" s="17"/>
      <c r="C188" s="17"/>
      <c r="D188" s="17"/>
      <c r="E188" s="1333" t="s">
        <v>2573</v>
      </c>
      <c r="F188" s="1333"/>
      <c r="G188" s="1333"/>
      <c r="H188" s="1333"/>
      <c r="I188" s="1333"/>
      <c r="J188" s="1333"/>
      <c r="K188" s="1333"/>
      <c r="L188" s="1333"/>
      <c r="M188" s="1333"/>
      <c r="N188" s="1333"/>
      <c r="O188" s="8"/>
      <c r="P188" s="1392" t="s">
        <v>2560</v>
      </c>
      <c r="Q188" s="1393"/>
      <c r="R188" s="1394"/>
    </row>
    <row r="189" spans="2:26" x14ac:dyDescent="0.25">
      <c r="B189" s="17"/>
      <c r="C189" s="17"/>
      <c r="D189" s="17"/>
      <c r="E189" s="1398"/>
      <c r="F189" s="1399"/>
      <c r="G189" s="1399"/>
      <c r="H189" s="1399"/>
      <c r="I189" s="1399"/>
      <c r="J189" s="1399"/>
      <c r="K189" s="1399"/>
      <c r="L189" s="1399"/>
      <c r="M189" s="1399"/>
      <c r="N189" s="1400"/>
      <c r="O189" s="8"/>
      <c r="P189" s="1133" t="b">
        <f>IF(CNTR_HasEntries_A_I,IF(AND(E189 = "",E199 = ""),TRUE,FALSE),FALSE)</f>
        <v>0</v>
      </c>
      <c r="Q189" s="1134"/>
      <c r="R189" s="1135"/>
    </row>
    <row r="190" spans="2:26" ht="5.0999999999999996" customHeight="1" x14ac:dyDescent="0.25">
      <c r="B190" s="8"/>
      <c r="C190" s="8"/>
      <c r="D190" s="8"/>
      <c r="E190" s="8"/>
      <c r="F190" s="8"/>
      <c r="G190" s="8"/>
      <c r="H190" s="8"/>
      <c r="I190" s="8"/>
      <c r="J190" s="8"/>
      <c r="K190" s="8"/>
      <c r="L190" s="8"/>
      <c r="M190" s="8"/>
      <c r="N190" s="8"/>
      <c r="O190" s="8"/>
      <c r="P190" s="190"/>
    </row>
    <row r="191" spans="2:26" x14ac:dyDescent="0.25">
      <c r="B191" s="17"/>
      <c r="C191" s="17"/>
      <c r="D191" s="17"/>
      <c r="E191" s="1401" t="str">
        <f>Translations!$B$194</f>
        <v>Important notes:</v>
      </c>
      <c r="F191" s="1176"/>
      <c r="G191" s="1176"/>
      <c r="H191" s="1176"/>
      <c r="I191" s="1176"/>
      <c r="J191" s="1176"/>
      <c r="K191" s="1176"/>
      <c r="L191" s="1176"/>
      <c r="M191" s="1176"/>
      <c r="N191" s="1176"/>
      <c r="O191" s="8"/>
      <c r="P191" s="1392" t="s">
        <v>2562</v>
      </c>
      <c r="Q191" s="1393"/>
      <c r="R191" s="1394"/>
    </row>
    <row r="192" spans="2:26" ht="33" customHeight="1" x14ac:dyDescent="0.25">
      <c r="B192" s="17"/>
      <c r="C192" s="17"/>
      <c r="D192" s="17"/>
      <c r="E192" s="1333" t="s">
        <v>257</v>
      </c>
      <c r="F192" s="1333"/>
      <c r="G192" s="1333"/>
      <c r="H192" s="1333"/>
      <c r="I192" s="1333"/>
      <c r="J192" s="1333"/>
      <c r="K192" s="1333"/>
      <c r="L192" s="1333"/>
      <c r="M192" s="1333"/>
      <c r="N192" s="1333"/>
      <c r="O192" s="8"/>
      <c r="P192" s="1133" t="b">
        <f>IF(AND(E189 &lt;&gt; "",E199 &lt;&gt; ""),TRUE,FALSE)</f>
        <v>0</v>
      </c>
      <c r="Q192" s="1134"/>
      <c r="R192" s="1135"/>
    </row>
    <row r="193" spans="2:18" ht="37.200000000000003" customHeight="1" x14ac:dyDescent="0.25">
      <c r="B193" s="17"/>
      <c r="C193" s="17"/>
      <c r="D193" s="17"/>
      <c r="E193" s="1333" t="s">
        <v>258</v>
      </c>
      <c r="F193" s="1333"/>
      <c r="G193" s="1333"/>
      <c r="H193" s="1333"/>
      <c r="I193" s="1333"/>
      <c r="J193" s="1333"/>
      <c r="K193" s="1333"/>
      <c r="L193" s="1333"/>
      <c r="M193" s="1333"/>
      <c r="N193" s="1333"/>
      <c r="O193" s="8"/>
    </row>
    <row r="194" spans="2:18" ht="12.6" hidden="1" customHeight="1" x14ac:dyDescent="0.25">
      <c r="B194" s="17"/>
      <c r="C194" s="17"/>
      <c r="D194" s="17"/>
      <c r="E194" s="1408" t="str">
        <f>Translations!$B$197</f>
        <v>This report and especially the answers given in points (a) to (f) here have no impact on possible free allocations under Article 10c of the EU ETS Directive ("Option for transitional free allocation for the modernisation of the energy sector").</v>
      </c>
      <c r="F194" s="1408"/>
      <c r="G194" s="1408"/>
      <c r="H194" s="1408"/>
      <c r="I194" s="1408"/>
      <c r="J194" s="1408"/>
      <c r="K194" s="1408"/>
      <c r="L194" s="1408"/>
      <c r="M194" s="1408"/>
      <c r="N194" s="1408"/>
      <c r="O194" s="8"/>
    </row>
    <row r="195" spans="2:18" hidden="1" x14ac:dyDescent="0.25">
      <c r="B195" s="17"/>
      <c r="C195" s="17"/>
      <c r="D195" s="17"/>
      <c r="E195" s="17"/>
      <c r="F195" s="17"/>
      <c r="G195" s="17"/>
      <c r="H195" s="17"/>
      <c r="I195" s="17"/>
      <c r="J195" s="17"/>
      <c r="K195" s="17"/>
      <c r="L195" s="17"/>
      <c r="M195" s="17"/>
      <c r="N195" s="17"/>
      <c r="O195" s="8"/>
    </row>
    <row r="196" spans="2:18" x14ac:dyDescent="0.25">
      <c r="B196" s="17"/>
      <c r="C196" s="17"/>
      <c r="D196" s="15" t="s">
        <v>199</v>
      </c>
      <c r="E196" s="1165" t="s">
        <v>259</v>
      </c>
      <c r="F196" s="1176"/>
      <c r="G196" s="1176"/>
      <c r="H196" s="1176"/>
      <c r="I196" s="1176"/>
      <c r="J196" s="1176"/>
      <c r="K196" s="1176"/>
      <c r="L196" s="1176"/>
      <c r="M196" s="1176"/>
      <c r="N196" s="1176"/>
      <c r="O196" s="8"/>
      <c r="P196" s="1392" t="s">
        <v>2561</v>
      </c>
      <c r="Q196" s="1393"/>
      <c r="R196" s="1394"/>
    </row>
    <row r="197" spans="2:18" ht="5.0999999999999996" customHeight="1" x14ac:dyDescent="0.25">
      <c r="B197" s="8"/>
      <c r="C197" s="8"/>
      <c r="D197" s="8"/>
      <c r="E197" s="8"/>
      <c r="F197" s="8"/>
      <c r="G197" s="8"/>
      <c r="H197" s="8"/>
      <c r="I197" s="8"/>
      <c r="J197" s="8"/>
      <c r="K197" s="8"/>
      <c r="L197" s="8"/>
      <c r="M197" s="8"/>
      <c r="N197" s="8"/>
      <c r="O197" s="8"/>
      <c r="P197" s="1137"/>
      <c r="R197" s="1138"/>
    </row>
    <row r="198" spans="2:18" ht="73.2" customHeight="1" x14ac:dyDescent="0.25">
      <c r="B198" s="17"/>
      <c r="C198" s="17"/>
      <c r="D198" s="17"/>
      <c r="E198" s="1333" t="s">
        <v>2554</v>
      </c>
      <c r="F198" s="1333"/>
      <c r="G198" s="1333"/>
      <c r="H198" s="1333"/>
      <c r="I198" s="1333"/>
      <c r="J198" s="1333"/>
      <c r="K198" s="1333"/>
      <c r="L198" s="1333"/>
      <c r="M198" s="1333"/>
      <c r="N198" s="1333"/>
      <c r="O198" s="8"/>
      <c r="P198" s="1133" t="b">
        <f>IF(AND(M170 = TRUE, M177 = FALSE, M180 = FALSE,E189 = ""),TRUE, FALSE)</f>
        <v>0</v>
      </c>
      <c r="Q198" s="1134"/>
      <c r="R198" s="1135"/>
    </row>
    <row r="199" spans="2:18" x14ac:dyDescent="0.25">
      <c r="B199" s="17"/>
      <c r="C199" s="17"/>
      <c r="D199" s="17"/>
      <c r="E199" s="1364"/>
      <c r="F199" s="1365"/>
      <c r="G199" s="1365"/>
      <c r="H199" s="1365"/>
      <c r="I199" s="1365"/>
      <c r="J199" s="1365"/>
      <c r="K199" s="1365"/>
      <c r="L199" s="1365"/>
      <c r="M199" s="1365"/>
      <c r="N199" s="1366"/>
      <c r="O199" s="8"/>
    </row>
    <row r="200" spans="2:18" ht="5.0999999999999996" customHeight="1" x14ac:dyDescent="0.25">
      <c r="B200" s="17"/>
      <c r="C200" s="17"/>
      <c r="D200" s="17"/>
      <c r="E200" s="17"/>
      <c r="F200" s="17"/>
      <c r="G200" s="17"/>
      <c r="H200" s="17"/>
      <c r="I200" s="17"/>
      <c r="J200" s="17"/>
      <c r="K200" s="17"/>
      <c r="L200" s="17"/>
      <c r="M200" s="17"/>
      <c r="N200" s="17"/>
      <c r="O200" s="8"/>
    </row>
    <row r="201" spans="2:18" ht="13.5" customHeight="1" x14ac:dyDescent="0.25">
      <c r="B201" s="17"/>
      <c r="C201" s="17"/>
      <c r="D201" s="17"/>
      <c r="E201" s="1405" t="str">
        <f>IF(CNTR_HasEntries_A_I,
   IF(P198 = TRUE,"Only question e should be answered",
      IF(P189 = TRUE,"Question e or f should be answered",
         IF(P192 = TRUE, "Only question e or f should be answered, not both",
         ""))),"")</f>
        <v/>
      </c>
      <c r="F201" s="1406"/>
      <c r="G201" s="1406"/>
      <c r="H201" s="1406"/>
      <c r="I201" s="1406"/>
      <c r="J201" s="1406"/>
      <c r="K201" s="1406"/>
      <c r="L201" s="1406"/>
      <c r="M201" s="1406"/>
      <c r="N201" s="1407"/>
      <c r="O201" s="8"/>
    </row>
    <row r="202" spans="2:18" ht="58.2" customHeight="1" x14ac:dyDescent="0.25">
      <c r="B202" s="8"/>
      <c r="C202" s="8"/>
      <c r="D202" s="15" t="s">
        <v>212</v>
      </c>
      <c r="E202" s="1373" t="s">
        <v>2556</v>
      </c>
      <c r="F202" s="1374"/>
      <c r="G202" s="1374"/>
      <c r="H202" s="1374"/>
      <c r="I202" s="1374"/>
      <c r="J202" s="1374"/>
      <c r="K202" s="1374"/>
      <c r="L202" s="1374"/>
      <c r="M202" s="1374"/>
      <c r="N202" s="1374"/>
      <c r="O202" s="8"/>
      <c r="P202" s="190"/>
    </row>
    <row r="203" spans="2:18" ht="15.75" customHeight="1" x14ac:dyDescent="0.25">
      <c r="B203" s="17"/>
      <c r="C203" s="17"/>
      <c r="E203" s="1375"/>
      <c r="F203" s="1376"/>
      <c r="G203" s="1376"/>
      <c r="H203" s="1376"/>
      <c r="I203" s="1376"/>
      <c r="J203" s="1376"/>
      <c r="K203" s="1376"/>
      <c r="L203" s="1376"/>
      <c r="M203" s="1376"/>
      <c r="N203" s="1377"/>
      <c r="O203" s="8"/>
    </row>
    <row r="204" spans="2:18" ht="8.4" customHeight="1" x14ac:dyDescent="0.25">
      <c r="B204" s="8"/>
      <c r="C204" s="8"/>
      <c r="D204" s="8"/>
      <c r="E204" s="8"/>
      <c r="F204" s="8"/>
      <c r="G204" s="8"/>
      <c r="H204" s="8"/>
      <c r="I204" s="8"/>
      <c r="J204" s="8"/>
      <c r="K204" s="8"/>
      <c r="L204" s="8"/>
      <c r="M204" s="8"/>
      <c r="N204" s="8"/>
      <c r="O204" s="8"/>
      <c r="P204" s="190"/>
    </row>
    <row r="205" spans="2:18" ht="17.25" customHeight="1" x14ac:dyDescent="0.25">
      <c r="B205" s="17"/>
      <c r="C205" s="17"/>
      <c r="D205" s="15" t="s">
        <v>218</v>
      </c>
      <c r="E205" s="1165" t="str">
        <f>Translations!$B$200</f>
        <v>Consent to use the data contained in this file:</v>
      </c>
      <c r="F205" s="1176"/>
      <c r="G205" s="1176"/>
      <c r="H205" s="1176"/>
      <c r="I205" s="1176"/>
      <c r="J205" s="1176"/>
      <c r="K205" s="1176"/>
      <c r="L205" s="1176"/>
      <c r="M205" s="1176"/>
      <c r="N205" s="1176"/>
      <c r="O205" s="8"/>
    </row>
    <row r="206" spans="2:18" ht="42.75" customHeight="1" x14ac:dyDescent="0.25">
      <c r="B206" s="17"/>
      <c r="C206" s="17"/>
      <c r="D206" s="17"/>
      <c r="E206" s="1333" t="s">
        <v>2563</v>
      </c>
      <c r="F206" s="1333"/>
      <c r="G206" s="1333"/>
      <c r="H206" s="1333"/>
      <c r="I206" s="1333"/>
      <c r="J206" s="1333"/>
      <c r="K206" s="1333"/>
      <c r="L206" s="1333"/>
      <c r="M206" s="1333"/>
      <c r="N206" s="1333"/>
      <c r="O206" s="8"/>
    </row>
    <row r="207" spans="2:18" ht="3" customHeight="1" x14ac:dyDescent="0.25">
      <c r="B207" s="17"/>
      <c r="C207" s="17"/>
      <c r="D207" s="17"/>
      <c r="E207" s="1333"/>
      <c r="F207" s="1333"/>
      <c r="G207" s="1333"/>
      <c r="H207" s="1333"/>
      <c r="I207" s="1333"/>
      <c r="J207" s="1333"/>
      <c r="K207" s="1333"/>
      <c r="L207" s="1333"/>
      <c r="M207" s="1333"/>
      <c r="N207" s="1333"/>
      <c r="O207" s="8"/>
    </row>
    <row r="208" spans="2:18" x14ac:dyDescent="0.25">
      <c r="B208" s="17"/>
      <c r="C208" s="17"/>
      <c r="D208" s="17"/>
      <c r="E208" s="1367" t="str">
        <f>IF(AND(E189="",E199=""),"",EUconst_ConfirmAllowUseOfData)</f>
        <v/>
      </c>
      <c r="F208" s="1368"/>
      <c r="G208" s="1368"/>
      <c r="H208" s="1368"/>
      <c r="I208" s="1368"/>
      <c r="J208" s="1368"/>
      <c r="K208" s="1368"/>
      <c r="L208" s="1368"/>
      <c r="M208" s="1368"/>
      <c r="N208" s="1369"/>
      <c r="O208" s="8"/>
    </row>
    <row r="209" spans="2:16" ht="5.0999999999999996" customHeight="1" x14ac:dyDescent="0.25">
      <c r="B209" s="8"/>
      <c r="C209" s="8"/>
      <c r="D209" s="8"/>
      <c r="E209" s="8"/>
      <c r="F209" s="8"/>
      <c r="G209" s="8"/>
      <c r="H209" s="8"/>
      <c r="I209" s="8"/>
      <c r="J209" s="8"/>
      <c r="K209" s="8"/>
      <c r="L209" s="8"/>
      <c r="M209" s="8"/>
      <c r="N209" s="8"/>
      <c r="O209" s="8"/>
      <c r="P209" s="190"/>
    </row>
    <row r="210" spans="2:16" x14ac:dyDescent="0.25">
      <c r="B210" s="17"/>
      <c r="C210" s="17"/>
      <c r="D210" s="17"/>
      <c r="E210" s="17"/>
      <c r="F210" s="17"/>
      <c r="G210" s="17"/>
      <c r="H210" s="17"/>
      <c r="I210" s="17"/>
      <c r="J210" s="17"/>
      <c r="K210" s="17"/>
      <c r="L210" s="17"/>
      <c r="M210" s="17"/>
      <c r="N210" s="17"/>
      <c r="O210" s="8"/>
    </row>
    <row r="211" spans="2:16" ht="14.4" thickBot="1" x14ac:dyDescent="0.3">
      <c r="B211" s="17"/>
      <c r="C211" s="19">
        <v>2</v>
      </c>
      <c r="D211" s="1234" t="str">
        <f>Translations!$B$203</f>
        <v>Baseline period chosen</v>
      </c>
      <c r="E211" s="1176"/>
      <c r="F211" s="1176"/>
      <c r="G211" s="1176"/>
      <c r="H211" s="1176"/>
      <c r="I211" s="1176"/>
      <c r="J211" s="1176"/>
      <c r="K211" s="1176"/>
      <c r="L211" s="1176"/>
      <c r="M211" s="1176"/>
      <c r="N211" s="1176"/>
      <c r="O211" s="8"/>
      <c r="P211" s="150" t="s">
        <v>260</v>
      </c>
    </row>
    <row r="212" spans="2:16" ht="13.8" thickBot="1" x14ac:dyDescent="0.3">
      <c r="B212" s="17"/>
      <c r="C212" s="17"/>
      <c r="D212" s="15" t="s">
        <v>190</v>
      </c>
      <c r="E212" s="1165" t="str">
        <f>Translations!$B$204</f>
        <v>Please select the baseline period for this report:</v>
      </c>
      <c r="F212" s="1176"/>
      <c r="G212" s="1176"/>
      <c r="H212" s="1176"/>
      <c r="I212" s="1260"/>
      <c r="J212" s="1403" t="s">
        <v>261</v>
      </c>
      <c r="K212" s="1404"/>
      <c r="L212" s="648" t="str">
        <f>IF(CNTR_HasEntries_A_I,IF(J212="",EUconst_Incomplete,""),"")</f>
        <v/>
      </c>
      <c r="M212" s="17"/>
      <c r="N212" s="17"/>
      <c r="O212" s="8"/>
      <c r="P212" s="649">
        <f>IF(ISBLANK(J212),EUconst_NA,MATCH(J212,EUconst_BaselinePeriods,0))</f>
        <v>2</v>
      </c>
    </row>
    <row r="213" spans="2:16" hidden="1" x14ac:dyDescent="0.25">
      <c r="B213" s="17"/>
      <c r="C213" s="17"/>
      <c r="D213" s="17"/>
      <c r="E213" s="1241" t="str">
        <f>Translations!$B$205</f>
        <v>This is the baseline period pursuant to Article 2(14) of the FAR.</v>
      </c>
      <c r="F213" s="1193"/>
      <c r="G213" s="1193"/>
      <c r="H213" s="1193"/>
      <c r="I213" s="1193"/>
      <c r="J213" s="1193"/>
      <c r="K213" s="1193"/>
      <c r="L213" s="1193"/>
      <c r="M213" s="1193"/>
      <c r="N213" s="1193"/>
      <c r="O213" s="8"/>
    </row>
    <row r="214" spans="2:16" ht="5.0999999999999996" customHeight="1" x14ac:dyDescent="0.25">
      <c r="B214" s="8"/>
      <c r="C214" s="8"/>
      <c r="D214" s="8"/>
      <c r="E214" s="8"/>
      <c r="F214" s="8"/>
      <c r="G214" s="8"/>
      <c r="H214" s="8"/>
      <c r="I214" s="8"/>
      <c r="J214" s="8"/>
      <c r="K214" s="8"/>
      <c r="L214" s="8"/>
      <c r="M214" s="8"/>
      <c r="N214" s="8"/>
      <c r="O214" s="8"/>
      <c r="P214" s="190"/>
    </row>
    <row r="215" spans="2:16" x14ac:dyDescent="0.25">
      <c r="B215" s="17"/>
      <c r="C215" s="17"/>
      <c r="D215" s="15" t="s">
        <v>192</v>
      </c>
      <c r="E215" s="1165" t="str">
        <f>Translations!$B$206</f>
        <v>Years in which the installation was operating:</v>
      </c>
      <c r="F215" s="1176"/>
      <c r="G215" s="1176"/>
      <c r="H215" s="1176"/>
      <c r="I215" s="1176"/>
      <c r="J215" s="1176"/>
      <c r="K215" s="1176"/>
      <c r="L215" s="1176"/>
      <c r="M215" s="1176"/>
      <c r="N215" s="1176"/>
      <c r="O215" s="8"/>
    </row>
    <row r="216" spans="2:16" ht="25.5" customHeight="1" x14ac:dyDescent="0.25">
      <c r="B216" s="17"/>
      <c r="C216" s="17"/>
      <c r="D216" s="17"/>
      <c r="E216" s="1223" t="s">
        <v>262</v>
      </c>
      <c r="F216" s="1176"/>
      <c r="G216" s="1176"/>
      <c r="H216" s="1176"/>
      <c r="I216" s="1176"/>
      <c r="J216" s="1176"/>
      <c r="K216" s="1176"/>
      <c r="L216" s="1176"/>
      <c r="M216" s="1176"/>
      <c r="N216" s="1176"/>
      <c r="O216" s="8"/>
    </row>
    <row r="217" spans="2:16" x14ac:dyDescent="0.25">
      <c r="B217" s="17"/>
      <c r="C217" s="17"/>
      <c r="D217" s="17"/>
      <c r="E217" s="1223" t="str">
        <f>Translations!$B$208</f>
        <v>Please enter in the table below for each year if the installation was operating at least one day per calendar year. Don't leave yellow cells empty.</v>
      </c>
      <c r="F217" s="1176"/>
      <c r="G217" s="1176"/>
      <c r="H217" s="1176"/>
      <c r="I217" s="1176"/>
      <c r="J217" s="1176"/>
      <c r="K217" s="1176"/>
      <c r="L217" s="1176"/>
      <c r="M217" s="1176"/>
      <c r="N217" s="1176"/>
      <c r="O217" s="8"/>
    </row>
    <row r="218" spans="2:16" x14ac:dyDescent="0.25">
      <c r="B218" s="17"/>
      <c r="C218" s="17"/>
      <c r="D218" s="17"/>
      <c r="E218" s="1259" t="str">
        <f>Translations!$B$209</f>
        <v>Confirm:</v>
      </c>
      <c r="F218" s="1212"/>
      <c r="G218" s="1212"/>
      <c r="H218" s="1402"/>
      <c r="I218" s="650">
        <f>I$330</f>
        <v>2019</v>
      </c>
      <c r="J218" s="650">
        <f>J$330</f>
        <v>2020</v>
      </c>
      <c r="K218" s="650">
        <f>K$330</f>
        <v>2021</v>
      </c>
      <c r="L218" s="650">
        <f>L$330</f>
        <v>2022</v>
      </c>
      <c r="M218" s="650">
        <f>M$330</f>
        <v>2023</v>
      </c>
      <c r="N218" s="17"/>
      <c r="O218" s="8"/>
    </row>
    <row r="219" spans="2:16" x14ac:dyDescent="0.25">
      <c r="B219" s="17"/>
      <c r="C219" s="17"/>
      <c r="D219" s="17"/>
      <c r="E219" s="1387" t="str">
        <f>Translations!$B$210</f>
        <v>Installation was operating in this year:</v>
      </c>
      <c r="F219" s="1388"/>
      <c r="G219" s="1388"/>
      <c r="H219" s="1389"/>
      <c r="I219" s="617"/>
      <c r="J219" s="617"/>
      <c r="K219" s="617"/>
      <c r="L219" s="617"/>
      <c r="M219" s="617"/>
      <c r="N219" s="17"/>
      <c r="O219" s="8"/>
    </row>
    <row r="220" spans="2:16" x14ac:dyDescent="0.25">
      <c r="B220" s="17"/>
      <c r="C220" s="17"/>
      <c r="D220" s="17"/>
      <c r="E220" s="651" t="str">
        <f>Translations!$B$211</f>
        <v>Error messages:</v>
      </c>
      <c r="F220" s="651"/>
      <c r="G220" s="651"/>
      <c r="H220" s="651"/>
      <c r="I220" s="652" t="str">
        <f>IF(CNTR_HasEntries_A_I, IF(ISBLANK(I219), EUconst_Incomplete, ""), "")</f>
        <v/>
      </c>
      <c r="J220" s="652" t="str">
        <f>IF(CNTR_HasEntries_A_I, IF(ISBLANK(J219), EUconst_Incomplete, ""), "")</f>
        <v/>
      </c>
      <c r="K220" s="652" t="str">
        <f>IF(CNTR_HasEntries_A_I, IF(ISBLANK(K219), EUconst_Incomplete, ""), "")</f>
        <v/>
      </c>
      <c r="L220" s="652" t="str">
        <f>IF(CNTR_HasEntries_A_I, IF(ISBLANK(L219), EUconst_Incomplete, ""), "")</f>
        <v/>
      </c>
      <c r="M220" s="652" t="str">
        <f>IF(CNTR_HasEntries_A_I, IF(ISBLANK(M219), EUconst_Incomplete, ""), "")</f>
        <v/>
      </c>
      <c r="N220" s="17"/>
      <c r="O220" s="8"/>
    </row>
    <row r="221" spans="2:16" x14ac:dyDescent="0.25">
      <c r="B221" s="17"/>
      <c r="C221" s="17"/>
      <c r="D221" s="17"/>
      <c r="E221" s="17"/>
      <c r="F221" s="17"/>
      <c r="G221" s="17"/>
      <c r="H221" s="17"/>
      <c r="I221" s="17"/>
      <c r="J221" s="17"/>
      <c r="K221" s="17"/>
      <c r="L221" s="17"/>
      <c r="M221" s="17"/>
      <c r="N221" s="17"/>
      <c r="O221" s="8"/>
    </row>
    <row r="222" spans="2:16" ht="15.6" x14ac:dyDescent="0.3">
      <c r="B222" s="8"/>
      <c r="C222" s="13" t="s">
        <v>5</v>
      </c>
      <c r="D222" s="1175" t="str">
        <f>Translations!$B$212</f>
        <v>List of sub-installations</v>
      </c>
      <c r="E222" s="1175"/>
      <c r="F222" s="1175"/>
      <c r="G222" s="1175"/>
      <c r="H222" s="1175"/>
      <c r="I222" s="1175"/>
      <c r="J222" s="1175"/>
      <c r="K222" s="1175"/>
      <c r="L222" s="1175"/>
      <c r="M222" s="1175"/>
      <c r="N222" s="1175"/>
      <c r="O222" s="8"/>
      <c r="P222" s="190"/>
    </row>
    <row r="223" spans="2:16" ht="5.0999999999999996" customHeight="1" x14ac:dyDescent="0.25">
      <c r="B223" s="8"/>
      <c r="C223" s="8"/>
      <c r="D223" s="8"/>
      <c r="E223" s="8"/>
      <c r="F223" s="8"/>
      <c r="G223" s="8"/>
      <c r="H223" s="8"/>
      <c r="I223" s="8"/>
      <c r="J223" s="8"/>
      <c r="K223" s="8"/>
      <c r="L223" s="8"/>
      <c r="M223" s="8"/>
      <c r="N223" s="8"/>
      <c r="O223" s="8"/>
      <c r="P223" s="190"/>
    </row>
    <row r="224" spans="2:16" ht="13.8" x14ac:dyDescent="0.25">
      <c r="B224" s="17"/>
      <c r="C224" s="19">
        <v>1</v>
      </c>
      <c r="D224" s="1234" t="str">
        <f>Translations!$B$213</f>
        <v>Product benchmark sub-installations</v>
      </c>
      <c r="E224" s="1176"/>
      <c r="F224" s="1176"/>
      <c r="G224" s="1176"/>
      <c r="H224" s="1176"/>
      <c r="I224" s="1176"/>
      <c r="J224" s="1176"/>
      <c r="K224" s="1176"/>
      <c r="L224" s="1176"/>
      <c r="M224" s="1176"/>
      <c r="N224" s="1176"/>
      <c r="O224" s="8"/>
    </row>
    <row r="225" spans="2:21" ht="5.0999999999999996" customHeight="1" x14ac:dyDescent="0.25">
      <c r="B225" s="8"/>
      <c r="C225" s="8"/>
      <c r="D225" s="8"/>
      <c r="E225" s="8"/>
      <c r="F225" s="8"/>
      <c r="G225" s="8"/>
      <c r="H225" s="8"/>
      <c r="I225" s="8"/>
      <c r="J225" s="8"/>
      <c r="K225" s="8"/>
      <c r="L225" s="8"/>
      <c r="M225" s="8"/>
      <c r="N225" s="8"/>
      <c r="O225" s="8"/>
      <c r="P225" s="190"/>
    </row>
    <row r="226" spans="2:21" x14ac:dyDescent="0.25">
      <c r="B226" s="17"/>
      <c r="C226" s="17"/>
      <c r="D226" s="27"/>
      <c r="E226" s="1165" t="str">
        <f>Translations!$B$214</f>
        <v>Please select here the product benchmark sub-installations relevant at your installation, if any:</v>
      </c>
      <c r="F226" s="1176"/>
      <c r="G226" s="1176"/>
      <c r="H226" s="1176"/>
      <c r="I226" s="1176"/>
      <c r="J226" s="1176"/>
      <c r="K226" s="1176"/>
      <c r="L226" s="1176"/>
      <c r="M226" s="1176"/>
      <c r="N226" s="1176"/>
      <c r="O226" s="8"/>
    </row>
    <row r="227" spans="2:21" ht="12.75" customHeight="1" x14ac:dyDescent="0.25">
      <c r="B227" s="17"/>
      <c r="C227" s="17"/>
      <c r="D227" s="17"/>
      <c r="E227" s="1223" t="s">
        <v>263</v>
      </c>
      <c r="F227" s="1176"/>
      <c r="G227" s="1176"/>
      <c r="H227" s="1176"/>
      <c r="I227" s="1176"/>
      <c r="J227" s="1176"/>
      <c r="K227" s="1176"/>
      <c r="L227" s="1176"/>
      <c r="M227" s="1176"/>
      <c r="N227" s="1176"/>
      <c r="O227" s="8"/>
    </row>
    <row r="228" spans="2:21" ht="23.4" customHeight="1" x14ac:dyDescent="0.25">
      <c r="B228" s="17"/>
      <c r="C228" s="17"/>
      <c r="D228" s="17"/>
      <c r="E228" s="1223" t="s">
        <v>264</v>
      </c>
      <c r="F228" s="1176"/>
      <c r="G228" s="1176"/>
      <c r="H228" s="1176"/>
      <c r="I228" s="1176"/>
      <c r="J228" s="1176"/>
      <c r="K228" s="1176"/>
      <c r="L228" s="1176"/>
      <c r="M228" s="1176"/>
      <c r="N228" s="1176"/>
      <c r="O228" s="8"/>
    </row>
    <row r="229" spans="2:21" x14ac:dyDescent="0.25">
      <c r="B229" s="17"/>
      <c r="C229" s="17"/>
      <c r="D229" s="17"/>
      <c r="E229" s="1223" t="s">
        <v>265</v>
      </c>
      <c r="F229" s="1176"/>
      <c r="G229" s="1176"/>
      <c r="H229" s="1176"/>
      <c r="I229" s="1176"/>
      <c r="J229" s="1176"/>
      <c r="K229" s="1176"/>
      <c r="L229" s="1176"/>
      <c r="M229" s="1176"/>
      <c r="N229" s="1176"/>
      <c r="O229" s="8"/>
    </row>
    <row r="230" spans="2:21" ht="38.85" customHeight="1" x14ac:dyDescent="0.25">
      <c r="B230" s="8"/>
      <c r="C230" s="8"/>
      <c r="D230" s="17"/>
      <c r="E230" s="1314" t="s">
        <v>266</v>
      </c>
      <c r="F230" s="1316"/>
      <c r="G230" s="1316"/>
      <c r="H230" s="1316"/>
      <c r="I230" s="1316"/>
      <c r="J230" s="1316"/>
      <c r="K230" s="1316"/>
      <c r="L230" s="1316"/>
      <c r="M230" s="1316"/>
      <c r="N230" s="1316"/>
      <c r="O230" s="8"/>
      <c r="P230" s="190"/>
    </row>
    <row r="231" spans="2:21" x14ac:dyDescent="0.25">
      <c r="B231" s="17"/>
      <c r="C231" s="17"/>
      <c r="D231" s="17"/>
      <c r="E231" s="1315" t="str">
        <f>Translations!$B$219</f>
        <v>Please note that the correct entries here are essential for all subsequent inputs dealing with sub-installations.</v>
      </c>
      <c r="F231" s="1168"/>
      <c r="G231" s="1168"/>
      <c r="H231" s="1168"/>
      <c r="I231" s="1168"/>
      <c r="J231" s="1168"/>
      <c r="K231" s="1168"/>
      <c r="L231" s="1168"/>
      <c r="M231" s="1168"/>
      <c r="N231" s="1168"/>
      <c r="O231" s="8"/>
    </row>
    <row r="232" spans="2:21" ht="5.0999999999999996" customHeight="1" x14ac:dyDescent="0.25">
      <c r="B232" s="8"/>
      <c r="C232" s="8"/>
      <c r="D232" s="8"/>
      <c r="E232" s="8"/>
      <c r="F232" s="8"/>
      <c r="G232" s="8"/>
      <c r="H232" s="8"/>
      <c r="I232" s="8"/>
      <c r="J232" s="8"/>
      <c r="K232" s="8"/>
      <c r="L232" s="8"/>
      <c r="M232" s="8"/>
      <c r="N232" s="8"/>
      <c r="O232" s="8"/>
      <c r="P232" s="190"/>
    </row>
    <row r="233" spans="2:21" ht="38.85" customHeight="1" thickBot="1" x14ac:dyDescent="0.3">
      <c r="B233" s="17"/>
      <c r="C233" s="17"/>
      <c r="D233" s="653" t="str">
        <f>Translations!$B$220</f>
        <v>No.</v>
      </c>
      <c r="E233" s="1311" t="str">
        <f>Translations!$B$221</f>
        <v>Product type</v>
      </c>
      <c r="F233" s="1312"/>
      <c r="G233" s="1312"/>
      <c r="H233" s="1312"/>
      <c r="I233" s="1312"/>
      <c r="J233" s="654" t="str">
        <f>Translations!$B$222</f>
        <v>Start of operation</v>
      </c>
      <c r="K233" s="655" t="str">
        <f>Translations!$B$223</f>
        <v>CL exposed?</v>
      </c>
      <c r="L233" s="656"/>
      <c r="M233" s="628"/>
      <c r="N233" s="628"/>
      <c r="O233" s="8"/>
      <c r="P233" s="657" t="s">
        <v>267</v>
      </c>
      <c r="Q233" s="657" t="s">
        <v>268</v>
      </c>
      <c r="R233" s="657" t="s">
        <v>269</v>
      </c>
      <c r="S233" s="657" t="s">
        <v>270</v>
      </c>
      <c r="U233" s="658" t="s">
        <v>271</v>
      </c>
    </row>
    <row r="234" spans="2:21" ht="12.75" customHeight="1" x14ac:dyDescent="0.25">
      <c r="B234" s="17"/>
      <c r="C234" s="17"/>
      <c r="D234" s="659">
        <v>1</v>
      </c>
      <c r="E234" s="1409"/>
      <c r="F234" s="1410"/>
      <c r="G234" s="1410"/>
      <c r="H234" s="1410"/>
      <c r="I234" s="1411"/>
      <c r="J234" s="349"/>
      <c r="K234" s="660" t="str">
        <f t="shared" ref="K234:K243" si="1">IF(P234=EUconst_NA,EUconst_NA,INDEX(EUconst_BMlistCLstatus,P234))</f>
        <v>N.A.</v>
      </c>
      <c r="L234" s="1390" t="str">
        <f t="shared" ref="L234:L243" si="2">IF(ISBLANK(E234),"",IF(COUNTIF(CNTR_AnnexIActivities,INDEX(EUconst_BMlistNumberOfActivity,P234))=0,EUconst_ERR_ActivityMissing,""))</f>
        <v/>
      </c>
      <c r="M234" s="1391"/>
      <c r="N234" s="628"/>
      <c r="O234" s="8"/>
      <c r="P234" s="661" t="str">
        <f t="shared" ref="P234:P243" si="3">IF(ISBLANK($E234),EUconst_NA,MATCH($E234,EUconst_BMlistNames,0))</f>
        <v>N.A.</v>
      </c>
      <c r="Q234" s="661" t="str">
        <f>IF(ISNUMBER(P234),COUNT(P$234:P234),"")</f>
        <v/>
      </c>
      <c r="R234" s="662" t="str">
        <f t="shared" ref="R234:R243" si="4">IF(P234=EUconst_NA,EUconst_Tons,INDEX(EUconst_BMlistUnits,P234))</f>
        <v>tonnes</v>
      </c>
      <c r="S234" s="661" t="str">
        <f t="shared" ref="S234:S243" si="5">IF(ISBLANK(E234),"",COUNTIF($E$234:$H$243,E234))</f>
        <v/>
      </c>
      <c r="U234" s="663" t="b">
        <f t="shared" ref="U234:U243" si="6">J234&gt;DATE($M$330,1,1)</f>
        <v>0</v>
      </c>
    </row>
    <row r="235" spans="2:21" ht="12.75" customHeight="1" x14ac:dyDescent="0.25">
      <c r="B235" s="17"/>
      <c r="C235" s="17"/>
      <c r="D235" s="664">
        <f t="shared" ref="D235:D243" si="7">D234+1</f>
        <v>2</v>
      </c>
      <c r="E235" s="1305"/>
      <c r="F235" s="1306"/>
      <c r="G235" s="1306"/>
      <c r="H235" s="1306"/>
      <c r="I235" s="1307"/>
      <c r="J235" s="350"/>
      <c r="K235" s="665" t="str">
        <f t="shared" si="1"/>
        <v>N.A.</v>
      </c>
      <c r="L235" s="1334" t="str">
        <f t="shared" si="2"/>
        <v/>
      </c>
      <c r="M235" s="1335"/>
      <c r="N235" s="628"/>
      <c r="O235" s="8"/>
      <c r="P235" s="666" t="str">
        <f t="shared" si="3"/>
        <v>N.A.</v>
      </c>
      <c r="Q235" s="666" t="str">
        <f>IF(ISNUMBER(P235),COUNT(P$234:P235),"")</f>
        <v/>
      </c>
      <c r="R235" s="667" t="str">
        <f t="shared" si="4"/>
        <v>tonnes</v>
      </c>
      <c r="S235" s="666" t="str">
        <f t="shared" si="5"/>
        <v/>
      </c>
      <c r="U235" s="663" t="b">
        <f t="shared" si="6"/>
        <v>0</v>
      </c>
    </row>
    <row r="236" spans="2:21" x14ac:dyDescent="0.25">
      <c r="B236" s="17"/>
      <c r="C236" s="17"/>
      <c r="D236" s="664">
        <f t="shared" si="7"/>
        <v>3</v>
      </c>
      <c r="E236" s="1305"/>
      <c r="F236" s="1306"/>
      <c r="G236" s="1306"/>
      <c r="H236" s="1306"/>
      <c r="I236" s="1307"/>
      <c r="J236" s="350"/>
      <c r="K236" s="665" t="str">
        <f t="shared" si="1"/>
        <v>N.A.</v>
      </c>
      <c r="L236" s="1334" t="str">
        <f t="shared" si="2"/>
        <v/>
      </c>
      <c r="M236" s="1335"/>
      <c r="N236" s="628"/>
      <c r="O236" s="8"/>
      <c r="P236" s="666" t="str">
        <f t="shared" si="3"/>
        <v>N.A.</v>
      </c>
      <c r="Q236" s="666" t="str">
        <f>IF(ISNUMBER(P236),COUNT(P$234:P236),"")</f>
        <v/>
      </c>
      <c r="R236" s="667" t="str">
        <f t="shared" si="4"/>
        <v>tonnes</v>
      </c>
      <c r="S236" s="666" t="str">
        <f t="shared" si="5"/>
        <v/>
      </c>
      <c r="U236" s="663" t="b">
        <f t="shared" si="6"/>
        <v>0</v>
      </c>
    </row>
    <row r="237" spans="2:21" ht="12.75" customHeight="1" x14ac:dyDescent="0.25">
      <c r="B237" s="17"/>
      <c r="C237" s="17"/>
      <c r="D237" s="664">
        <f t="shared" si="7"/>
        <v>4</v>
      </c>
      <c r="E237" s="1305"/>
      <c r="F237" s="1306"/>
      <c r="G237" s="1306"/>
      <c r="H237" s="1306"/>
      <c r="I237" s="1307"/>
      <c r="J237" s="350"/>
      <c r="K237" s="665" t="str">
        <f t="shared" si="1"/>
        <v>N.A.</v>
      </c>
      <c r="L237" s="1334" t="str">
        <f t="shared" si="2"/>
        <v/>
      </c>
      <c r="M237" s="1335"/>
      <c r="N237" s="628"/>
      <c r="O237" s="8"/>
      <c r="P237" s="666" t="str">
        <f t="shared" si="3"/>
        <v>N.A.</v>
      </c>
      <c r="Q237" s="666" t="str">
        <f>IF(ISNUMBER(P237),COUNT(P$234:P237),"")</f>
        <v/>
      </c>
      <c r="R237" s="667" t="str">
        <f t="shared" si="4"/>
        <v>tonnes</v>
      </c>
      <c r="S237" s="666" t="str">
        <f t="shared" si="5"/>
        <v/>
      </c>
      <c r="U237" s="663" t="b">
        <f t="shared" si="6"/>
        <v>0</v>
      </c>
    </row>
    <row r="238" spans="2:21" x14ac:dyDescent="0.25">
      <c r="B238" s="17"/>
      <c r="C238" s="17"/>
      <c r="D238" s="664">
        <f t="shared" si="7"/>
        <v>5</v>
      </c>
      <c r="E238" s="1305"/>
      <c r="F238" s="1306"/>
      <c r="G238" s="1306"/>
      <c r="H238" s="1306"/>
      <c r="I238" s="1307"/>
      <c r="J238" s="350"/>
      <c r="K238" s="665" t="str">
        <f t="shared" si="1"/>
        <v>N.A.</v>
      </c>
      <c r="L238" s="1334" t="str">
        <f t="shared" si="2"/>
        <v/>
      </c>
      <c r="M238" s="1335"/>
      <c r="N238" s="628"/>
      <c r="O238" s="8"/>
      <c r="P238" s="666" t="str">
        <f t="shared" si="3"/>
        <v>N.A.</v>
      </c>
      <c r="Q238" s="666" t="str">
        <f>IF(ISNUMBER(P238),COUNT(P$234:P238),"")</f>
        <v/>
      </c>
      <c r="R238" s="667" t="str">
        <f t="shared" si="4"/>
        <v>tonnes</v>
      </c>
      <c r="S238" s="666" t="str">
        <f t="shared" si="5"/>
        <v/>
      </c>
      <c r="U238" s="663" t="b">
        <f t="shared" si="6"/>
        <v>0</v>
      </c>
    </row>
    <row r="239" spans="2:21" x14ac:dyDescent="0.25">
      <c r="B239" s="17"/>
      <c r="C239" s="17"/>
      <c r="D239" s="664">
        <f t="shared" si="7"/>
        <v>6</v>
      </c>
      <c r="E239" s="1305"/>
      <c r="F239" s="1306"/>
      <c r="G239" s="1306"/>
      <c r="H239" s="1306"/>
      <c r="I239" s="1307"/>
      <c r="J239" s="350"/>
      <c r="K239" s="665" t="str">
        <f t="shared" si="1"/>
        <v>N.A.</v>
      </c>
      <c r="L239" s="1334" t="str">
        <f t="shared" si="2"/>
        <v/>
      </c>
      <c r="M239" s="1335"/>
      <c r="N239" s="628"/>
      <c r="O239" s="8"/>
      <c r="P239" s="666" t="str">
        <f t="shared" si="3"/>
        <v>N.A.</v>
      </c>
      <c r="Q239" s="666" t="str">
        <f>IF(ISNUMBER(P239),COUNT(P$234:P239),"")</f>
        <v/>
      </c>
      <c r="R239" s="667" t="str">
        <f t="shared" si="4"/>
        <v>tonnes</v>
      </c>
      <c r="S239" s="666" t="str">
        <f t="shared" si="5"/>
        <v/>
      </c>
      <c r="U239" s="663" t="b">
        <f t="shared" si="6"/>
        <v>0</v>
      </c>
    </row>
    <row r="240" spans="2:21" x14ac:dyDescent="0.25">
      <c r="B240" s="17"/>
      <c r="C240" s="17"/>
      <c r="D240" s="664">
        <f t="shared" si="7"/>
        <v>7</v>
      </c>
      <c r="E240" s="1305"/>
      <c r="F240" s="1306"/>
      <c r="G240" s="1306"/>
      <c r="H240" s="1306"/>
      <c r="I240" s="1307"/>
      <c r="J240" s="350"/>
      <c r="K240" s="665" t="str">
        <f t="shared" si="1"/>
        <v>N.A.</v>
      </c>
      <c r="L240" s="1334" t="str">
        <f t="shared" si="2"/>
        <v/>
      </c>
      <c r="M240" s="1335"/>
      <c r="N240" s="628"/>
      <c r="O240" s="8"/>
      <c r="P240" s="666" t="str">
        <f t="shared" si="3"/>
        <v>N.A.</v>
      </c>
      <c r="Q240" s="666" t="str">
        <f>IF(ISNUMBER(P240),COUNT(P$234:P240),"")</f>
        <v/>
      </c>
      <c r="R240" s="667" t="str">
        <f t="shared" si="4"/>
        <v>tonnes</v>
      </c>
      <c r="S240" s="666" t="str">
        <f t="shared" si="5"/>
        <v/>
      </c>
      <c r="U240" s="663" t="b">
        <f t="shared" si="6"/>
        <v>0</v>
      </c>
    </row>
    <row r="241" spans="2:21" x14ac:dyDescent="0.25">
      <c r="B241" s="17"/>
      <c r="C241" s="17"/>
      <c r="D241" s="664">
        <f t="shared" si="7"/>
        <v>8</v>
      </c>
      <c r="E241" s="1305"/>
      <c r="F241" s="1306"/>
      <c r="G241" s="1306"/>
      <c r="H241" s="1306"/>
      <c r="I241" s="1307"/>
      <c r="J241" s="350"/>
      <c r="K241" s="665" t="str">
        <f t="shared" si="1"/>
        <v>N.A.</v>
      </c>
      <c r="L241" s="1334" t="str">
        <f t="shared" si="2"/>
        <v/>
      </c>
      <c r="M241" s="1335"/>
      <c r="N241" s="628"/>
      <c r="O241" s="8"/>
      <c r="P241" s="666" t="str">
        <f t="shared" si="3"/>
        <v>N.A.</v>
      </c>
      <c r="Q241" s="666" t="str">
        <f>IF(ISNUMBER(P241),COUNT(P$234:P241),"")</f>
        <v/>
      </c>
      <c r="R241" s="667" t="str">
        <f t="shared" si="4"/>
        <v>tonnes</v>
      </c>
      <c r="S241" s="666" t="str">
        <f t="shared" si="5"/>
        <v/>
      </c>
      <c r="U241" s="663" t="b">
        <f t="shared" si="6"/>
        <v>0</v>
      </c>
    </row>
    <row r="242" spans="2:21" x14ac:dyDescent="0.25">
      <c r="B242" s="17"/>
      <c r="C242" s="17"/>
      <c r="D242" s="664">
        <f t="shared" si="7"/>
        <v>9</v>
      </c>
      <c r="E242" s="1305"/>
      <c r="F242" s="1306"/>
      <c r="G242" s="1306"/>
      <c r="H242" s="1306"/>
      <c r="I242" s="1307"/>
      <c r="J242" s="350"/>
      <c r="K242" s="665" t="str">
        <f t="shared" si="1"/>
        <v>N.A.</v>
      </c>
      <c r="L242" s="1334" t="str">
        <f t="shared" si="2"/>
        <v/>
      </c>
      <c r="M242" s="1335"/>
      <c r="N242" s="628"/>
      <c r="O242" s="8"/>
      <c r="P242" s="666" t="str">
        <f t="shared" si="3"/>
        <v>N.A.</v>
      </c>
      <c r="Q242" s="666" t="str">
        <f>IF(ISNUMBER(P242),COUNT(P$234:P242),"")</f>
        <v/>
      </c>
      <c r="R242" s="667" t="str">
        <f t="shared" si="4"/>
        <v>tonnes</v>
      </c>
      <c r="S242" s="666" t="str">
        <f t="shared" si="5"/>
        <v/>
      </c>
      <c r="U242" s="663" t="b">
        <f t="shared" si="6"/>
        <v>0</v>
      </c>
    </row>
    <row r="243" spans="2:21" ht="13.8" thickBot="1" x14ac:dyDescent="0.3">
      <c r="B243" s="17"/>
      <c r="C243" s="17"/>
      <c r="D243" s="668">
        <f t="shared" si="7"/>
        <v>10</v>
      </c>
      <c r="E243" s="1379"/>
      <c r="F243" s="1380"/>
      <c r="G243" s="1380"/>
      <c r="H243" s="1380"/>
      <c r="I243" s="1381"/>
      <c r="J243" s="351"/>
      <c r="K243" s="669" t="str">
        <f t="shared" si="1"/>
        <v>N.A.</v>
      </c>
      <c r="L243" s="1385" t="str">
        <f t="shared" si="2"/>
        <v/>
      </c>
      <c r="M243" s="1386"/>
      <c r="N243" s="628"/>
      <c r="O243" s="8"/>
      <c r="P243" s="670" t="str">
        <f t="shared" si="3"/>
        <v>N.A.</v>
      </c>
      <c r="Q243" s="670" t="str">
        <f>IF(ISNUMBER(P243),COUNT(P$234:P243),"")</f>
        <v/>
      </c>
      <c r="R243" s="671" t="str">
        <f t="shared" si="4"/>
        <v>tonnes</v>
      </c>
      <c r="S243" s="670" t="str">
        <f t="shared" si="5"/>
        <v/>
      </c>
      <c r="U243" s="663" t="b">
        <f t="shared" si="6"/>
        <v>0</v>
      </c>
    </row>
    <row r="244" spans="2:21" x14ac:dyDescent="0.25">
      <c r="B244" s="17"/>
      <c r="C244" s="17"/>
      <c r="D244" s="672"/>
      <c r="E244" s="673" t="str">
        <f>IF(MAX(S234:S243)&gt;1,EUconst_ERR_DoubleBMentry,"")</f>
        <v/>
      </c>
      <c r="F244" s="256"/>
      <c r="G244" s="256"/>
      <c r="H244" s="256"/>
      <c r="I244" s="256"/>
      <c r="J244" s="256"/>
      <c r="K244" s="230"/>
      <c r="L244" s="17"/>
      <c r="M244" s="17"/>
      <c r="N244" s="17"/>
      <c r="O244" s="8"/>
      <c r="Q244" s="674"/>
    </row>
    <row r="245" spans="2:21" x14ac:dyDescent="0.25">
      <c r="B245" s="17"/>
      <c r="C245" s="17"/>
      <c r="D245" s="17"/>
      <c r="E245" s="17"/>
      <c r="F245" s="17"/>
      <c r="G245" s="17"/>
      <c r="H245" s="17"/>
      <c r="I245" s="17"/>
      <c r="J245" s="17"/>
      <c r="K245" s="17"/>
      <c r="L245" s="17"/>
      <c r="M245" s="17"/>
      <c r="N245" s="17"/>
      <c r="O245" s="8"/>
      <c r="Q245" s="675"/>
    </row>
    <row r="246" spans="2:21" x14ac:dyDescent="0.25">
      <c r="B246" s="17"/>
      <c r="C246" s="17"/>
      <c r="D246" s="1293" t="str">
        <f>IF(CNTR_HasEntries_A_I,IF(AND(E199&lt;&gt;"", E203 &lt;&gt; Translations!B1556, E203 &lt;&gt; Translations!B1557, MAX(Q234:Q265)&lt;1),EUconst_ERR_MissingSubInstEntry,""),"")</f>
        <v/>
      </c>
      <c r="E246" s="1294"/>
      <c r="F246" s="1294"/>
      <c r="G246" s="1294"/>
      <c r="H246" s="1294"/>
      <c r="I246" s="1294"/>
      <c r="J246" s="1294"/>
      <c r="K246" s="1294"/>
      <c r="L246" s="1294"/>
      <c r="M246" s="1294"/>
      <c r="N246" s="1295"/>
      <c r="O246" s="8"/>
      <c r="Q246" s="675"/>
    </row>
    <row r="247" spans="2:21" x14ac:dyDescent="0.25">
      <c r="B247" s="17"/>
      <c r="C247" s="17"/>
      <c r="D247" s="17"/>
      <c r="E247" s="17"/>
      <c r="F247" s="17"/>
      <c r="G247" s="17"/>
      <c r="H247" s="17"/>
      <c r="I247" s="17"/>
      <c r="J247" s="17"/>
      <c r="K247" s="17"/>
      <c r="L247" s="17"/>
      <c r="M247" s="17"/>
      <c r="N247" s="17"/>
      <c r="O247" s="8"/>
      <c r="Q247" s="675"/>
    </row>
    <row r="248" spans="2:21" ht="13.8" x14ac:dyDescent="0.25">
      <c r="B248" s="17"/>
      <c r="C248" s="19">
        <v>2</v>
      </c>
      <c r="D248" s="1234" t="str">
        <f>Translations!$B$224</f>
        <v>Sub-installations with fall-back approaches</v>
      </c>
      <c r="E248" s="1176"/>
      <c r="F248" s="1176"/>
      <c r="G248" s="1176"/>
      <c r="H248" s="1176"/>
      <c r="I248" s="1176"/>
      <c r="J248" s="1176"/>
      <c r="K248" s="1176"/>
      <c r="L248" s="1176"/>
      <c r="M248" s="1176"/>
      <c r="N248" s="1176"/>
      <c r="O248" s="8"/>
      <c r="Q248" s="675"/>
    </row>
    <row r="249" spans="2:21" x14ac:dyDescent="0.25">
      <c r="B249" s="17"/>
      <c r="C249" s="17"/>
      <c r="D249" s="27"/>
      <c r="E249" s="1165" t="str">
        <f>Translations!$B$225</f>
        <v>Please indicate here which fall-back sub-installations are relevant at your installation, if any:</v>
      </c>
      <c r="F249" s="1176"/>
      <c r="G249" s="1176"/>
      <c r="H249" s="1176"/>
      <c r="I249" s="1176"/>
      <c r="J249" s="1176"/>
      <c r="K249" s="1176"/>
      <c r="L249" s="1176"/>
      <c r="M249" s="1176"/>
      <c r="N249" s="1176"/>
      <c r="O249" s="8"/>
      <c r="Q249" s="675"/>
    </row>
    <row r="250" spans="2:21" x14ac:dyDescent="0.25">
      <c r="B250" s="17"/>
      <c r="C250" s="17"/>
      <c r="D250" s="17"/>
      <c r="E250" s="1223" t="str">
        <f>Translations!$B$226</f>
        <v>For each type of fall-back approach, a maximum of two sub-installations may exist, one exposed to significant risk of carbon leakage, the other non-exposed.</v>
      </c>
      <c r="F250" s="1176"/>
      <c r="G250" s="1176"/>
      <c r="H250" s="1176"/>
      <c r="I250" s="1176"/>
      <c r="J250" s="1176"/>
      <c r="K250" s="1176"/>
      <c r="L250" s="1176"/>
      <c r="M250" s="1176"/>
      <c r="N250" s="1176"/>
      <c r="O250" s="8"/>
      <c r="Q250" s="675"/>
    </row>
    <row r="251" spans="2:21" x14ac:dyDescent="0.25">
      <c r="B251" s="17"/>
      <c r="C251" s="17"/>
      <c r="D251" s="17"/>
      <c r="E251" s="1223" t="str">
        <f>Translations!$B$227</f>
        <v>As an exception to that rule, for measurable heat a third sub-installation is defined for the delivery of district heating.</v>
      </c>
      <c r="F251" s="1176"/>
      <c r="G251" s="1176"/>
      <c r="H251" s="1176"/>
      <c r="I251" s="1176"/>
      <c r="J251" s="1176"/>
      <c r="K251" s="1176"/>
      <c r="L251" s="1176"/>
      <c r="M251" s="1176"/>
      <c r="N251" s="1176"/>
      <c r="O251" s="8"/>
      <c r="Q251" s="675"/>
    </row>
    <row r="252" spans="2:21" x14ac:dyDescent="0.25">
      <c r="B252" s="17"/>
      <c r="C252" s="17"/>
      <c r="D252" s="17"/>
      <c r="E252" s="1378" t="s">
        <v>272</v>
      </c>
      <c r="F252" s="1168"/>
      <c r="G252" s="1168"/>
      <c r="H252" s="1168"/>
      <c r="I252" s="1168"/>
      <c r="J252" s="1168"/>
      <c r="K252" s="1168"/>
      <c r="L252" s="1168"/>
      <c r="M252" s="1168"/>
      <c r="N252" s="1168"/>
      <c r="O252" s="8"/>
      <c r="Q252" s="675"/>
    </row>
    <row r="253" spans="2:21" x14ac:dyDescent="0.25">
      <c r="B253" s="17"/>
      <c r="C253" s="17"/>
      <c r="D253" s="17"/>
      <c r="E253" s="1223" t="str">
        <f>Translations!$B$229</f>
        <v xml:space="preserve">Note that according to Article 10(3) of the FAR an exemption from the distinction of CL and non-CL may be granted for reporting purposes. </v>
      </c>
      <c r="F253" s="1176"/>
      <c r="G253" s="1176"/>
      <c r="H253" s="1176"/>
      <c r="I253" s="1176"/>
      <c r="J253" s="1176"/>
      <c r="K253" s="1176"/>
      <c r="L253" s="1176"/>
      <c r="M253" s="1176"/>
      <c r="N253" s="1176"/>
      <c r="O253" s="8"/>
      <c r="Q253" s="675"/>
    </row>
    <row r="254" spans="2:21" x14ac:dyDescent="0.25">
      <c r="B254" s="17"/>
      <c r="C254" s="17"/>
      <c r="D254" s="17"/>
      <c r="E254" s="1223" t="str">
        <f>Translations!$B$230</f>
        <v>This exemption is applicable if at least 95% of inputs, outputs and emissions belong to one of the "CL" or "non-CL" status.</v>
      </c>
      <c r="F254" s="1176"/>
      <c r="G254" s="1176"/>
      <c r="H254" s="1176"/>
      <c r="I254" s="1176"/>
      <c r="J254" s="1176"/>
      <c r="K254" s="1176"/>
      <c r="L254" s="1176"/>
      <c r="M254" s="1176"/>
      <c r="N254" s="1176"/>
      <c r="O254" s="8"/>
      <c r="Q254" s="675"/>
    </row>
    <row r="255" spans="2:21" ht="38.85" customHeight="1" x14ac:dyDescent="0.25">
      <c r="B255" s="8"/>
      <c r="C255" s="8"/>
      <c r="D255" s="17"/>
      <c r="E255" s="1314" t="s">
        <v>266</v>
      </c>
      <c r="F255" s="1316"/>
      <c r="G255" s="1316"/>
      <c r="H255" s="1316"/>
      <c r="I255" s="1316"/>
      <c r="J255" s="1316"/>
      <c r="K255" s="1316"/>
      <c r="L255" s="1316"/>
      <c r="M255" s="1316"/>
      <c r="N255" s="1316"/>
      <c r="O255" s="8"/>
      <c r="P255" s="190"/>
      <c r="Q255" s="675"/>
    </row>
    <row r="256" spans="2:21" x14ac:dyDescent="0.25">
      <c r="B256" s="17"/>
      <c r="C256" s="17"/>
      <c r="D256" s="17"/>
      <c r="E256" s="1315" t="str">
        <f>Translations!$B$219</f>
        <v>Please note that the correct entries here are essential for all subsequent inputs dealing with sub-installations.</v>
      </c>
      <c r="F256" s="1168"/>
      <c r="G256" s="1168"/>
      <c r="H256" s="1168"/>
      <c r="I256" s="1168"/>
      <c r="J256" s="1168"/>
      <c r="K256" s="1168"/>
      <c r="L256" s="1168"/>
      <c r="M256" s="1168"/>
      <c r="N256" s="1168"/>
      <c r="O256" s="8"/>
      <c r="Q256" s="675"/>
    </row>
    <row r="257" spans="2:21" ht="5.0999999999999996" customHeight="1" x14ac:dyDescent="0.25">
      <c r="B257" s="8"/>
      <c r="C257" s="8"/>
      <c r="D257" s="8"/>
      <c r="E257" s="8"/>
      <c r="F257" s="8"/>
      <c r="G257" s="8"/>
      <c r="H257" s="8"/>
      <c r="I257" s="8"/>
      <c r="J257" s="8"/>
      <c r="K257" s="8"/>
      <c r="L257" s="8"/>
      <c r="M257" s="8"/>
      <c r="N257" s="8"/>
      <c r="O257" s="8"/>
      <c r="P257" s="190"/>
      <c r="Q257" s="675"/>
    </row>
    <row r="258" spans="2:21" ht="38.85" customHeight="1" thickBot="1" x14ac:dyDescent="0.3">
      <c r="B258" s="17"/>
      <c r="C258" s="17"/>
      <c r="D258" s="676" t="str">
        <f>Translations!$B$220</f>
        <v>No.</v>
      </c>
      <c r="E258" s="1311" t="str">
        <f>Translations!$B$231</f>
        <v>Sub-installation type</v>
      </c>
      <c r="F258" s="1312"/>
      <c r="G258" s="1312"/>
      <c r="H258" s="1313"/>
      <c r="I258" s="624" t="s">
        <v>273</v>
      </c>
      <c r="J258" s="654" t="str">
        <f>Translations!$B$222</f>
        <v>Start of operation</v>
      </c>
      <c r="K258" s="547" t="str">
        <f>Translations!$B$223</f>
        <v>CL exposed?</v>
      </c>
      <c r="L258" s="17"/>
      <c r="M258" s="17"/>
      <c r="N258" s="17"/>
      <c r="O258" s="8"/>
      <c r="P258" s="677" t="s">
        <v>267</v>
      </c>
      <c r="Q258" s="677" t="s">
        <v>268</v>
      </c>
      <c r="R258" s="677" t="s">
        <v>269</v>
      </c>
      <c r="U258" s="658" t="s">
        <v>271</v>
      </c>
    </row>
    <row r="259" spans="2:21" ht="12.75" customHeight="1" x14ac:dyDescent="0.25">
      <c r="B259" s="17"/>
      <c r="C259" s="17"/>
      <c r="D259" s="659">
        <v>11</v>
      </c>
      <c r="E259" s="1302" t="str">
        <f t="shared" ref="E259:E265" si="8">INDEX(EUconst_FallBackListNames,D259-10)</f>
        <v>Heat benchmark sub-installation, CL</v>
      </c>
      <c r="F259" s="1303"/>
      <c r="G259" s="1303"/>
      <c r="H259" s="1304"/>
      <c r="I259" s="618"/>
      <c r="J259" s="349"/>
      <c r="K259" s="678" t="b">
        <f t="shared" ref="K259:K265" si="9">INDEX(EUconst_FallBackListCLstatus,MATCH($E259,EUconst_FallBackListNames,0))</f>
        <v>1</v>
      </c>
      <c r="L259" s="17"/>
      <c r="M259" s="17"/>
      <c r="N259" s="80"/>
      <c r="O259" s="8"/>
      <c r="P259" s="679" t="str">
        <f t="shared" ref="P259:P265" si="10">IF(ISBLANK($I259),EUconst_NA,IF($I259,INDEX(EUconst_FallBackListNumber,MATCH($E259,EUconst_FallBackListNames,0)),EUconst_NA))</f>
        <v>N.A.</v>
      </c>
      <c r="Q259" s="679" t="str">
        <f>IF(ISNUMBER(P259),COUNT(P$259:P259)+MAX($Q$234:$Q$243),"")</f>
        <v/>
      </c>
      <c r="R259" s="679" t="str">
        <f t="shared" ref="R259:R265" si="11">INDEX(EUconst_FallBackListUnits,MATCH($E259,EUconst_FallBackListNames,0))</f>
        <v>TJ</v>
      </c>
      <c r="U259" s="663" t="b">
        <f t="shared" ref="U259:U265" si="12">J259&gt;DATE($M$330,1,1)</f>
        <v>0</v>
      </c>
    </row>
    <row r="260" spans="2:21" ht="12.75" customHeight="1" x14ac:dyDescent="0.25">
      <c r="B260" s="17"/>
      <c r="C260" s="17"/>
      <c r="D260" s="664">
        <f>D259+1</f>
        <v>12</v>
      </c>
      <c r="E260" s="1308" t="str">
        <f t="shared" si="8"/>
        <v>Heat benchmark sub-installation, non-CL</v>
      </c>
      <c r="F260" s="1309"/>
      <c r="G260" s="1309"/>
      <c r="H260" s="1310"/>
      <c r="I260" s="619"/>
      <c r="J260" s="350"/>
      <c r="K260" s="680" t="b">
        <f t="shared" si="9"/>
        <v>0</v>
      </c>
      <c r="L260" s="17"/>
      <c r="M260" s="17"/>
      <c r="N260" s="80"/>
      <c r="O260" s="8"/>
      <c r="P260" s="666" t="str">
        <f t="shared" si="10"/>
        <v>N.A.</v>
      </c>
      <c r="Q260" s="666" t="str">
        <f>IF(ISNUMBER(P260),COUNT(P$259:P260)+MAX($Q$234:$Q$243),"")</f>
        <v/>
      </c>
      <c r="R260" s="666" t="str">
        <f t="shared" si="11"/>
        <v>TJ</v>
      </c>
      <c r="U260" s="663" t="b">
        <f t="shared" si="12"/>
        <v>0</v>
      </c>
    </row>
    <row r="261" spans="2:21" ht="12.75" customHeight="1" x14ac:dyDescent="0.25">
      <c r="B261" s="17"/>
      <c r="C261" s="17"/>
      <c r="D261" s="664">
        <f>D260+1</f>
        <v>13</v>
      </c>
      <c r="E261" s="1308" t="str">
        <f t="shared" si="8"/>
        <v>District heating sub-installation</v>
      </c>
      <c r="F261" s="1309"/>
      <c r="G261" s="1309"/>
      <c r="H261" s="1310"/>
      <c r="I261" s="619"/>
      <c r="J261" s="350"/>
      <c r="K261" s="680" t="b">
        <f t="shared" si="9"/>
        <v>0</v>
      </c>
      <c r="L261" s="17"/>
      <c r="M261" s="17"/>
      <c r="N261" s="80"/>
      <c r="O261" s="8"/>
      <c r="P261" s="666" t="str">
        <f t="shared" si="10"/>
        <v>N.A.</v>
      </c>
      <c r="Q261" s="666" t="str">
        <f>IF(ISNUMBER(P261),COUNT(P$259:P261)+MAX($Q$234:$Q$243),"")</f>
        <v/>
      </c>
      <c r="R261" s="666" t="str">
        <f t="shared" si="11"/>
        <v>TJ</v>
      </c>
      <c r="U261" s="663" t="b">
        <f t="shared" si="12"/>
        <v>0</v>
      </c>
    </row>
    <row r="262" spans="2:21" ht="12.75" customHeight="1" x14ac:dyDescent="0.25">
      <c r="B262" s="17"/>
      <c r="C262" s="17"/>
      <c r="D262" s="664">
        <f>D261+1</f>
        <v>14</v>
      </c>
      <c r="E262" s="1308" t="str">
        <f t="shared" si="8"/>
        <v>Fuel benchmark sub-installation, CL</v>
      </c>
      <c r="F262" s="1309"/>
      <c r="G262" s="1309"/>
      <c r="H262" s="1310"/>
      <c r="I262" s="619"/>
      <c r="J262" s="350"/>
      <c r="K262" s="680" t="b">
        <f t="shared" si="9"/>
        <v>1</v>
      </c>
      <c r="L262" s="17"/>
      <c r="M262" s="17"/>
      <c r="N262" s="80"/>
      <c r="O262" s="8"/>
      <c r="P262" s="666" t="str">
        <f t="shared" si="10"/>
        <v>N.A.</v>
      </c>
      <c r="Q262" s="666" t="str">
        <f>IF(ISNUMBER(P262),COUNT(P$259:P262)+MAX($Q$234:$Q$243),"")</f>
        <v/>
      </c>
      <c r="R262" s="666" t="str">
        <f t="shared" si="11"/>
        <v>TJ</v>
      </c>
      <c r="U262" s="663" t="b">
        <f t="shared" si="12"/>
        <v>0</v>
      </c>
    </row>
    <row r="263" spans="2:21" ht="12.75" customHeight="1" x14ac:dyDescent="0.25">
      <c r="B263" s="17"/>
      <c r="C263" s="17"/>
      <c r="D263" s="664">
        <f>D262+1</f>
        <v>15</v>
      </c>
      <c r="E263" s="1308" t="str">
        <f t="shared" si="8"/>
        <v>Fuel benchmark sub-installation, non-CL</v>
      </c>
      <c r="F263" s="1309"/>
      <c r="G263" s="1309"/>
      <c r="H263" s="1310"/>
      <c r="I263" s="619"/>
      <c r="J263" s="350"/>
      <c r="K263" s="680" t="b">
        <f t="shared" si="9"/>
        <v>0</v>
      </c>
      <c r="L263" s="17"/>
      <c r="M263" s="17"/>
      <c r="N263" s="80"/>
      <c r="O263" s="8"/>
      <c r="P263" s="666" t="str">
        <f t="shared" si="10"/>
        <v>N.A.</v>
      </c>
      <c r="Q263" s="666" t="str">
        <f>IF(ISNUMBER(P263),COUNT(P$259:P263)+MAX($Q$234:$Q$243),"")</f>
        <v/>
      </c>
      <c r="R263" s="666" t="str">
        <f t="shared" si="11"/>
        <v>TJ</v>
      </c>
      <c r="U263" s="663" t="b">
        <f t="shared" si="12"/>
        <v>0</v>
      </c>
    </row>
    <row r="264" spans="2:21" ht="12.75" customHeight="1" x14ac:dyDescent="0.25">
      <c r="B264" s="17"/>
      <c r="C264" s="17"/>
      <c r="D264" s="664">
        <f>D263+1</f>
        <v>16</v>
      </c>
      <c r="E264" s="1308" t="str">
        <f>INDEX(EUconst_FallBackListNames,D264-10)</f>
        <v>Process emissions sub-installation, CL</v>
      </c>
      <c r="F264" s="1309"/>
      <c r="G264" s="1309"/>
      <c r="H264" s="1310"/>
      <c r="I264" s="620"/>
      <c r="J264" s="350"/>
      <c r="K264" s="680" t="b">
        <f t="shared" si="9"/>
        <v>1</v>
      </c>
      <c r="L264" s="17"/>
      <c r="M264" s="17"/>
      <c r="N264" s="80"/>
      <c r="O264" s="8"/>
      <c r="P264" s="666" t="str">
        <f t="shared" si="10"/>
        <v>N.A.</v>
      </c>
      <c r="Q264" s="666" t="str">
        <f>IF(ISNUMBER(P264),COUNT(P$259:P264)+MAX($Q$234:$Q$243),"")</f>
        <v/>
      </c>
      <c r="R264" s="666" t="str">
        <f t="shared" si="11"/>
        <v>t CO2e</v>
      </c>
      <c r="U264" s="663" t="b">
        <f t="shared" si="12"/>
        <v>0</v>
      </c>
    </row>
    <row r="265" spans="2:21" ht="13.5" customHeight="1" thickBot="1" x14ac:dyDescent="0.3">
      <c r="B265" s="17"/>
      <c r="C265" s="17"/>
      <c r="D265" s="668">
        <v>17</v>
      </c>
      <c r="E265" s="1382" t="str">
        <f t="shared" si="8"/>
        <v>Process emissions sub-installation, non-CL</v>
      </c>
      <c r="F265" s="1383"/>
      <c r="G265" s="1383"/>
      <c r="H265" s="1384"/>
      <c r="I265" s="621"/>
      <c r="J265" s="351"/>
      <c r="K265" s="681" t="b">
        <f t="shared" si="9"/>
        <v>0</v>
      </c>
      <c r="L265" s="17"/>
      <c r="M265" s="17"/>
      <c r="N265" s="80"/>
      <c r="O265" s="8"/>
      <c r="P265" s="670" t="str">
        <f t="shared" si="10"/>
        <v>N.A.</v>
      </c>
      <c r="Q265" s="670" t="str">
        <f>IF(ISNUMBER(P265),COUNT(P$259:P265)+MAX($Q$234:$Q$243),"")</f>
        <v/>
      </c>
      <c r="R265" s="670" t="str">
        <f t="shared" si="11"/>
        <v>t CO2e</v>
      </c>
      <c r="U265" s="663" t="b">
        <f t="shared" si="12"/>
        <v>0</v>
      </c>
    </row>
    <row r="266" spans="2:21" x14ac:dyDescent="0.25">
      <c r="B266" s="17"/>
      <c r="C266" s="17"/>
      <c r="D266" s="672"/>
      <c r="E266" s="673" t="str">
        <f>IF( AND(CNTR_HasEntries_A_I, E199 &lt;&gt; "", E203 &lt;&gt; Translations!B1556, E203 &lt;&gt; Translations!B1557),IF(COUNTA(CNTR_FallBackSubInstRelevant)&lt;7,EUconst_ERR_MissingFallBackEntry,""),"")</f>
        <v/>
      </c>
      <c r="F266" s="256"/>
      <c r="G266" s="256"/>
      <c r="H266" s="256"/>
      <c r="I266" s="256"/>
      <c r="J266" s="256"/>
      <c r="K266" s="230"/>
      <c r="L266" s="17"/>
      <c r="M266" s="17"/>
      <c r="N266" s="17"/>
      <c r="O266" s="8"/>
    </row>
    <row r="267" spans="2:21" x14ac:dyDescent="0.25">
      <c r="B267" s="17"/>
      <c r="C267" s="17"/>
      <c r="D267" s="17"/>
      <c r="E267" s="17"/>
      <c r="F267" s="17"/>
      <c r="G267" s="17"/>
      <c r="H267" s="17"/>
      <c r="I267" s="17"/>
      <c r="J267" s="17"/>
      <c r="K267" s="17"/>
      <c r="L267" s="17"/>
      <c r="M267" s="17"/>
      <c r="N267" s="17"/>
      <c r="O267" s="8"/>
    </row>
    <row r="268" spans="2:21" x14ac:dyDescent="0.25">
      <c r="B268" s="17"/>
      <c r="C268" s="17"/>
      <c r="D268" s="1293" t="str">
        <f>D246</f>
        <v/>
      </c>
      <c r="E268" s="1294"/>
      <c r="F268" s="1294"/>
      <c r="G268" s="1294"/>
      <c r="H268" s="1294"/>
      <c r="I268" s="1294"/>
      <c r="J268" s="1294"/>
      <c r="K268" s="1294"/>
      <c r="L268" s="1294"/>
      <c r="M268" s="1294"/>
      <c r="N268" s="1295"/>
      <c r="O268" s="8"/>
    </row>
    <row r="269" spans="2:21" x14ac:dyDescent="0.25">
      <c r="B269" s="17"/>
      <c r="C269" s="17"/>
      <c r="D269" s="17"/>
      <c r="E269" s="17"/>
      <c r="F269" s="17"/>
      <c r="G269" s="17"/>
      <c r="H269" s="17"/>
      <c r="I269" s="17"/>
      <c r="J269" s="17"/>
      <c r="K269" s="17"/>
      <c r="L269" s="17"/>
      <c r="M269" s="17"/>
      <c r="N269" s="17"/>
      <c r="O269" s="8"/>
    </row>
    <row r="270" spans="2:21" ht="15.6" x14ac:dyDescent="0.3">
      <c r="B270" s="8"/>
      <c r="C270" s="13" t="s">
        <v>6</v>
      </c>
      <c r="D270" s="1175" t="str">
        <f>Translations!$B$233</f>
        <v>List of technical connections</v>
      </c>
      <c r="E270" s="1175"/>
      <c r="F270" s="1175"/>
      <c r="G270" s="1175"/>
      <c r="H270" s="1175"/>
      <c r="I270" s="1175"/>
      <c r="J270" s="1175"/>
      <c r="K270" s="1175"/>
      <c r="L270" s="1175"/>
      <c r="M270" s="1175"/>
      <c r="N270" s="1175"/>
      <c r="O270" s="8"/>
      <c r="P270" s="190"/>
    </row>
    <row r="271" spans="2:21" ht="5.0999999999999996" customHeight="1" x14ac:dyDescent="0.25">
      <c r="B271" s="8"/>
      <c r="C271" s="8"/>
      <c r="D271" s="8"/>
      <c r="E271" s="8"/>
      <c r="F271" s="8"/>
      <c r="G271" s="8"/>
      <c r="H271" s="8"/>
      <c r="I271" s="8"/>
      <c r="J271" s="8"/>
      <c r="K271" s="8"/>
      <c r="L271" s="8"/>
      <c r="M271" s="8"/>
      <c r="N271" s="8"/>
      <c r="O271" s="8"/>
      <c r="P271" s="190"/>
    </row>
    <row r="272" spans="2:21" x14ac:dyDescent="0.25">
      <c r="B272" s="17"/>
      <c r="C272" s="17"/>
      <c r="D272" s="15" t="s">
        <v>190</v>
      </c>
      <c r="E272" s="1165" t="str">
        <f>Translations!$B$234</f>
        <v>Please enter here the information relevant for identifying technical connections to your installation:</v>
      </c>
      <c r="F272" s="1176"/>
      <c r="G272" s="1176"/>
      <c r="H272" s="1176"/>
      <c r="I272" s="1176"/>
      <c r="J272" s="1176"/>
      <c r="K272" s="1176"/>
      <c r="L272" s="1176"/>
      <c r="M272" s="1176"/>
      <c r="N272" s="1176"/>
      <c r="O272" s="8"/>
    </row>
    <row r="273" spans="2:15" ht="25.95" customHeight="1" x14ac:dyDescent="0.25">
      <c r="B273" s="17"/>
      <c r="C273" s="17"/>
      <c r="D273" s="80"/>
      <c r="E273" s="1314" t="s">
        <v>274</v>
      </c>
      <c r="F273" s="1195"/>
      <c r="G273" s="1195"/>
      <c r="H273" s="1195"/>
      <c r="I273" s="1195"/>
      <c r="J273" s="1195"/>
      <c r="K273" s="1195"/>
      <c r="L273" s="1195"/>
      <c r="M273" s="1195"/>
      <c r="N273" s="1195"/>
      <c r="O273" s="8"/>
    </row>
    <row r="274" spans="2:15" x14ac:dyDescent="0.25">
      <c r="B274" s="17"/>
      <c r="C274" s="17"/>
      <c r="D274" s="80"/>
      <c r="E274" s="1314" t="str">
        <f>Translations!$B$236</f>
        <v>Only those cases are relevant, where either measurable heat, waste gases or "transferred CO2" as defined by the Monitoring and Reporting Regulation are transferred.</v>
      </c>
      <c r="F274" s="1195"/>
      <c r="G274" s="1195"/>
      <c r="H274" s="1195"/>
      <c r="I274" s="1195"/>
      <c r="J274" s="1195"/>
      <c r="K274" s="1195"/>
      <c r="L274" s="1195"/>
      <c r="M274" s="1195"/>
      <c r="N274" s="1195"/>
      <c r="O274" s="8"/>
    </row>
    <row r="275" spans="2:15" x14ac:dyDescent="0.25">
      <c r="B275" s="17"/>
      <c r="C275" s="17"/>
      <c r="D275" s="80"/>
      <c r="E275" s="1314" t="str">
        <f>Translations!$B$237</f>
        <v>"Import" here means that something enters the boundaries of the installation to which this report refers, "export" means something leaving those boundaries.</v>
      </c>
      <c r="F275" s="1195"/>
      <c r="G275" s="1195"/>
      <c r="H275" s="1195"/>
      <c r="I275" s="1195"/>
      <c r="J275" s="1195"/>
      <c r="K275" s="1195"/>
      <c r="L275" s="1195"/>
      <c r="M275" s="1195"/>
      <c r="N275" s="1195"/>
      <c r="O275" s="8"/>
    </row>
    <row r="276" spans="2:15" x14ac:dyDescent="0.25">
      <c r="B276" s="17"/>
      <c r="C276" s="17"/>
      <c r="D276" s="80"/>
      <c r="E276" s="1314" t="str">
        <f>Translations!$B$238</f>
        <v>Material and/or energy flows between sub-installations are not relevant, with the exception of heat stemming from nitric acid production.</v>
      </c>
      <c r="F276" s="1195"/>
      <c r="G276" s="1195"/>
      <c r="H276" s="1195"/>
      <c r="I276" s="1195"/>
      <c r="J276" s="1195"/>
      <c r="K276" s="1195"/>
      <c r="L276" s="1195"/>
      <c r="M276" s="1195"/>
      <c r="N276" s="1195"/>
      <c r="O276" s="8"/>
    </row>
    <row r="277" spans="2:15" x14ac:dyDescent="0.25">
      <c r="B277" s="17"/>
      <c r="C277" s="17"/>
      <c r="D277" s="80"/>
      <c r="E277" s="1314" t="s">
        <v>275</v>
      </c>
      <c r="F277" s="1195"/>
      <c r="G277" s="1195"/>
      <c r="H277" s="1195"/>
      <c r="I277" s="1195"/>
      <c r="J277" s="1195"/>
      <c r="K277" s="1195"/>
      <c r="L277" s="1195"/>
      <c r="M277" s="1195"/>
      <c r="N277" s="1195"/>
      <c r="O277" s="8"/>
    </row>
    <row r="278" spans="2:15" x14ac:dyDescent="0.25">
      <c r="B278" s="17"/>
      <c r="C278" s="17"/>
      <c r="D278" s="80"/>
      <c r="E278" s="630" t="s">
        <v>214</v>
      </c>
      <c r="F278" s="1223" t="s">
        <v>276</v>
      </c>
      <c r="G278" s="1176"/>
      <c r="H278" s="1176"/>
      <c r="I278" s="1176"/>
      <c r="J278" s="1176"/>
      <c r="K278" s="1176"/>
      <c r="L278" s="1176"/>
      <c r="M278" s="1176"/>
      <c r="N278" s="1176"/>
      <c r="O278" s="8"/>
    </row>
    <row r="279" spans="2:15" hidden="1" x14ac:dyDescent="0.25">
      <c r="B279" s="17"/>
      <c r="C279" s="17"/>
      <c r="D279" s="80"/>
      <c r="E279" s="1098" t="s">
        <v>214</v>
      </c>
      <c r="F279" s="1241" t="str">
        <f>Translations!$B$241</f>
        <v>Installation outside ETS</v>
      </c>
      <c r="G279" s="1193"/>
      <c r="H279" s="1193"/>
      <c r="I279" s="1193"/>
      <c r="J279" s="1193"/>
      <c r="K279" s="1193"/>
      <c r="L279" s="1193"/>
      <c r="M279" s="1193"/>
      <c r="N279" s="1193"/>
      <c r="O279" s="8"/>
    </row>
    <row r="280" spans="2:15" x14ac:dyDescent="0.25">
      <c r="B280" s="17"/>
      <c r="C280" s="17"/>
      <c r="D280" s="80"/>
      <c r="E280" s="630" t="s">
        <v>214</v>
      </c>
      <c r="F280" s="1223" t="str">
        <f>Translations!$B$242</f>
        <v>Installation producing Nitric Acid</v>
      </c>
      <c r="G280" s="1176"/>
      <c r="H280" s="1176"/>
      <c r="I280" s="1176"/>
      <c r="J280" s="1176"/>
      <c r="K280" s="1176"/>
      <c r="L280" s="1176"/>
      <c r="M280" s="1176"/>
      <c r="N280" s="1176"/>
      <c r="O280" s="8"/>
    </row>
    <row r="281" spans="2:15" x14ac:dyDescent="0.25">
      <c r="B281" s="17"/>
      <c r="C281" s="17"/>
      <c r="D281" s="80"/>
      <c r="E281" s="630" t="s">
        <v>214</v>
      </c>
      <c r="F281" s="1223" t="str">
        <f>Translations!$B$243</f>
        <v>Heat distribution network</v>
      </c>
      <c r="G281" s="1176"/>
      <c r="H281" s="1176"/>
      <c r="I281" s="1176"/>
      <c r="J281" s="1176"/>
      <c r="K281" s="1176"/>
      <c r="L281" s="1176"/>
      <c r="M281" s="1176"/>
      <c r="N281" s="1176"/>
      <c r="O281" s="8"/>
    </row>
    <row r="282" spans="2:15" x14ac:dyDescent="0.25">
      <c r="B282" s="17"/>
      <c r="C282" s="17"/>
      <c r="D282" s="80"/>
      <c r="E282" s="1370" t="str">
        <f>Translations!$B$244</f>
        <v>Special case: Nitric acid production:</v>
      </c>
      <c r="F282" s="1195"/>
      <c r="G282" s="1195"/>
      <c r="H282" s="1195"/>
      <c r="I282" s="1195"/>
      <c r="J282" s="1195"/>
      <c r="K282" s="1195"/>
      <c r="L282" s="1195"/>
      <c r="M282" s="1195"/>
      <c r="N282" s="1195"/>
      <c r="O282" s="8"/>
    </row>
    <row r="283" spans="2:15" x14ac:dyDescent="0.25">
      <c r="B283" s="17"/>
      <c r="C283" s="17"/>
      <c r="D283" s="80"/>
      <c r="E283" s="630" t="s">
        <v>214</v>
      </c>
      <c r="F283" s="1223" t="str">
        <f>Translations!$B$245</f>
        <v>Please select this option for identifying that your installation uses heat from nitric acid production.</v>
      </c>
      <c r="G283" s="1176"/>
      <c r="H283" s="1176"/>
      <c r="I283" s="1176"/>
      <c r="J283" s="1176"/>
      <c r="K283" s="1176"/>
      <c r="L283" s="1176"/>
      <c r="M283" s="1176"/>
      <c r="N283" s="1176"/>
      <c r="O283" s="8"/>
    </row>
    <row r="284" spans="2:15" x14ac:dyDescent="0.25">
      <c r="B284" s="17"/>
      <c r="C284" s="17"/>
      <c r="D284" s="80"/>
      <c r="E284" s="630" t="s">
        <v>214</v>
      </c>
      <c r="F284" s="1223" t="str">
        <f>Translations!$B$246</f>
        <v>Please list this fact even if the nitric acid production is part of your own installation, not only if your installation is connected to such installation.</v>
      </c>
      <c r="G284" s="1176"/>
      <c r="H284" s="1176"/>
      <c r="I284" s="1176"/>
      <c r="J284" s="1176"/>
      <c r="K284" s="1176"/>
      <c r="L284" s="1176"/>
      <c r="M284" s="1176"/>
      <c r="N284" s="1176"/>
      <c r="O284" s="8"/>
    </row>
    <row r="285" spans="2:15" x14ac:dyDescent="0.25">
      <c r="B285" s="17"/>
      <c r="C285" s="17"/>
      <c r="D285" s="80"/>
      <c r="E285" s="630" t="s">
        <v>214</v>
      </c>
      <c r="F285" s="1223" t="str">
        <f>Translations!$B$247</f>
        <v>This information is relevant for the heat balance (sheet "E_EnergyFlows", section II)</v>
      </c>
      <c r="G285" s="1176"/>
      <c r="H285" s="1176"/>
      <c r="I285" s="1176"/>
      <c r="J285" s="1176"/>
      <c r="K285" s="1176"/>
      <c r="L285" s="1176"/>
      <c r="M285" s="1176"/>
      <c r="N285" s="1176"/>
      <c r="O285" s="8"/>
    </row>
    <row r="286" spans="2:15" x14ac:dyDescent="0.25">
      <c r="B286" s="17"/>
      <c r="C286" s="17"/>
      <c r="D286" s="80"/>
      <c r="E286" s="1314" t="s">
        <v>277</v>
      </c>
      <c r="F286" s="1195"/>
      <c r="G286" s="1195"/>
      <c r="H286" s="1195"/>
      <c r="I286" s="1195"/>
      <c r="J286" s="1195"/>
      <c r="K286" s="1195"/>
      <c r="L286" s="1195"/>
      <c r="M286" s="1195"/>
      <c r="N286" s="1195"/>
      <c r="O286" s="8"/>
    </row>
    <row r="287" spans="2:15" x14ac:dyDescent="0.25">
      <c r="B287" s="17"/>
      <c r="C287" s="17"/>
      <c r="D287" s="80"/>
      <c r="E287" s="630" t="s">
        <v>214</v>
      </c>
      <c r="F287" s="1223" t="str">
        <f>Translations!$B$249</f>
        <v>Measurable heat</v>
      </c>
      <c r="G287" s="1176"/>
      <c r="H287" s="1176"/>
      <c r="I287" s="1176"/>
      <c r="J287" s="1176"/>
      <c r="K287" s="1176"/>
      <c r="L287" s="1176"/>
      <c r="M287" s="1176"/>
      <c r="N287" s="1176"/>
      <c r="O287" s="8"/>
    </row>
    <row r="288" spans="2:15" x14ac:dyDescent="0.25">
      <c r="B288" s="17"/>
      <c r="C288" s="17"/>
      <c r="D288" s="80"/>
      <c r="E288" s="630" t="s">
        <v>214</v>
      </c>
      <c r="F288" s="1223" t="str">
        <f>Translations!$B$250</f>
        <v>Waste gas</v>
      </c>
      <c r="G288" s="1176"/>
      <c r="H288" s="1176"/>
      <c r="I288" s="1176"/>
      <c r="J288" s="1176"/>
      <c r="K288" s="1176"/>
      <c r="L288" s="1176"/>
      <c r="M288" s="1176"/>
      <c r="N288" s="1176"/>
      <c r="O288" s="8"/>
    </row>
    <row r="289" spans="2:18" x14ac:dyDescent="0.25">
      <c r="B289" s="17"/>
      <c r="C289" s="17"/>
      <c r="D289" s="80"/>
      <c r="E289" s="630" t="s">
        <v>214</v>
      </c>
      <c r="F289" s="1223" t="str">
        <f>Translations!$B$251</f>
        <v>Transferred CO2</v>
      </c>
      <c r="G289" s="1176"/>
      <c r="H289" s="1176"/>
      <c r="I289" s="1176"/>
      <c r="J289" s="1176"/>
      <c r="K289" s="1176"/>
      <c r="L289" s="1176"/>
      <c r="M289" s="1176"/>
      <c r="N289" s="1176"/>
      <c r="O289" s="8"/>
    </row>
    <row r="290" spans="2:18" ht="12.75" customHeight="1" x14ac:dyDescent="0.25">
      <c r="B290" s="17"/>
      <c r="C290" s="17"/>
      <c r="D290" s="80"/>
      <c r="E290" s="630" t="s">
        <v>214</v>
      </c>
      <c r="F290" s="1223" t="str">
        <f>Translations!$B$252</f>
        <v>Intermediate products covered by product benchmarks (Sections 1.6 and 3.1(l) of Annex IV of the FAR)</v>
      </c>
      <c r="G290" s="1176"/>
      <c r="H290" s="1176"/>
      <c r="I290" s="1176"/>
      <c r="J290" s="1176"/>
      <c r="K290" s="1176"/>
      <c r="L290" s="1176"/>
      <c r="M290" s="1176"/>
      <c r="N290" s="1176"/>
      <c r="O290" s="8"/>
    </row>
    <row r="291" spans="2:18" x14ac:dyDescent="0.25">
      <c r="B291" s="17"/>
      <c r="C291" s="17"/>
      <c r="D291" s="80"/>
      <c r="E291" s="1314" t="s">
        <v>278</v>
      </c>
      <c r="F291" s="1195"/>
      <c r="G291" s="1195"/>
      <c r="H291" s="1195"/>
      <c r="I291" s="1195"/>
      <c r="J291" s="1195"/>
      <c r="K291" s="1195"/>
      <c r="L291" s="1195"/>
      <c r="M291" s="1195"/>
      <c r="N291" s="1195"/>
      <c r="O291" s="8"/>
    </row>
    <row r="292" spans="2:18" x14ac:dyDescent="0.25">
      <c r="B292" s="17"/>
      <c r="C292" s="17"/>
      <c r="D292" s="80"/>
      <c r="E292" s="630" t="s">
        <v>214</v>
      </c>
      <c r="F292" s="1223" t="str">
        <f>Translations!$B$254</f>
        <v>Import (to this installation)</v>
      </c>
      <c r="G292" s="1176"/>
      <c r="H292" s="1176"/>
      <c r="I292" s="1176"/>
      <c r="J292" s="1176"/>
      <c r="K292" s="1176"/>
      <c r="L292" s="1176"/>
      <c r="M292" s="1176"/>
      <c r="N292" s="1176"/>
      <c r="O292" s="8"/>
    </row>
    <row r="293" spans="2:18" x14ac:dyDescent="0.25">
      <c r="B293" s="17"/>
      <c r="C293" s="17"/>
      <c r="D293" s="80"/>
      <c r="E293" s="630" t="s">
        <v>214</v>
      </c>
      <c r="F293" s="1223" t="str">
        <f>Translations!$B$255</f>
        <v>Export (from this installation)</v>
      </c>
      <c r="G293" s="1176"/>
      <c r="H293" s="1176"/>
      <c r="I293" s="1176"/>
      <c r="J293" s="1176"/>
      <c r="K293" s="1176"/>
      <c r="L293" s="1176"/>
      <c r="M293" s="1176"/>
      <c r="N293" s="1176"/>
      <c r="O293" s="8"/>
    </row>
    <row r="294" spans="2:18" ht="5.0999999999999996" customHeight="1" x14ac:dyDescent="0.25">
      <c r="B294" s="8"/>
      <c r="C294" s="8"/>
      <c r="D294" s="202"/>
      <c r="E294" s="8"/>
      <c r="F294" s="8"/>
      <c r="G294" s="8"/>
      <c r="H294" s="8"/>
      <c r="I294" s="8"/>
      <c r="J294" s="8"/>
      <c r="K294" s="8"/>
      <c r="L294" s="8"/>
      <c r="M294" s="8"/>
      <c r="N294" s="8"/>
      <c r="O294" s="8"/>
      <c r="P294" s="190"/>
    </row>
    <row r="295" spans="2:18" ht="13.8" thickBot="1" x14ac:dyDescent="0.3">
      <c r="B295" s="17"/>
      <c r="C295" s="17"/>
      <c r="D295" s="80"/>
      <c r="E295" s="682" t="str">
        <f>Translations!$B$220</f>
        <v>No.</v>
      </c>
      <c r="F295" s="1338" t="str">
        <f>Translations!$B$256</f>
        <v>Name of installation or entity</v>
      </c>
      <c r="G295" s="1329"/>
      <c r="H295" s="1330"/>
      <c r="I295" s="1338" t="s">
        <v>279</v>
      </c>
      <c r="J295" s="1330"/>
      <c r="K295" s="1338" t="s">
        <v>280</v>
      </c>
      <c r="L295" s="1330"/>
      <c r="M295" s="1338" t="s">
        <v>281</v>
      </c>
      <c r="N295" s="1329"/>
      <c r="O295" s="8"/>
      <c r="P295" s="683"/>
      <c r="Q295" s="683" t="s">
        <v>268</v>
      </c>
      <c r="R295" s="572" t="s">
        <v>282</v>
      </c>
    </row>
    <row r="296" spans="2:18" x14ac:dyDescent="0.25">
      <c r="B296" s="17"/>
      <c r="C296" s="17"/>
      <c r="D296" s="80"/>
      <c r="E296" s="684">
        <v>1</v>
      </c>
      <c r="F296" s="1322"/>
      <c r="G296" s="1324"/>
      <c r="H296" s="1323"/>
      <c r="I296" s="1322"/>
      <c r="J296" s="1372"/>
      <c r="K296" s="1322"/>
      <c r="L296" s="1323"/>
      <c r="M296" s="1361"/>
      <c r="N296" s="1371"/>
      <c r="O296" s="8"/>
      <c r="P296" s="683"/>
      <c r="Q296" s="661" t="str">
        <f>IF(NOT(ISBLANK(F296)),COUNTA($F$296:$F296),"")</f>
        <v/>
      </c>
      <c r="R296" s="661" t="str">
        <f t="shared" ref="R296:R305" si="13">IF(ISBLANK(I296),"",OR(MATCH(I296,EUconst_ConnectedEntityTypes,0)=1,MATCH(I296,EUconst_ConnectedEntityTypes,0)=3))</f>
        <v/>
      </c>
    </row>
    <row r="297" spans="2:18" x14ac:dyDescent="0.25">
      <c r="B297" s="17"/>
      <c r="C297" s="17"/>
      <c r="D297" s="80"/>
      <c r="E297" s="685">
        <f>E296+1</f>
        <v>2</v>
      </c>
      <c r="F297" s="1300"/>
      <c r="G297" s="1325"/>
      <c r="H297" s="1301"/>
      <c r="I297" s="1300"/>
      <c r="J297" s="1331"/>
      <c r="K297" s="1300"/>
      <c r="L297" s="1301"/>
      <c r="M297" s="1268"/>
      <c r="N297" s="1332"/>
      <c r="O297" s="8"/>
      <c r="P297" s="683"/>
      <c r="Q297" s="666" t="str">
        <f>IF(NOT(ISBLANK(F297)),COUNTA($F$296:$F297),"")</f>
        <v/>
      </c>
      <c r="R297" s="666" t="str">
        <f t="shared" si="13"/>
        <v/>
      </c>
    </row>
    <row r="298" spans="2:18" x14ac:dyDescent="0.25">
      <c r="B298" s="17"/>
      <c r="C298" s="17"/>
      <c r="D298" s="80"/>
      <c r="E298" s="685">
        <f t="shared" ref="E298:E305" si="14">E297+1</f>
        <v>3</v>
      </c>
      <c r="F298" s="1300"/>
      <c r="G298" s="1325"/>
      <c r="H298" s="1301"/>
      <c r="I298" s="1300"/>
      <c r="J298" s="1331"/>
      <c r="K298" s="1300"/>
      <c r="L298" s="1301"/>
      <c r="M298" s="1268"/>
      <c r="N298" s="1332"/>
      <c r="O298" s="8"/>
      <c r="P298" s="683"/>
      <c r="Q298" s="666" t="str">
        <f>IF(NOT(ISBLANK(F298)),COUNTA($F$296:$F298),"")</f>
        <v/>
      </c>
      <c r="R298" s="666" t="str">
        <f t="shared" si="13"/>
        <v/>
      </c>
    </row>
    <row r="299" spans="2:18" x14ac:dyDescent="0.25">
      <c r="B299" s="17"/>
      <c r="C299" s="17"/>
      <c r="D299" s="80"/>
      <c r="E299" s="685">
        <f t="shared" si="14"/>
        <v>4</v>
      </c>
      <c r="F299" s="1300"/>
      <c r="G299" s="1325"/>
      <c r="H299" s="1301"/>
      <c r="I299" s="1300"/>
      <c r="J299" s="1331"/>
      <c r="K299" s="1300"/>
      <c r="L299" s="1301"/>
      <c r="M299" s="1268"/>
      <c r="N299" s="1332"/>
      <c r="O299" s="8"/>
      <c r="P299" s="683"/>
      <c r="Q299" s="666" t="str">
        <f>IF(NOT(ISBLANK(F299)),COUNTA($F$296:$F299),"")</f>
        <v/>
      </c>
      <c r="R299" s="666" t="str">
        <f t="shared" si="13"/>
        <v/>
      </c>
    </row>
    <row r="300" spans="2:18" x14ac:dyDescent="0.25">
      <c r="B300" s="17"/>
      <c r="C300" s="17"/>
      <c r="D300" s="80"/>
      <c r="E300" s="685">
        <f t="shared" si="14"/>
        <v>5</v>
      </c>
      <c r="F300" s="1300"/>
      <c r="G300" s="1325"/>
      <c r="H300" s="1301"/>
      <c r="I300" s="1300"/>
      <c r="J300" s="1331"/>
      <c r="K300" s="1300"/>
      <c r="L300" s="1301"/>
      <c r="M300" s="1268"/>
      <c r="N300" s="1332"/>
      <c r="O300" s="8"/>
      <c r="P300" s="683"/>
      <c r="Q300" s="666" t="str">
        <f>IF(NOT(ISBLANK(F300)),COUNTA($F$296:$F300),"")</f>
        <v/>
      </c>
      <c r="R300" s="666" t="str">
        <f t="shared" si="13"/>
        <v/>
      </c>
    </row>
    <row r="301" spans="2:18" x14ac:dyDescent="0.25">
      <c r="B301" s="17"/>
      <c r="C301" s="17"/>
      <c r="D301" s="80"/>
      <c r="E301" s="685">
        <f t="shared" si="14"/>
        <v>6</v>
      </c>
      <c r="F301" s="1300"/>
      <c r="G301" s="1325"/>
      <c r="H301" s="1301"/>
      <c r="I301" s="1300"/>
      <c r="J301" s="1331"/>
      <c r="K301" s="1300"/>
      <c r="L301" s="1301"/>
      <c r="M301" s="1268"/>
      <c r="N301" s="1332"/>
      <c r="O301" s="8"/>
      <c r="P301" s="683"/>
      <c r="Q301" s="666" t="str">
        <f>IF(NOT(ISBLANK(F301)),COUNTA($F$296:$F301),"")</f>
        <v/>
      </c>
      <c r="R301" s="666" t="str">
        <f t="shared" si="13"/>
        <v/>
      </c>
    </row>
    <row r="302" spans="2:18" x14ac:dyDescent="0.25">
      <c r="B302" s="17"/>
      <c r="C302" s="17"/>
      <c r="D302" s="80"/>
      <c r="E302" s="685">
        <f t="shared" si="14"/>
        <v>7</v>
      </c>
      <c r="F302" s="1300"/>
      <c r="G302" s="1325"/>
      <c r="H302" s="1301"/>
      <c r="I302" s="1300"/>
      <c r="J302" s="1331"/>
      <c r="K302" s="1300"/>
      <c r="L302" s="1301"/>
      <c r="M302" s="1268"/>
      <c r="N302" s="1332"/>
      <c r="O302" s="8"/>
      <c r="P302" s="683"/>
      <c r="Q302" s="666" t="str">
        <f>IF(NOT(ISBLANK(F302)),COUNTA($F$296:$F302),"")</f>
        <v/>
      </c>
      <c r="R302" s="666" t="str">
        <f t="shared" si="13"/>
        <v/>
      </c>
    </row>
    <row r="303" spans="2:18" x14ac:dyDescent="0.25">
      <c r="B303" s="17"/>
      <c r="C303" s="17"/>
      <c r="D303" s="80"/>
      <c r="E303" s="685">
        <f t="shared" si="14"/>
        <v>8</v>
      </c>
      <c r="F303" s="1300"/>
      <c r="G303" s="1325"/>
      <c r="H303" s="1301"/>
      <c r="I303" s="1300"/>
      <c r="J303" s="1331"/>
      <c r="K303" s="1300"/>
      <c r="L303" s="1301"/>
      <c r="M303" s="1268"/>
      <c r="N303" s="1332"/>
      <c r="O303" s="8"/>
      <c r="P303" s="683"/>
      <c r="Q303" s="666" t="str">
        <f>IF(NOT(ISBLANK(F303)),COUNTA($F$296:$F303),"")</f>
        <v/>
      </c>
      <c r="R303" s="666" t="str">
        <f t="shared" si="13"/>
        <v/>
      </c>
    </row>
    <row r="304" spans="2:18" x14ac:dyDescent="0.25">
      <c r="B304" s="17"/>
      <c r="C304" s="17"/>
      <c r="D304" s="80"/>
      <c r="E304" s="685">
        <f t="shared" si="14"/>
        <v>9</v>
      </c>
      <c r="F304" s="1300"/>
      <c r="G304" s="1325"/>
      <c r="H304" s="1301"/>
      <c r="I304" s="1300"/>
      <c r="J304" s="1331"/>
      <c r="K304" s="1300"/>
      <c r="L304" s="1301"/>
      <c r="M304" s="1268"/>
      <c r="N304" s="1332"/>
      <c r="O304" s="8"/>
      <c r="P304" s="683"/>
      <c r="Q304" s="666" t="str">
        <f>IF(NOT(ISBLANK(F304)),COUNTA($F$296:$F304),"")</f>
        <v/>
      </c>
      <c r="R304" s="666" t="str">
        <f t="shared" si="13"/>
        <v/>
      </c>
    </row>
    <row r="305" spans="2:18" ht="13.8" thickBot="1" x14ac:dyDescent="0.3">
      <c r="B305" s="17"/>
      <c r="C305" s="17"/>
      <c r="D305" s="80"/>
      <c r="E305" s="686">
        <f t="shared" si="14"/>
        <v>10</v>
      </c>
      <c r="F305" s="1319"/>
      <c r="G305" s="1320"/>
      <c r="H305" s="1321"/>
      <c r="I305" s="1319"/>
      <c r="J305" s="1342"/>
      <c r="K305" s="1319"/>
      <c r="L305" s="1321"/>
      <c r="M305" s="1336"/>
      <c r="N305" s="1337"/>
      <c r="O305" s="8"/>
      <c r="P305" s="683"/>
      <c r="Q305" s="670" t="str">
        <f>IF(NOT(ISBLANK(F305)),COUNTA($F$296:$F305),"")</f>
        <v/>
      </c>
      <c r="R305" s="670" t="str">
        <f t="shared" si="13"/>
        <v/>
      </c>
    </row>
    <row r="306" spans="2:18" x14ac:dyDescent="0.25">
      <c r="B306" s="17"/>
      <c r="C306" s="17"/>
      <c r="D306" s="80"/>
      <c r="E306" s="687"/>
      <c r="F306" s="687"/>
      <c r="G306" s="687"/>
      <c r="H306" s="687"/>
      <c r="I306" s="687"/>
      <c r="J306" s="687"/>
      <c r="K306" s="687"/>
      <c r="L306" s="687"/>
      <c r="M306" s="687"/>
      <c r="N306" s="687"/>
      <c r="O306" s="8"/>
    </row>
    <row r="307" spans="2:18" x14ac:dyDescent="0.25">
      <c r="B307" s="17"/>
      <c r="C307" s="17"/>
      <c r="D307" s="15" t="s">
        <v>192</v>
      </c>
      <c r="E307" s="1165" t="str">
        <f>Translations!$B$260</f>
        <v>Please enter here further information regarding those connected installations, if relevant:</v>
      </c>
      <c r="F307" s="1176"/>
      <c r="G307" s="1176"/>
      <c r="H307" s="1176"/>
      <c r="I307" s="1176"/>
      <c r="J307" s="1176"/>
      <c r="K307" s="1176"/>
      <c r="L307" s="1176"/>
      <c r="M307" s="1176"/>
      <c r="N307" s="1176"/>
      <c r="O307" s="8"/>
    </row>
    <row r="308" spans="2:18" ht="25.5" customHeight="1" x14ac:dyDescent="0.25">
      <c r="B308" s="17"/>
      <c r="C308" s="17"/>
      <c r="D308" s="17"/>
      <c r="E308" s="1223" t="s">
        <v>283</v>
      </c>
      <c r="F308" s="1176"/>
      <c r="G308" s="1176"/>
      <c r="H308" s="1176"/>
      <c r="I308" s="1176"/>
      <c r="J308" s="1176"/>
      <c r="K308" s="1176"/>
      <c r="L308" s="1176"/>
      <c r="M308" s="1176"/>
      <c r="N308" s="1176"/>
      <c r="O308" s="8"/>
    </row>
    <row r="309" spans="2:18" ht="12.75" hidden="1" customHeight="1" x14ac:dyDescent="0.25">
      <c r="B309" s="17"/>
      <c r="C309" s="17"/>
      <c r="D309" s="17"/>
      <c r="E309" s="1241" t="str">
        <f>Translations!$B$262</f>
        <v>For entities not covered by the EU ETS, contact details are mandatory, but the Registry ID is not required.</v>
      </c>
      <c r="F309" s="1241"/>
      <c r="G309" s="1241"/>
      <c r="H309" s="1241"/>
      <c r="I309" s="1241"/>
      <c r="J309" s="1241"/>
      <c r="K309" s="1241"/>
      <c r="L309" s="1241"/>
      <c r="M309" s="1241"/>
      <c r="N309" s="1241"/>
      <c r="O309" s="8"/>
    </row>
    <row r="310" spans="2:18" ht="25.5" customHeight="1" x14ac:dyDescent="0.25">
      <c r="B310" s="17"/>
      <c r="C310" s="17"/>
      <c r="D310" s="17"/>
      <c r="E310" s="688" t="str">
        <f>Translations!$B$220</f>
        <v>No.</v>
      </c>
      <c r="F310" s="1338" t="s">
        <v>284</v>
      </c>
      <c r="G310" s="1330"/>
      <c r="H310" s="1338" t="str">
        <f>Translations!$B$264</f>
        <v>Name of contact person</v>
      </c>
      <c r="I310" s="1330"/>
      <c r="J310" s="1328" t="s">
        <v>285</v>
      </c>
      <c r="K310" s="1329"/>
      <c r="L310" s="1330"/>
      <c r="M310" s="1338" t="s">
        <v>286</v>
      </c>
      <c r="N310" s="1345"/>
      <c r="O310" s="8"/>
    </row>
    <row r="311" spans="2:18" x14ac:dyDescent="0.25">
      <c r="B311" s="17"/>
      <c r="C311" s="17"/>
      <c r="D311" s="17"/>
      <c r="E311" s="689">
        <v>1</v>
      </c>
      <c r="F311" s="1343"/>
      <c r="G311" s="1344"/>
      <c r="H311" s="1322"/>
      <c r="I311" s="1323"/>
      <c r="J311" s="1322"/>
      <c r="K311" s="1324"/>
      <c r="L311" s="1323"/>
      <c r="M311" s="1246"/>
      <c r="N311" s="1346"/>
      <c r="O311" s="8"/>
    </row>
    <row r="312" spans="2:18" x14ac:dyDescent="0.25">
      <c r="B312" s="17"/>
      <c r="C312" s="17"/>
      <c r="D312" s="17"/>
      <c r="E312" s="685">
        <f>E311+1</f>
        <v>2</v>
      </c>
      <c r="F312" s="1298"/>
      <c r="G312" s="1299"/>
      <c r="H312" s="1300"/>
      <c r="I312" s="1301"/>
      <c r="J312" s="1300"/>
      <c r="K312" s="1325"/>
      <c r="L312" s="1301"/>
      <c r="M312" s="1296"/>
      <c r="N312" s="1297"/>
      <c r="O312" s="8"/>
    </row>
    <row r="313" spans="2:18" x14ac:dyDescent="0.25">
      <c r="B313" s="17"/>
      <c r="C313" s="17"/>
      <c r="D313" s="17"/>
      <c r="E313" s="685">
        <f t="shared" ref="E313:E320" si="15">E312+1</f>
        <v>3</v>
      </c>
      <c r="F313" s="1298"/>
      <c r="G313" s="1299"/>
      <c r="H313" s="1300"/>
      <c r="I313" s="1301"/>
      <c r="J313" s="1300"/>
      <c r="K313" s="1325"/>
      <c r="L313" s="1301"/>
      <c r="M313" s="1296"/>
      <c r="N313" s="1297"/>
      <c r="O313" s="8"/>
    </row>
    <row r="314" spans="2:18" x14ac:dyDescent="0.25">
      <c r="B314" s="17"/>
      <c r="C314" s="17"/>
      <c r="D314" s="17"/>
      <c r="E314" s="685">
        <f t="shared" si="15"/>
        <v>4</v>
      </c>
      <c r="F314" s="1298"/>
      <c r="G314" s="1299"/>
      <c r="H314" s="1300"/>
      <c r="I314" s="1301"/>
      <c r="J314" s="1300"/>
      <c r="K314" s="1325"/>
      <c r="L314" s="1301"/>
      <c r="M314" s="1296"/>
      <c r="N314" s="1297"/>
      <c r="O314" s="8"/>
    </row>
    <row r="315" spans="2:18" x14ac:dyDescent="0.25">
      <c r="B315" s="17"/>
      <c r="C315" s="17"/>
      <c r="D315" s="17"/>
      <c r="E315" s="685">
        <f t="shared" si="15"/>
        <v>5</v>
      </c>
      <c r="F315" s="1298"/>
      <c r="G315" s="1299"/>
      <c r="H315" s="1300"/>
      <c r="I315" s="1301"/>
      <c r="J315" s="1300"/>
      <c r="K315" s="1325"/>
      <c r="L315" s="1301"/>
      <c r="M315" s="1296"/>
      <c r="N315" s="1297"/>
      <c r="O315" s="8"/>
    </row>
    <row r="316" spans="2:18" x14ac:dyDescent="0.25">
      <c r="B316" s="17"/>
      <c r="C316" s="17"/>
      <c r="D316" s="17"/>
      <c r="E316" s="685">
        <f t="shared" si="15"/>
        <v>6</v>
      </c>
      <c r="F316" s="1298"/>
      <c r="G316" s="1299"/>
      <c r="H316" s="1300"/>
      <c r="I316" s="1301"/>
      <c r="J316" s="1300"/>
      <c r="K316" s="1325"/>
      <c r="L316" s="1301"/>
      <c r="M316" s="1296"/>
      <c r="N316" s="1297"/>
      <c r="O316" s="8"/>
    </row>
    <row r="317" spans="2:18" x14ac:dyDescent="0.25">
      <c r="B317" s="17"/>
      <c r="C317" s="17"/>
      <c r="D317" s="17"/>
      <c r="E317" s="685">
        <f t="shared" si="15"/>
        <v>7</v>
      </c>
      <c r="F317" s="1298"/>
      <c r="G317" s="1299"/>
      <c r="H317" s="1300"/>
      <c r="I317" s="1301"/>
      <c r="J317" s="1300"/>
      <c r="K317" s="1325"/>
      <c r="L317" s="1301"/>
      <c r="M317" s="1296"/>
      <c r="N317" s="1297"/>
      <c r="O317" s="8"/>
    </row>
    <row r="318" spans="2:18" x14ac:dyDescent="0.25">
      <c r="B318" s="17"/>
      <c r="C318" s="17"/>
      <c r="D318" s="17"/>
      <c r="E318" s="685">
        <f t="shared" si="15"/>
        <v>8</v>
      </c>
      <c r="F318" s="1298"/>
      <c r="G318" s="1299"/>
      <c r="H318" s="1300"/>
      <c r="I318" s="1301"/>
      <c r="J318" s="1300"/>
      <c r="K318" s="1325"/>
      <c r="L318" s="1301"/>
      <c r="M318" s="1296"/>
      <c r="N318" s="1297"/>
      <c r="O318" s="8"/>
    </row>
    <row r="319" spans="2:18" x14ac:dyDescent="0.25">
      <c r="B319" s="17"/>
      <c r="C319" s="17"/>
      <c r="D319" s="17"/>
      <c r="E319" s="685">
        <f t="shared" si="15"/>
        <v>9</v>
      </c>
      <c r="F319" s="1298"/>
      <c r="G319" s="1299"/>
      <c r="H319" s="1300"/>
      <c r="I319" s="1301"/>
      <c r="J319" s="1300"/>
      <c r="K319" s="1325"/>
      <c r="L319" s="1301"/>
      <c r="M319" s="1296"/>
      <c r="N319" s="1297"/>
      <c r="O319" s="8"/>
    </row>
    <row r="320" spans="2:18" x14ac:dyDescent="0.25">
      <c r="B320" s="17"/>
      <c r="C320" s="17"/>
      <c r="D320" s="17"/>
      <c r="E320" s="686">
        <f t="shared" si="15"/>
        <v>10</v>
      </c>
      <c r="F320" s="1317"/>
      <c r="G320" s="1318"/>
      <c r="H320" s="1319"/>
      <c r="I320" s="1321"/>
      <c r="J320" s="1319"/>
      <c r="K320" s="1320"/>
      <c r="L320" s="1321"/>
      <c r="M320" s="1326"/>
      <c r="N320" s="1327"/>
      <c r="O320" s="8"/>
    </row>
    <row r="321" spans="1:24" x14ac:dyDescent="0.25">
      <c r="B321" s="17"/>
      <c r="C321" s="17"/>
      <c r="D321" s="17"/>
      <c r="E321" s="687"/>
      <c r="F321" s="687"/>
      <c r="G321" s="687"/>
      <c r="H321" s="687"/>
      <c r="I321" s="687"/>
      <c r="J321" s="687"/>
      <c r="K321" s="687"/>
      <c r="L321" s="687"/>
      <c r="M321" s="687"/>
      <c r="N321" s="687"/>
      <c r="O321" s="8"/>
    </row>
    <row r="322" spans="1:24" x14ac:dyDescent="0.25">
      <c r="B322" s="17"/>
      <c r="C322" s="17"/>
      <c r="D322" s="1180" t="str">
        <f>Translations!$B$73</f>
        <v xml:space="preserve">&lt;&lt;&lt; Click here to proceed to next sheet &gt;&gt;&gt; </v>
      </c>
      <c r="E322" s="1180"/>
      <c r="F322" s="1180"/>
      <c r="G322" s="1180"/>
      <c r="H322" s="1180"/>
      <c r="I322" s="1180"/>
      <c r="J322" s="1180"/>
      <c r="K322" s="1180"/>
      <c r="L322" s="1180"/>
      <c r="M322" s="1180"/>
      <c r="N322" s="1180"/>
      <c r="O322" s="8"/>
    </row>
    <row r="323" spans="1:24" x14ac:dyDescent="0.25">
      <c r="B323" s="17"/>
      <c r="C323" s="17"/>
      <c r="D323" s="17"/>
      <c r="E323" s="17"/>
      <c r="F323" s="17"/>
      <c r="G323" s="17"/>
      <c r="H323" s="17"/>
      <c r="I323" s="17"/>
      <c r="J323" s="17"/>
      <c r="K323" s="17"/>
      <c r="L323" s="17"/>
      <c r="M323" s="17"/>
      <c r="N323" s="17"/>
      <c r="O323" s="8"/>
    </row>
    <row r="324" spans="1:24" hidden="1" x14ac:dyDescent="0.25">
      <c r="A324" s="145" t="s">
        <v>187</v>
      </c>
      <c r="B324" s="145" t="s">
        <v>287</v>
      </c>
      <c r="C324" s="145" t="s">
        <v>287</v>
      </c>
      <c r="D324" s="145" t="s">
        <v>287</v>
      </c>
      <c r="E324" s="145" t="s">
        <v>287</v>
      </c>
      <c r="F324" s="145" t="s">
        <v>287</v>
      </c>
      <c r="G324" s="145" t="s">
        <v>287</v>
      </c>
      <c r="H324" s="145" t="s">
        <v>287</v>
      </c>
      <c r="I324" s="145" t="s">
        <v>287</v>
      </c>
      <c r="J324" s="145" t="s">
        <v>287</v>
      </c>
      <c r="K324" s="145" t="s">
        <v>287</v>
      </c>
      <c r="L324" s="145" t="s">
        <v>287</v>
      </c>
      <c r="M324" s="145" t="s">
        <v>287</v>
      </c>
      <c r="N324" s="145" t="s">
        <v>287</v>
      </c>
      <c r="O324" s="145" t="s">
        <v>287</v>
      </c>
      <c r="P324" s="150" t="s">
        <v>287</v>
      </c>
      <c r="Q324" s="150" t="s">
        <v>287</v>
      </c>
      <c r="R324" s="150" t="s">
        <v>287</v>
      </c>
      <c r="S324" s="150" t="s">
        <v>287</v>
      </c>
      <c r="T324" s="150" t="s">
        <v>287</v>
      </c>
      <c r="U324" s="150" t="s">
        <v>287</v>
      </c>
      <c r="V324" s="150" t="s">
        <v>287</v>
      </c>
      <c r="W324" s="150" t="s">
        <v>287</v>
      </c>
      <c r="X324" s="150" t="s">
        <v>287</v>
      </c>
    </row>
    <row r="325" spans="1:24" hidden="1" x14ac:dyDescent="0.25">
      <c r="A325" s="145" t="s">
        <v>187</v>
      </c>
      <c r="B325" s="220"/>
      <c r="C325" s="220"/>
      <c r="D325" s="220"/>
      <c r="E325" s="220"/>
      <c r="F325" s="220"/>
      <c r="G325" s="220"/>
      <c r="H325" s="220"/>
      <c r="I325" s="220"/>
      <c r="J325" s="220"/>
      <c r="K325" s="220"/>
      <c r="L325" s="220"/>
      <c r="M325" s="220"/>
      <c r="N325" s="220"/>
      <c r="O325" s="220"/>
    </row>
    <row r="326" spans="1:24" ht="13.8" hidden="1" thickBot="1" x14ac:dyDescent="0.3">
      <c r="A326" s="145" t="s">
        <v>187</v>
      </c>
      <c r="B326" s="220"/>
      <c r="C326" s="220"/>
      <c r="D326" s="2" t="s">
        <v>288</v>
      </c>
      <c r="E326" s="220"/>
      <c r="F326" s="220"/>
      <c r="G326" s="220"/>
      <c r="H326" s="220"/>
      <c r="I326" s="220" t="s">
        <v>289</v>
      </c>
      <c r="J326" s="220"/>
      <c r="K326" s="220"/>
      <c r="L326" s="220"/>
      <c r="M326" s="220"/>
      <c r="N326" s="220"/>
      <c r="O326" s="220"/>
    </row>
    <row r="327" spans="1:24" hidden="1" x14ac:dyDescent="0.25">
      <c r="A327" s="145" t="s">
        <v>187</v>
      </c>
      <c r="B327" s="220"/>
      <c r="C327" s="220"/>
      <c r="D327" s="2"/>
      <c r="E327" s="55" t="s">
        <v>290</v>
      </c>
      <c r="F327" s="690"/>
      <c r="G327" s="690"/>
      <c r="H327" s="690"/>
      <c r="I327" s="690"/>
      <c r="J327" s="690"/>
      <c r="K327" s="690"/>
      <c r="L327" s="690"/>
      <c r="M327" s="690"/>
      <c r="N327" s="691"/>
      <c r="O327" s="220"/>
    </row>
    <row r="328" spans="1:24" hidden="1" x14ac:dyDescent="0.25">
      <c r="A328" s="145" t="s">
        <v>187</v>
      </c>
      <c r="B328" s="220"/>
      <c r="C328" s="220"/>
      <c r="D328" s="220"/>
      <c r="E328" s="49" t="s">
        <v>291</v>
      </c>
      <c r="F328" s="47"/>
      <c r="G328" s="47"/>
      <c r="H328" s="47"/>
      <c r="I328" s="48">
        <v>1</v>
      </c>
      <c r="J328" s="48">
        <v>2</v>
      </c>
      <c r="K328" s="48">
        <v>3</v>
      </c>
      <c r="L328" s="48">
        <v>4</v>
      </c>
      <c r="M328" s="48">
        <v>5</v>
      </c>
      <c r="N328" s="50"/>
      <c r="O328" s="220"/>
    </row>
    <row r="329" spans="1:24" hidden="1" x14ac:dyDescent="0.25">
      <c r="A329" s="145" t="s">
        <v>187</v>
      </c>
      <c r="B329" s="220"/>
      <c r="C329" s="220"/>
      <c r="D329" s="220"/>
      <c r="E329" s="49" t="s">
        <v>292</v>
      </c>
      <c r="F329" s="47"/>
      <c r="G329" s="47"/>
      <c r="H329" s="47"/>
      <c r="I329" s="48">
        <f>INDEX(EUconst_ReportingYears,I328)</f>
        <v>2014</v>
      </c>
      <c r="J329" s="48">
        <f>INDEX(EUconst_ReportingYears,J328)</f>
        <v>2015</v>
      </c>
      <c r="K329" s="48">
        <f>INDEX(EUconst_ReportingYears,K328)</f>
        <v>2016</v>
      </c>
      <c r="L329" s="48">
        <f>INDEX(EUconst_ReportingYears,L328)</f>
        <v>2017</v>
      </c>
      <c r="M329" s="48">
        <f>INDEX(EUconst_ReportingYears,M328)</f>
        <v>2018</v>
      </c>
      <c r="N329" s="50"/>
      <c r="O329" s="220"/>
    </row>
    <row r="330" spans="1:24" hidden="1" x14ac:dyDescent="0.25">
      <c r="A330" s="145" t="s">
        <v>187</v>
      </c>
      <c r="B330" s="220"/>
      <c r="C330" s="220"/>
      <c r="D330" s="220"/>
      <c r="E330" s="49" t="s">
        <v>293</v>
      </c>
      <c r="F330" s="47"/>
      <c r="G330" s="47"/>
      <c r="H330" s="47"/>
      <c r="I330" s="48">
        <f>IF(CNTR_BaselinePeriod=EUconst_NA,I329,INDEX(EUconst_ReportingYears,I328)+(CNTR_BaselinePeriod-1)*5)</f>
        <v>2019</v>
      </c>
      <c r="J330" s="48">
        <f>IF(CNTR_BaselinePeriod=EUconst_NA,J329,INDEX(EUconst_ReportingYears,J328)+(CNTR_BaselinePeriod-1)*5)</f>
        <v>2020</v>
      </c>
      <c r="K330" s="48">
        <f>IF(CNTR_BaselinePeriod=EUconst_NA,K329,INDEX(EUconst_ReportingYears,K328)+(CNTR_BaselinePeriod-1)*5)</f>
        <v>2021</v>
      </c>
      <c r="L330" s="48">
        <f>IF(CNTR_BaselinePeriod=EUconst_NA,L329,INDEX(EUconst_ReportingYears,L328)+(CNTR_BaselinePeriod-1)*5)</f>
        <v>2022</v>
      </c>
      <c r="M330" s="48">
        <f>IF(CNTR_BaselinePeriod=EUconst_NA,M329,INDEX(EUconst_ReportingYears,M328)+(CNTR_BaselinePeriod-1)*5)</f>
        <v>2023</v>
      </c>
      <c r="N330" s="50"/>
      <c r="O330" s="220"/>
    </row>
    <row r="331" spans="1:24" hidden="1" x14ac:dyDescent="0.25">
      <c r="A331" s="145" t="s">
        <v>187</v>
      </c>
      <c r="B331" s="220"/>
      <c r="C331" s="220"/>
      <c r="D331" s="220"/>
      <c r="E331" s="49" t="s">
        <v>294</v>
      </c>
      <c r="F331" s="47"/>
      <c r="G331" s="47"/>
      <c r="H331" s="47"/>
      <c r="I331" s="48">
        <v>1</v>
      </c>
      <c r="J331" s="48">
        <v>1</v>
      </c>
      <c r="K331" s="48">
        <v>1</v>
      </c>
      <c r="L331" s="48">
        <v>1</v>
      </c>
      <c r="M331" s="48">
        <v>1</v>
      </c>
      <c r="N331" s="50"/>
      <c r="O331" s="220"/>
    </row>
    <row r="332" spans="1:24" hidden="1" x14ac:dyDescent="0.25">
      <c r="A332" s="145" t="s">
        <v>187</v>
      </c>
      <c r="B332" s="220"/>
      <c r="C332" s="220"/>
      <c r="D332" s="220"/>
      <c r="E332" s="49" t="s">
        <v>295</v>
      </c>
      <c r="F332" s="47"/>
      <c r="G332" s="47"/>
      <c r="H332" s="47"/>
      <c r="I332" s="692" t="b">
        <v>1</v>
      </c>
      <c r="J332" s="692" t="b">
        <v>1</v>
      </c>
      <c r="K332" s="692" t="b">
        <v>1</v>
      </c>
      <c r="L332" s="692" t="b">
        <v>1</v>
      </c>
      <c r="M332" s="692" t="b">
        <v>1</v>
      </c>
      <c r="N332" s="693"/>
      <c r="O332" s="220"/>
    </row>
    <row r="333" spans="1:24" ht="13.8" hidden="1" thickBot="1" x14ac:dyDescent="0.3">
      <c r="A333" s="145" t="s">
        <v>187</v>
      </c>
      <c r="B333" s="220"/>
      <c r="C333" s="220"/>
      <c r="D333" s="220"/>
      <c r="E333" s="52" t="s">
        <v>296</v>
      </c>
      <c r="F333" s="53"/>
      <c r="G333" s="53"/>
      <c r="H333" s="53"/>
      <c r="I333" s="694" t="b">
        <f>IF(ISBLANK(INDEX(CNTR_BaslineYearRelevant,I328)),FALSE,INDEX(CNTR_BaslineYearRelevant,I328))</f>
        <v>0</v>
      </c>
      <c r="J333" s="694" t="b">
        <f>IF(ISBLANK(INDEX(CNTR_BaslineYearRelevant,J328)),FALSE,INDEX(CNTR_BaslineYearRelevant,J328))</f>
        <v>0</v>
      </c>
      <c r="K333" s="694" t="b">
        <f>IF(ISBLANK(INDEX(CNTR_BaslineYearRelevant,K328)),FALSE,INDEX(CNTR_BaslineYearRelevant,K328))</f>
        <v>0</v>
      </c>
      <c r="L333" s="694" t="b">
        <f>IF(ISBLANK(INDEX(CNTR_BaslineYearRelevant,L328)),FALSE,INDEX(CNTR_BaslineYearRelevant,L328))</f>
        <v>0</v>
      </c>
      <c r="M333" s="694" t="b">
        <f>IF(ISBLANK(INDEX(CNTR_BaslineYearRelevant,M328)),FALSE,INDEX(CNTR_BaslineYearRelevant,M328))</f>
        <v>0</v>
      </c>
      <c r="N333" s="695"/>
      <c r="O333" s="220"/>
    </row>
    <row r="334" spans="1:24" ht="13.8" hidden="1" thickBot="1" x14ac:dyDescent="0.3">
      <c r="A334" s="145" t="s">
        <v>187</v>
      </c>
      <c r="B334" s="220"/>
      <c r="C334" s="220"/>
      <c r="D334" s="220"/>
      <c r="E334" s="220"/>
      <c r="F334" s="220"/>
      <c r="G334" s="220"/>
      <c r="H334" s="220"/>
      <c r="I334" s="2"/>
      <c r="J334" s="2"/>
      <c r="K334" s="2"/>
      <c r="L334" s="2"/>
      <c r="M334" s="2"/>
      <c r="N334" s="2"/>
      <c r="O334" s="220"/>
    </row>
    <row r="335" spans="1:24" ht="13.8" hidden="1" thickBot="1" x14ac:dyDescent="0.3">
      <c r="A335" s="145" t="s">
        <v>187</v>
      </c>
      <c r="B335" s="220"/>
      <c r="C335" s="220"/>
      <c r="D335" s="220"/>
      <c r="E335" s="2" t="s">
        <v>297</v>
      </c>
      <c r="F335" s="220"/>
      <c r="G335" s="696" t="b">
        <f>0&lt;(COUNTA(J12,J15,J18,J20,J25,J34,J37,J38,J41,J42,J44,J47,J57,J58,J59,J60,J61,J62,J63,J64)+COUNTA(J68,J69,J70,J77,J78,J79,J91,J92,J93,J94,J95,J99,J100,J101,J105,J107,J106)+COUNTA(F115,F116,F117,F118,F119,F120,L128,M140,M142,M152,M154))</f>
        <v>0</v>
      </c>
      <c r="H335" s="220" t="s">
        <v>298</v>
      </c>
      <c r="I335" s="2"/>
      <c r="J335" s="2"/>
      <c r="K335" s="2"/>
      <c r="L335" s="2"/>
      <c r="M335" s="2"/>
      <c r="N335" s="2"/>
      <c r="O335" s="220"/>
    </row>
    <row r="336" spans="1:24" hidden="1" x14ac:dyDescent="0.25">
      <c r="A336" s="145" t="s">
        <v>187</v>
      </c>
      <c r="B336" s="220"/>
      <c r="C336" s="220"/>
      <c r="D336" s="220"/>
      <c r="E336" s="220"/>
      <c r="F336" s="220"/>
      <c r="G336" s="220"/>
      <c r="H336" s="220"/>
      <c r="I336" s="2"/>
      <c r="J336" s="2"/>
      <c r="K336" s="2"/>
      <c r="L336" s="2"/>
      <c r="M336" s="2"/>
      <c r="N336" s="2"/>
      <c r="O336" s="220"/>
    </row>
    <row r="337" spans="1:15" ht="13.8" hidden="1" thickBot="1" x14ac:dyDescent="0.3">
      <c r="A337" s="145" t="s">
        <v>187</v>
      </c>
      <c r="B337" s="220"/>
      <c r="C337" s="220"/>
      <c r="D337" s="220"/>
      <c r="E337" s="2" t="s">
        <v>299</v>
      </c>
      <c r="F337" s="220"/>
      <c r="G337" s="220"/>
      <c r="H337" s="220"/>
      <c r="I337" s="220"/>
      <c r="J337" s="220"/>
      <c r="K337" s="220"/>
      <c r="L337" s="220"/>
      <c r="M337" s="220"/>
      <c r="N337" s="220"/>
      <c r="O337" s="220"/>
    </row>
    <row r="338" spans="1:15" hidden="1" x14ac:dyDescent="0.25">
      <c r="A338" s="145" t="s">
        <v>187</v>
      </c>
      <c r="B338" s="220"/>
      <c r="C338" s="220"/>
      <c r="D338" s="220"/>
      <c r="E338" s="697"/>
      <c r="F338" s="690" t="s">
        <v>300</v>
      </c>
      <c r="G338" s="690"/>
      <c r="H338" s="698" t="s">
        <v>301</v>
      </c>
      <c r="I338" s="699" t="s">
        <v>302</v>
      </c>
      <c r="J338" s="699" t="s">
        <v>303</v>
      </c>
      <c r="K338" s="698" t="s">
        <v>304</v>
      </c>
      <c r="L338" s="691" t="s">
        <v>305</v>
      </c>
      <c r="M338" s="691" t="s">
        <v>306</v>
      </c>
      <c r="N338" s="220"/>
      <c r="O338" s="220"/>
    </row>
    <row r="339" spans="1:15" hidden="1" x14ac:dyDescent="0.25">
      <c r="A339" s="145" t="s">
        <v>187</v>
      </c>
      <c r="B339" s="220"/>
      <c r="C339" s="220"/>
      <c r="D339" s="220"/>
      <c r="E339" s="700">
        <v>1</v>
      </c>
      <c r="F339" s="701" t="str">
        <f t="shared" ref="F339:F354" si="16">IF($E339&gt;MAX($Q$234:$Q$265),EUconst_NA,INDEX(E$234:E$265,MATCH($E339,$Q$234:$Q$265,0)))</f>
        <v>N.A.</v>
      </c>
      <c r="G339" s="702"/>
      <c r="H339" s="703" t="b">
        <f t="shared" ref="H339:H354" si="17">(E339&lt;=MAX($Q$234:$Q$243))</f>
        <v>0</v>
      </c>
      <c r="I339" s="704" t="str">
        <f t="shared" ref="I339:I354" si="18">IF(H339,MATCH(F339,EUconst_BMlistNames,0),"")</f>
        <v/>
      </c>
      <c r="J339" s="705" t="str">
        <f t="shared" ref="J339:J354" si="19">IF($E339&gt;MAX($Q$234:$Q$265),EUconst_NA,IF(ISBLANK(INDEX(J$234:J$265,MATCH($E339,$Q$234:$Q$265,0))),0,INDEX(J$234:J$265,MATCH($E339,$Q$234:$Q$265,0))))</f>
        <v>N.A.</v>
      </c>
      <c r="K339" s="706" t="str">
        <f>IF($E339&gt;MAX($Q$234:$Q$265),EUconst_NA,IF(ISBLANK(INDEX(U$234:U$265,MATCH($E339,$Q$234:$Q$265,0))),FALSE,INDEX(U$234:U$265,MATCH($E339,$Q$234:$Q$265,0))))</f>
        <v>N.A.</v>
      </c>
      <c r="L339" s="707" t="str">
        <f t="shared" ref="L339:L354" si="20">IF($E339&gt;MAX($Q$234:$Q$265),EUconst_NA,INDEX(K$234:K$265,MATCH($E339,$Q$234:$Q$265,0)))</f>
        <v>N.A.</v>
      </c>
      <c r="M339" s="708" t="str">
        <f t="shared" ref="M339:M354" si="21">IF($E339&gt;MAX($Q$234:$Q$265),EUconst_NA,INDEX(R$234:R$265,MATCH($E339,$Q$234:$Q$265,0)))</f>
        <v>N.A.</v>
      </c>
      <c r="N339" s="220"/>
      <c r="O339" s="220"/>
    </row>
    <row r="340" spans="1:15" hidden="1" x14ac:dyDescent="0.25">
      <c r="A340" s="145" t="s">
        <v>187</v>
      </c>
      <c r="B340" s="220"/>
      <c r="C340" s="220"/>
      <c r="D340" s="220"/>
      <c r="E340" s="709">
        <f>E339+1</f>
        <v>2</v>
      </c>
      <c r="F340" s="710" t="str">
        <f t="shared" si="16"/>
        <v>N.A.</v>
      </c>
      <c r="G340" s="711"/>
      <c r="H340" s="712" t="b">
        <f t="shared" si="17"/>
        <v>0</v>
      </c>
      <c r="I340" s="713" t="str">
        <f t="shared" si="18"/>
        <v/>
      </c>
      <c r="J340" s="714" t="str">
        <f t="shared" si="19"/>
        <v>N.A.</v>
      </c>
      <c r="K340" s="715" t="str">
        <f t="shared" ref="K340:K354" si="22">IF($E340&gt;MAX($Q$234:$Q$265),EUconst_NA,IF(ISBLANK(INDEX(U$234:U$265,MATCH($E340,$Q$234:$Q$265,0))),FALSE,INDEX(U$234:U$265,MATCH($E340,$Q$234:$Q$265,0))))</f>
        <v>N.A.</v>
      </c>
      <c r="L340" s="716" t="str">
        <f t="shared" si="20"/>
        <v>N.A.</v>
      </c>
      <c r="M340" s="717" t="str">
        <f t="shared" si="21"/>
        <v>N.A.</v>
      </c>
      <c r="N340" s="220"/>
      <c r="O340" s="220"/>
    </row>
    <row r="341" spans="1:15" hidden="1" x14ac:dyDescent="0.25">
      <c r="A341" s="145" t="s">
        <v>187</v>
      </c>
      <c r="B341" s="220"/>
      <c r="C341" s="220"/>
      <c r="D341" s="220"/>
      <c r="E341" s="709">
        <f t="shared" ref="E341:E354" si="23">E340+1</f>
        <v>3</v>
      </c>
      <c r="F341" s="710" t="str">
        <f t="shared" si="16"/>
        <v>N.A.</v>
      </c>
      <c r="G341" s="711"/>
      <c r="H341" s="712" t="b">
        <f t="shared" si="17"/>
        <v>0</v>
      </c>
      <c r="I341" s="713" t="str">
        <f t="shared" si="18"/>
        <v/>
      </c>
      <c r="J341" s="714" t="str">
        <f t="shared" si="19"/>
        <v>N.A.</v>
      </c>
      <c r="K341" s="715" t="str">
        <f t="shared" si="22"/>
        <v>N.A.</v>
      </c>
      <c r="L341" s="716" t="str">
        <f t="shared" si="20"/>
        <v>N.A.</v>
      </c>
      <c r="M341" s="717" t="str">
        <f t="shared" si="21"/>
        <v>N.A.</v>
      </c>
      <c r="N341" s="220"/>
      <c r="O341" s="220"/>
    </row>
    <row r="342" spans="1:15" hidden="1" x14ac:dyDescent="0.25">
      <c r="A342" s="145" t="s">
        <v>187</v>
      </c>
      <c r="B342" s="220"/>
      <c r="C342" s="220"/>
      <c r="D342" s="220"/>
      <c r="E342" s="709">
        <f t="shared" si="23"/>
        <v>4</v>
      </c>
      <c r="F342" s="710" t="str">
        <f t="shared" si="16"/>
        <v>N.A.</v>
      </c>
      <c r="G342" s="711"/>
      <c r="H342" s="712" t="b">
        <f t="shared" si="17"/>
        <v>0</v>
      </c>
      <c r="I342" s="713" t="str">
        <f t="shared" si="18"/>
        <v/>
      </c>
      <c r="J342" s="714" t="str">
        <f t="shared" si="19"/>
        <v>N.A.</v>
      </c>
      <c r="K342" s="715" t="str">
        <f t="shared" si="22"/>
        <v>N.A.</v>
      </c>
      <c r="L342" s="716" t="str">
        <f t="shared" si="20"/>
        <v>N.A.</v>
      </c>
      <c r="M342" s="717" t="str">
        <f t="shared" si="21"/>
        <v>N.A.</v>
      </c>
      <c r="N342" s="220"/>
      <c r="O342" s="220"/>
    </row>
    <row r="343" spans="1:15" hidden="1" x14ac:dyDescent="0.25">
      <c r="A343" s="145" t="s">
        <v>187</v>
      </c>
      <c r="B343" s="220"/>
      <c r="C343" s="220"/>
      <c r="D343" s="220"/>
      <c r="E343" s="709">
        <f t="shared" si="23"/>
        <v>5</v>
      </c>
      <c r="F343" s="710" t="str">
        <f t="shared" si="16"/>
        <v>N.A.</v>
      </c>
      <c r="G343" s="711"/>
      <c r="H343" s="712" t="b">
        <f t="shared" si="17"/>
        <v>0</v>
      </c>
      <c r="I343" s="713" t="str">
        <f t="shared" si="18"/>
        <v/>
      </c>
      <c r="J343" s="714" t="str">
        <f t="shared" si="19"/>
        <v>N.A.</v>
      </c>
      <c r="K343" s="715" t="str">
        <f t="shared" si="22"/>
        <v>N.A.</v>
      </c>
      <c r="L343" s="716" t="str">
        <f t="shared" si="20"/>
        <v>N.A.</v>
      </c>
      <c r="M343" s="717" t="str">
        <f t="shared" si="21"/>
        <v>N.A.</v>
      </c>
      <c r="N343" s="220"/>
      <c r="O343" s="220"/>
    </row>
    <row r="344" spans="1:15" hidden="1" x14ac:dyDescent="0.25">
      <c r="A344" s="145" t="s">
        <v>187</v>
      </c>
      <c r="B344" s="220"/>
      <c r="C344" s="220"/>
      <c r="D344" s="220"/>
      <c r="E344" s="709">
        <f t="shared" si="23"/>
        <v>6</v>
      </c>
      <c r="F344" s="710" t="str">
        <f t="shared" si="16"/>
        <v>N.A.</v>
      </c>
      <c r="G344" s="711"/>
      <c r="H344" s="712" t="b">
        <f t="shared" si="17"/>
        <v>0</v>
      </c>
      <c r="I344" s="713" t="str">
        <f t="shared" si="18"/>
        <v/>
      </c>
      <c r="J344" s="714" t="str">
        <f t="shared" si="19"/>
        <v>N.A.</v>
      </c>
      <c r="K344" s="715" t="str">
        <f t="shared" si="22"/>
        <v>N.A.</v>
      </c>
      <c r="L344" s="716" t="str">
        <f t="shared" si="20"/>
        <v>N.A.</v>
      </c>
      <c r="M344" s="717" t="str">
        <f t="shared" si="21"/>
        <v>N.A.</v>
      </c>
      <c r="N344" s="220"/>
      <c r="O344" s="220"/>
    </row>
    <row r="345" spans="1:15" hidden="1" x14ac:dyDescent="0.25">
      <c r="A345" s="145" t="s">
        <v>187</v>
      </c>
      <c r="B345" s="220"/>
      <c r="C345" s="220"/>
      <c r="D345" s="220"/>
      <c r="E345" s="709">
        <f t="shared" si="23"/>
        <v>7</v>
      </c>
      <c r="F345" s="710" t="str">
        <f t="shared" si="16"/>
        <v>N.A.</v>
      </c>
      <c r="G345" s="711"/>
      <c r="H345" s="712" t="b">
        <f t="shared" si="17"/>
        <v>0</v>
      </c>
      <c r="I345" s="713" t="str">
        <f t="shared" si="18"/>
        <v/>
      </c>
      <c r="J345" s="714" t="str">
        <f t="shared" si="19"/>
        <v>N.A.</v>
      </c>
      <c r="K345" s="715" t="str">
        <f t="shared" si="22"/>
        <v>N.A.</v>
      </c>
      <c r="L345" s="716" t="str">
        <f t="shared" si="20"/>
        <v>N.A.</v>
      </c>
      <c r="M345" s="717" t="str">
        <f t="shared" si="21"/>
        <v>N.A.</v>
      </c>
      <c r="N345" s="220"/>
      <c r="O345" s="220"/>
    </row>
    <row r="346" spans="1:15" hidden="1" x14ac:dyDescent="0.25">
      <c r="A346" s="145" t="s">
        <v>187</v>
      </c>
      <c r="B346" s="220"/>
      <c r="C346" s="220"/>
      <c r="D346" s="220"/>
      <c r="E346" s="709">
        <f t="shared" si="23"/>
        <v>8</v>
      </c>
      <c r="F346" s="710" t="str">
        <f t="shared" si="16"/>
        <v>N.A.</v>
      </c>
      <c r="G346" s="711"/>
      <c r="H346" s="712" t="b">
        <f t="shared" si="17"/>
        <v>0</v>
      </c>
      <c r="I346" s="713" t="str">
        <f t="shared" si="18"/>
        <v/>
      </c>
      <c r="J346" s="714" t="str">
        <f t="shared" si="19"/>
        <v>N.A.</v>
      </c>
      <c r="K346" s="715" t="str">
        <f t="shared" si="22"/>
        <v>N.A.</v>
      </c>
      <c r="L346" s="716" t="str">
        <f t="shared" si="20"/>
        <v>N.A.</v>
      </c>
      <c r="M346" s="717" t="str">
        <f t="shared" si="21"/>
        <v>N.A.</v>
      </c>
      <c r="N346" s="220"/>
      <c r="O346" s="220"/>
    </row>
    <row r="347" spans="1:15" hidden="1" x14ac:dyDescent="0.25">
      <c r="A347" s="145" t="s">
        <v>187</v>
      </c>
      <c r="B347" s="220"/>
      <c r="C347" s="220"/>
      <c r="D347" s="220"/>
      <c r="E347" s="709">
        <f t="shared" si="23"/>
        <v>9</v>
      </c>
      <c r="F347" s="710" t="str">
        <f t="shared" si="16"/>
        <v>N.A.</v>
      </c>
      <c r="G347" s="711"/>
      <c r="H347" s="712" t="b">
        <f t="shared" si="17"/>
        <v>0</v>
      </c>
      <c r="I347" s="713" t="str">
        <f t="shared" si="18"/>
        <v/>
      </c>
      <c r="J347" s="714" t="str">
        <f t="shared" si="19"/>
        <v>N.A.</v>
      </c>
      <c r="K347" s="715" t="str">
        <f t="shared" si="22"/>
        <v>N.A.</v>
      </c>
      <c r="L347" s="716" t="str">
        <f t="shared" si="20"/>
        <v>N.A.</v>
      </c>
      <c r="M347" s="717" t="str">
        <f t="shared" si="21"/>
        <v>N.A.</v>
      </c>
      <c r="N347" s="220"/>
      <c r="O347" s="220"/>
    </row>
    <row r="348" spans="1:15" hidden="1" x14ac:dyDescent="0.25">
      <c r="A348" s="145" t="s">
        <v>187</v>
      </c>
      <c r="B348" s="220"/>
      <c r="C348" s="220"/>
      <c r="D348" s="220"/>
      <c r="E348" s="709">
        <f t="shared" si="23"/>
        <v>10</v>
      </c>
      <c r="F348" s="710" t="str">
        <f t="shared" si="16"/>
        <v>N.A.</v>
      </c>
      <c r="G348" s="711"/>
      <c r="H348" s="712" t="b">
        <f t="shared" si="17"/>
        <v>0</v>
      </c>
      <c r="I348" s="713" t="str">
        <f t="shared" si="18"/>
        <v/>
      </c>
      <c r="J348" s="714" t="str">
        <f t="shared" si="19"/>
        <v>N.A.</v>
      </c>
      <c r="K348" s="715" t="str">
        <f t="shared" si="22"/>
        <v>N.A.</v>
      </c>
      <c r="L348" s="716" t="str">
        <f t="shared" si="20"/>
        <v>N.A.</v>
      </c>
      <c r="M348" s="717" t="str">
        <f t="shared" si="21"/>
        <v>N.A.</v>
      </c>
      <c r="N348" s="220"/>
      <c r="O348" s="220"/>
    </row>
    <row r="349" spans="1:15" hidden="1" x14ac:dyDescent="0.25">
      <c r="A349" s="145" t="s">
        <v>187</v>
      </c>
      <c r="B349" s="220"/>
      <c r="C349" s="220"/>
      <c r="D349" s="220"/>
      <c r="E349" s="709">
        <f t="shared" si="23"/>
        <v>11</v>
      </c>
      <c r="F349" s="710" t="str">
        <f t="shared" si="16"/>
        <v>N.A.</v>
      </c>
      <c r="G349" s="711"/>
      <c r="H349" s="712" t="b">
        <f t="shared" si="17"/>
        <v>0</v>
      </c>
      <c r="I349" s="713" t="str">
        <f t="shared" si="18"/>
        <v/>
      </c>
      <c r="J349" s="714" t="str">
        <f t="shared" si="19"/>
        <v>N.A.</v>
      </c>
      <c r="K349" s="715" t="str">
        <f t="shared" si="22"/>
        <v>N.A.</v>
      </c>
      <c r="L349" s="716" t="str">
        <f t="shared" si="20"/>
        <v>N.A.</v>
      </c>
      <c r="M349" s="717" t="str">
        <f t="shared" si="21"/>
        <v>N.A.</v>
      </c>
      <c r="N349" s="220"/>
      <c r="O349" s="220"/>
    </row>
    <row r="350" spans="1:15" hidden="1" x14ac:dyDescent="0.25">
      <c r="A350" s="145" t="s">
        <v>187</v>
      </c>
      <c r="B350" s="220"/>
      <c r="C350" s="220"/>
      <c r="D350" s="220"/>
      <c r="E350" s="709">
        <f t="shared" si="23"/>
        <v>12</v>
      </c>
      <c r="F350" s="710" t="str">
        <f t="shared" si="16"/>
        <v>N.A.</v>
      </c>
      <c r="G350" s="711"/>
      <c r="H350" s="712" t="b">
        <f t="shared" si="17"/>
        <v>0</v>
      </c>
      <c r="I350" s="713" t="str">
        <f t="shared" si="18"/>
        <v/>
      </c>
      <c r="J350" s="714" t="str">
        <f t="shared" si="19"/>
        <v>N.A.</v>
      </c>
      <c r="K350" s="715" t="str">
        <f t="shared" si="22"/>
        <v>N.A.</v>
      </c>
      <c r="L350" s="716" t="str">
        <f t="shared" si="20"/>
        <v>N.A.</v>
      </c>
      <c r="M350" s="717" t="str">
        <f t="shared" si="21"/>
        <v>N.A.</v>
      </c>
      <c r="N350" s="220"/>
      <c r="O350" s="220"/>
    </row>
    <row r="351" spans="1:15" hidden="1" x14ac:dyDescent="0.25">
      <c r="A351" s="145" t="s">
        <v>187</v>
      </c>
      <c r="B351" s="220"/>
      <c r="C351" s="220"/>
      <c r="D351" s="220"/>
      <c r="E351" s="709">
        <f t="shared" si="23"/>
        <v>13</v>
      </c>
      <c r="F351" s="710" t="str">
        <f t="shared" si="16"/>
        <v>N.A.</v>
      </c>
      <c r="G351" s="711"/>
      <c r="H351" s="712" t="b">
        <f t="shared" si="17"/>
        <v>0</v>
      </c>
      <c r="I351" s="713" t="str">
        <f t="shared" si="18"/>
        <v/>
      </c>
      <c r="J351" s="714" t="str">
        <f t="shared" si="19"/>
        <v>N.A.</v>
      </c>
      <c r="K351" s="715" t="str">
        <f t="shared" si="22"/>
        <v>N.A.</v>
      </c>
      <c r="L351" s="716" t="str">
        <f t="shared" si="20"/>
        <v>N.A.</v>
      </c>
      <c r="M351" s="717" t="str">
        <f t="shared" si="21"/>
        <v>N.A.</v>
      </c>
      <c r="N351" s="220"/>
      <c r="O351" s="220"/>
    </row>
    <row r="352" spans="1:15" hidden="1" x14ac:dyDescent="0.25">
      <c r="A352" s="145" t="s">
        <v>187</v>
      </c>
      <c r="B352" s="220"/>
      <c r="C352" s="220"/>
      <c r="D352" s="220"/>
      <c r="E352" s="709">
        <f t="shared" si="23"/>
        <v>14</v>
      </c>
      <c r="F352" s="710" t="str">
        <f t="shared" si="16"/>
        <v>N.A.</v>
      </c>
      <c r="G352" s="711"/>
      <c r="H352" s="712" t="b">
        <f t="shared" si="17"/>
        <v>0</v>
      </c>
      <c r="I352" s="713" t="str">
        <f t="shared" si="18"/>
        <v/>
      </c>
      <c r="J352" s="714" t="str">
        <f t="shared" si="19"/>
        <v>N.A.</v>
      </c>
      <c r="K352" s="715" t="str">
        <f t="shared" si="22"/>
        <v>N.A.</v>
      </c>
      <c r="L352" s="716" t="str">
        <f t="shared" si="20"/>
        <v>N.A.</v>
      </c>
      <c r="M352" s="717" t="str">
        <f t="shared" si="21"/>
        <v>N.A.</v>
      </c>
      <c r="N352" s="220"/>
      <c r="O352" s="220"/>
    </row>
    <row r="353" spans="1:15" hidden="1" x14ac:dyDescent="0.25">
      <c r="A353" s="145" t="s">
        <v>187</v>
      </c>
      <c r="B353" s="220"/>
      <c r="C353" s="220"/>
      <c r="D353" s="220"/>
      <c r="E353" s="709">
        <f t="shared" si="23"/>
        <v>15</v>
      </c>
      <c r="F353" s="710" t="str">
        <f t="shared" si="16"/>
        <v>N.A.</v>
      </c>
      <c r="G353" s="711"/>
      <c r="H353" s="712" t="b">
        <f t="shared" si="17"/>
        <v>0</v>
      </c>
      <c r="I353" s="713" t="str">
        <f t="shared" si="18"/>
        <v/>
      </c>
      <c r="J353" s="714" t="str">
        <f t="shared" si="19"/>
        <v>N.A.</v>
      </c>
      <c r="K353" s="715" t="str">
        <f t="shared" si="22"/>
        <v>N.A.</v>
      </c>
      <c r="L353" s="716" t="str">
        <f t="shared" si="20"/>
        <v>N.A.</v>
      </c>
      <c r="M353" s="717" t="str">
        <f t="shared" si="21"/>
        <v>N.A.</v>
      </c>
      <c r="N353" s="220"/>
      <c r="O353" s="220"/>
    </row>
    <row r="354" spans="1:15" ht="13.8" hidden="1" thickBot="1" x14ac:dyDescent="0.3">
      <c r="A354" s="145" t="s">
        <v>187</v>
      </c>
      <c r="B354" s="220"/>
      <c r="C354" s="220"/>
      <c r="D354" s="220"/>
      <c r="E354" s="718">
        <f t="shared" si="23"/>
        <v>16</v>
      </c>
      <c r="F354" s="719" t="str">
        <f t="shared" si="16"/>
        <v>N.A.</v>
      </c>
      <c r="G354" s="720"/>
      <c r="H354" s="721" t="b">
        <f t="shared" si="17"/>
        <v>0</v>
      </c>
      <c r="I354" s="722" t="str">
        <f t="shared" si="18"/>
        <v/>
      </c>
      <c r="J354" s="723" t="str">
        <f t="shared" si="19"/>
        <v>N.A.</v>
      </c>
      <c r="K354" s="724" t="str">
        <f t="shared" si="22"/>
        <v>N.A.</v>
      </c>
      <c r="L354" s="725" t="str">
        <f t="shared" si="20"/>
        <v>N.A.</v>
      </c>
      <c r="M354" s="726" t="str">
        <f t="shared" si="21"/>
        <v>N.A.</v>
      </c>
      <c r="N354" s="220"/>
      <c r="O354" s="220"/>
    </row>
    <row r="355" spans="1:15" hidden="1" x14ac:dyDescent="0.25">
      <c r="A355" s="145" t="s">
        <v>187</v>
      </c>
      <c r="B355" s="220"/>
      <c r="C355" s="220"/>
      <c r="D355" s="220"/>
      <c r="E355" s="220"/>
      <c r="F355" s="220"/>
      <c r="G355" s="220"/>
      <c r="H355" s="220"/>
      <c r="I355" s="220"/>
      <c r="J355" s="220"/>
      <c r="K355" s="220"/>
      <c r="L355" s="220"/>
      <c r="M355" s="220"/>
      <c r="N355" s="220"/>
      <c r="O355" s="220"/>
    </row>
    <row r="356" spans="1:15" hidden="1" x14ac:dyDescent="0.25">
      <c r="A356" s="145" t="s">
        <v>187</v>
      </c>
      <c r="B356" s="220"/>
      <c r="C356" s="220"/>
      <c r="D356" s="220"/>
      <c r="E356" s="220" t="s">
        <v>307</v>
      </c>
      <c r="F356" s="220"/>
      <c r="G356" s="220"/>
      <c r="H356" s="220"/>
      <c r="I356" s="220"/>
      <c r="J356" s="220"/>
      <c r="K356" s="220"/>
      <c r="L356" s="220"/>
      <c r="M356" s="220"/>
      <c r="N356" s="220"/>
      <c r="O356" s="220"/>
    </row>
    <row r="357" spans="1:15" hidden="1" x14ac:dyDescent="0.25">
      <c r="A357" s="145" t="s">
        <v>187</v>
      </c>
      <c r="B357" s="220"/>
      <c r="C357" s="220"/>
      <c r="D357" s="220"/>
      <c r="E357" s="220" t="s">
        <v>308</v>
      </c>
      <c r="F357" s="220"/>
      <c r="G357" s="339" t="b">
        <f>COUNTA(E234:E243,CNTR_FallBackSubInstRelevant)&gt;0</f>
        <v>0</v>
      </c>
      <c r="H357" s="220"/>
      <c r="I357" s="220" t="s">
        <v>309</v>
      </c>
      <c r="J357" s="339" t="b">
        <f>OR(CNTR_SubInstListIsProdBM)</f>
        <v>0</v>
      </c>
      <c r="K357" s="220"/>
      <c r="L357" s="220"/>
      <c r="M357" s="220"/>
      <c r="N357" s="220"/>
      <c r="O357" s="220"/>
    </row>
    <row r="358" spans="1:15" hidden="1" x14ac:dyDescent="0.25">
      <c r="A358" s="145" t="s">
        <v>187</v>
      </c>
      <c r="B358" s="220"/>
      <c r="C358" s="220"/>
      <c r="D358" s="220"/>
      <c r="E358" s="220"/>
      <c r="F358" s="220"/>
      <c r="G358" s="220"/>
      <c r="H358" s="220"/>
      <c r="I358" s="220"/>
      <c r="J358" s="220"/>
      <c r="K358" s="220"/>
      <c r="L358" s="220"/>
      <c r="M358" s="220"/>
      <c r="N358" s="220"/>
      <c r="O358" s="220"/>
    </row>
    <row r="359" spans="1:15" ht="13.8" hidden="1" thickBot="1" x14ac:dyDescent="0.3">
      <c r="A359" s="145" t="s">
        <v>187</v>
      </c>
      <c r="B359" s="220"/>
      <c r="C359" s="220"/>
      <c r="D359" s="220"/>
      <c r="E359" s="2" t="s">
        <v>310</v>
      </c>
      <c r="F359" s="220"/>
      <c r="G359" s="220"/>
      <c r="H359" s="220"/>
      <c r="I359" s="220"/>
      <c r="J359" s="220"/>
      <c r="K359" s="220"/>
      <c r="L359" s="220"/>
      <c r="M359" s="220"/>
      <c r="N359" s="220"/>
      <c r="O359" s="220"/>
    </row>
    <row r="360" spans="1:15" hidden="1" x14ac:dyDescent="0.25">
      <c r="A360" s="145" t="s">
        <v>187</v>
      </c>
      <c r="B360" s="220"/>
      <c r="C360" s="220"/>
      <c r="D360" s="220"/>
      <c r="E360" s="727"/>
      <c r="F360" s="728" t="s">
        <v>311</v>
      </c>
      <c r="G360" s="729" t="s">
        <v>312</v>
      </c>
      <c r="H360" s="728" t="s">
        <v>313</v>
      </c>
      <c r="I360" s="728"/>
      <c r="J360" s="730" t="s">
        <v>314</v>
      </c>
      <c r="K360" s="730" t="s">
        <v>315</v>
      </c>
      <c r="L360" s="731"/>
      <c r="M360" s="728"/>
      <c r="N360" s="732"/>
      <c r="O360" s="220"/>
    </row>
    <row r="361" spans="1:15" hidden="1" x14ac:dyDescent="0.25">
      <c r="A361" s="145" t="s">
        <v>187</v>
      </c>
      <c r="B361" s="220"/>
      <c r="C361" s="220"/>
      <c r="D361" s="220"/>
      <c r="E361" s="49">
        <v>0</v>
      </c>
      <c r="F361" s="733"/>
      <c r="G361" s="734"/>
      <c r="H361" s="735" t="str">
        <f>EUconst_WithinInst</f>
        <v>Within installation</v>
      </c>
      <c r="I361" s="733"/>
      <c r="J361" s="47"/>
      <c r="K361" s="47"/>
      <c r="L361" s="672"/>
      <c r="M361" s="733"/>
      <c r="N361" s="736"/>
      <c r="O361" s="220"/>
    </row>
    <row r="362" spans="1:15" hidden="1" x14ac:dyDescent="0.25">
      <c r="A362" s="145" t="s">
        <v>187</v>
      </c>
      <c r="B362" s="220"/>
      <c r="C362" s="220"/>
      <c r="D362" s="220"/>
      <c r="E362" s="737">
        <v>1</v>
      </c>
      <c r="F362" s="738" t="str">
        <f t="shared" ref="F362:F371" si="24">IF(ISNUMBER(MATCH($E362,$Q$296:$Q$305,0)),MATCH($E362,$Q$296:$Q$305,0),EUconst_NA)</f>
        <v>N.A.</v>
      </c>
      <c r="G362" s="739" t="str">
        <f t="shared" ref="G362:G371" si="25">IF(AND(ISNUMBER($F362),NOT(ISBLANK(INDEX($K$296:$K$305,$F362)))),INDEX(EUconst_ConnectionShortTypes,MATCH(INDEX($K$296:$K$305,$F362),EUconst_ConnectionTypes,0)),EUconst_NA)</f>
        <v>N.A.</v>
      </c>
      <c r="H362" s="740" t="str">
        <f t="shared" ref="H362:H371" si="26">IF(NOT(ISNUMBER(F362)),EUconst_NA,CONCATENATE(INDEX($F$296:$F$305,$F362),": ",G362," ",IF(ISBLANK(INDEX($M$296:$M$305,$F362)),EUconst_NA,INDEX($M$296:$M$305,$F362))))</f>
        <v>N.A.</v>
      </c>
      <c r="I362" s="220"/>
      <c r="J362" s="741" t="str">
        <f>IF(ISNUMBER($F362),IF(ISBLANK(INDEX($F$311:$F$320,$F362)),"",INDEX($F$311:$F$320,$F362)),"")</f>
        <v/>
      </c>
      <c r="K362" s="741" t="str">
        <f>IF(ISNUMBER($F362),IF(ISBLANK(INDEX($I$296:$I$305,$F362)),"",INDEX($I$296:$I$305,$F362)),"")</f>
        <v/>
      </c>
      <c r="L362" s="742"/>
      <c r="M362" s="220"/>
      <c r="N362" s="743"/>
      <c r="O362" s="220"/>
    </row>
    <row r="363" spans="1:15" hidden="1" x14ac:dyDescent="0.25">
      <c r="A363" s="145" t="s">
        <v>187</v>
      </c>
      <c r="B363" s="220"/>
      <c r="C363" s="220"/>
      <c r="D363" s="220"/>
      <c r="E363" s="737">
        <f>E362+1</f>
        <v>2</v>
      </c>
      <c r="F363" s="738" t="str">
        <f t="shared" si="24"/>
        <v>N.A.</v>
      </c>
      <c r="G363" s="739" t="str">
        <f t="shared" si="25"/>
        <v>N.A.</v>
      </c>
      <c r="H363" s="740" t="str">
        <f t="shared" si="26"/>
        <v>N.A.</v>
      </c>
      <c r="I363" s="220"/>
      <c r="J363" s="741" t="str">
        <f t="shared" ref="J363:J371" si="27">IF(ISNUMBER($F363),IF(ISBLANK(INDEX($F$311:$F$320,$F363)),"",INDEX($F$311:$F$320,$F363)),"")</f>
        <v/>
      </c>
      <c r="K363" s="741" t="str">
        <f t="shared" ref="K363:K371" si="28">IF(ISNUMBER($F363),IF(ISBLANK(INDEX($I$296:$I$305,$F363)),"",INDEX($I$296:$I$305,$F363)),"")</f>
        <v/>
      </c>
      <c r="L363" s="742"/>
      <c r="M363" s="220"/>
      <c r="N363" s="743"/>
      <c r="O363" s="220"/>
    </row>
    <row r="364" spans="1:15" hidden="1" x14ac:dyDescent="0.25">
      <c r="A364" s="145" t="s">
        <v>187</v>
      </c>
      <c r="B364" s="220"/>
      <c r="C364" s="220"/>
      <c r="D364" s="220"/>
      <c r="E364" s="737">
        <f t="shared" ref="E364:E371" si="29">E363+1</f>
        <v>3</v>
      </c>
      <c r="F364" s="738" t="str">
        <f t="shared" si="24"/>
        <v>N.A.</v>
      </c>
      <c r="G364" s="739" t="str">
        <f t="shared" si="25"/>
        <v>N.A.</v>
      </c>
      <c r="H364" s="740" t="str">
        <f t="shared" si="26"/>
        <v>N.A.</v>
      </c>
      <c r="I364" s="220"/>
      <c r="J364" s="741" t="str">
        <f t="shared" si="27"/>
        <v/>
      </c>
      <c r="K364" s="741" t="str">
        <f t="shared" si="28"/>
        <v/>
      </c>
      <c r="L364" s="742"/>
      <c r="M364" s="220"/>
      <c r="N364" s="743"/>
      <c r="O364" s="220"/>
    </row>
    <row r="365" spans="1:15" hidden="1" x14ac:dyDescent="0.25">
      <c r="A365" s="145" t="s">
        <v>187</v>
      </c>
      <c r="B365" s="220"/>
      <c r="C365" s="220"/>
      <c r="D365" s="220"/>
      <c r="E365" s="737">
        <f t="shared" si="29"/>
        <v>4</v>
      </c>
      <c r="F365" s="738" t="str">
        <f t="shared" si="24"/>
        <v>N.A.</v>
      </c>
      <c r="G365" s="739" t="str">
        <f t="shared" si="25"/>
        <v>N.A.</v>
      </c>
      <c r="H365" s="740" t="str">
        <f t="shared" si="26"/>
        <v>N.A.</v>
      </c>
      <c r="I365" s="220"/>
      <c r="J365" s="741" t="str">
        <f t="shared" si="27"/>
        <v/>
      </c>
      <c r="K365" s="741" t="str">
        <f t="shared" si="28"/>
        <v/>
      </c>
      <c r="L365" s="742"/>
      <c r="M365" s="220"/>
      <c r="N365" s="743"/>
      <c r="O365" s="220"/>
    </row>
    <row r="366" spans="1:15" hidden="1" x14ac:dyDescent="0.25">
      <c r="A366" s="145" t="s">
        <v>187</v>
      </c>
      <c r="B366" s="220"/>
      <c r="C366" s="220"/>
      <c r="D366" s="220"/>
      <c r="E366" s="737">
        <f t="shared" si="29"/>
        <v>5</v>
      </c>
      <c r="F366" s="738" t="str">
        <f t="shared" si="24"/>
        <v>N.A.</v>
      </c>
      <c r="G366" s="739" t="str">
        <f t="shared" si="25"/>
        <v>N.A.</v>
      </c>
      <c r="H366" s="740" t="str">
        <f t="shared" si="26"/>
        <v>N.A.</v>
      </c>
      <c r="I366" s="220"/>
      <c r="J366" s="741" t="str">
        <f t="shared" si="27"/>
        <v/>
      </c>
      <c r="K366" s="741" t="str">
        <f t="shared" si="28"/>
        <v/>
      </c>
      <c r="L366" s="742"/>
      <c r="M366" s="220"/>
      <c r="N366" s="743"/>
      <c r="O366" s="220"/>
    </row>
    <row r="367" spans="1:15" hidden="1" x14ac:dyDescent="0.25">
      <c r="A367" s="145" t="s">
        <v>187</v>
      </c>
      <c r="B367" s="220"/>
      <c r="C367" s="220"/>
      <c r="D367" s="220"/>
      <c r="E367" s="737">
        <f t="shared" si="29"/>
        <v>6</v>
      </c>
      <c r="F367" s="738" t="str">
        <f t="shared" si="24"/>
        <v>N.A.</v>
      </c>
      <c r="G367" s="739" t="str">
        <f t="shared" si="25"/>
        <v>N.A.</v>
      </c>
      <c r="H367" s="740" t="str">
        <f t="shared" si="26"/>
        <v>N.A.</v>
      </c>
      <c r="I367" s="220"/>
      <c r="J367" s="741" t="str">
        <f t="shared" si="27"/>
        <v/>
      </c>
      <c r="K367" s="741" t="str">
        <f t="shared" si="28"/>
        <v/>
      </c>
      <c r="L367" s="742"/>
      <c r="M367" s="220"/>
      <c r="N367" s="743"/>
      <c r="O367" s="220"/>
    </row>
    <row r="368" spans="1:15" hidden="1" x14ac:dyDescent="0.25">
      <c r="A368" s="145" t="s">
        <v>187</v>
      </c>
      <c r="B368" s="220"/>
      <c r="C368" s="220"/>
      <c r="D368" s="220"/>
      <c r="E368" s="737">
        <f t="shared" si="29"/>
        <v>7</v>
      </c>
      <c r="F368" s="738" t="str">
        <f t="shared" si="24"/>
        <v>N.A.</v>
      </c>
      <c r="G368" s="739" t="str">
        <f t="shared" si="25"/>
        <v>N.A.</v>
      </c>
      <c r="H368" s="740" t="str">
        <f t="shared" si="26"/>
        <v>N.A.</v>
      </c>
      <c r="I368" s="220"/>
      <c r="J368" s="741" t="str">
        <f t="shared" si="27"/>
        <v/>
      </c>
      <c r="K368" s="741" t="str">
        <f t="shared" si="28"/>
        <v/>
      </c>
      <c r="L368" s="742"/>
      <c r="M368" s="220"/>
      <c r="N368" s="743"/>
      <c r="O368" s="220"/>
    </row>
    <row r="369" spans="1:15" hidden="1" x14ac:dyDescent="0.25">
      <c r="A369" s="145" t="s">
        <v>187</v>
      </c>
      <c r="B369" s="220"/>
      <c r="C369" s="220"/>
      <c r="D369" s="220"/>
      <c r="E369" s="737">
        <f t="shared" si="29"/>
        <v>8</v>
      </c>
      <c r="F369" s="738" t="str">
        <f t="shared" si="24"/>
        <v>N.A.</v>
      </c>
      <c r="G369" s="739" t="str">
        <f t="shared" si="25"/>
        <v>N.A.</v>
      </c>
      <c r="H369" s="740" t="str">
        <f t="shared" si="26"/>
        <v>N.A.</v>
      </c>
      <c r="I369" s="220"/>
      <c r="J369" s="741" t="str">
        <f t="shared" si="27"/>
        <v/>
      </c>
      <c r="K369" s="741" t="str">
        <f t="shared" si="28"/>
        <v/>
      </c>
      <c r="L369" s="742"/>
      <c r="M369" s="220"/>
      <c r="N369" s="743"/>
      <c r="O369" s="220"/>
    </row>
    <row r="370" spans="1:15" hidden="1" x14ac:dyDescent="0.25">
      <c r="A370" s="145" t="s">
        <v>187</v>
      </c>
      <c r="B370" s="220"/>
      <c r="C370" s="220"/>
      <c r="D370" s="220"/>
      <c r="E370" s="737">
        <f t="shared" si="29"/>
        <v>9</v>
      </c>
      <c r="F370" s="738" t="str">
        <f t="shared" si="24"/>
        <v>N.A.</v>
      </c>
      <c r="G370" s="739" t="str">
        <f t="shared" si="25"/>
        <v>N.A.</v>
      </c>
      <c r="H370" s="740" t="str">
        <f t="shared" si="26"/>
        <v>N.A.</v>
      </c>
      <c r="I370" s="220"/>
      <c r="J370" s="741" t="str">
        <f t="shared" si="27"/>
        <v/>
      </c>
      <c r="K370" s="741" t="str">
        <f t="shared" si="28"/>
        <v/>
      </c>
      <c r="L370" s="742"/>
      <c r="M370" s="220"/>
      <c r="N370" s="743"/>
      <c r="O370" s="220"/>
    </row>
    <row r="371" spans="1:15" ht="13.8" hidden="1" thickBot="1" x14ac:dyDescent="0.3">
      <c r="A371" s="145" t="s">
        <v>187</v>
      </c>
      <c r="B371" s="220"/>
      <c r="C371" s="220"/>
      <c r="D371" s="220"/>
      <c r="E371" s="744">
        <f t="shared" si="29"/>
        <v>10</v>
      </c>
      <c r="F371" s="745" t="str">
        <f t="shared" si="24"/>
        <v>N.A.</v>
      </c>
      <c r="G371" s="746" t="str">
        <f t="shared" si="25"/>
        <v>N.A.</v>
      </c>
      <c r="H371" s="747" t="str">
        <f t="shared" si="26"/>
        <v>N.A.</v>
      </c>
      <c r="I371" s="748"/>
      <c r="J371" s="749" t="str">
        <f t="shared" si="27"/>
        <v/>
      </c>
      <c r="K371" s="749" t="str">
        <f t="shared" si="28"/>
        <v/>
      </c>
      <c r="L371" s="750"/>
      <c r="M371" s="748"/>
      <c r="N371" s="751"/>
      <c r="O371" s="220"/>
    </row>
    <row r="372" spans="1:15" hidden="1" x14ac:dyDescent="0.25">
      <c r="A372" s="145" t="s">
        <v>187</v>
      </c>
      <c r="B372" s="220"/>
      <c r="C372" s="220"/>
      <c r="D372" s="220"/>
      <c r="E372" s="220"/>
      <c r="F372" s="220"/>
      <c r="G372" s="220"/>
      <c r="H372" s="220"/>
      <c r="I372" s="220"/>
      <c r="J372" s="220"/>
      <c r="K372" s="220"/>
      <c r="L372" s="220"/>
      <c r="M372" s="220"/>
      <c r="N372" s="220"/>
      <c r="O372" s="220"/>
    </row>
    <row r="373" spans="1:15" hidden="1" x14ac:dyDescent="0.25">
      <c r="A373" s="145" t="s">
        <v>187</v>
      </c>
      <c r="B373" s="220"/>
      <c r="C373" s="220"/>
      <c r="D373" s="220"/>
      <c r="E373" s="220" t="s">
        <v>316</v>
      </c>
      <c r="F373" s="220"/>
      <c r="G373" s="220"/>
      <c r="H373" s="220"/>
      <c r="I373" s="220"/>
      <c r="J373" s="220"/>
      <c r="K373" s="220"/>
      <c r="L373" s="220"/>
      <c r="M373" s="220"/>
      <c r="N373" s="220"/>
      <c r="O373" s="220"/>
    </row>
    <row r="374" spans="1:15" hidden="1" x14ac:dyDescent="0.25">
      <c r="A374" s="145" t="s">
        <v>187</v>
      </c>
      <c r="B374" s="220"/>
      <c r="C374" s="220"/>
      <c r="D374" s="220"/>
      <c r="E374" s="220" t="s">
        <v>317</v>
      </c>
      <c r="F374" s="220"/>
      <c r="G374" s="339" t="b">
        <f>COUNTA($F$296:$F$305)&gt;0</f>
        <v>0</v>
      </c>
      <c r="H374" s="220"/>
      <c r="I374" s="220"/>
      <c r="J374" s="220"/>
      <c r="K374" s="220"/>
      <c r="L374" s="220"/>
      <c r="M374" s="220"/>
      <c r="N374" s="220"/>
      <c r="O374" s="220"/>
    </row>
    <row r="375" spans="1:15" hidden="1" x14ac:dyDescent="0.25">
      <c r="A375" s="145" t="s">
        <v>187</v>
      </c>
      <c r="B375" s="220"/>
      <c r="C375" s="220"/>
      <c r="D375" s="220"/>
      <c r="E375" s="220"/>
      <c r="F375" s="220"/>
      <c r="G375" s="220"/>
      <c r="H375" s="220"/>
      <c r="I375" s="220"/>
      <c r="J375" s="220"/>
      <c r="K375" s="220"/>
      <c r="L375" s="220"/>
      <c r="M375" s="220"/>
      <c r="N375" s="220"/>
      <c r="O375" s="220"/>
    </row>
    <row r="376" spans="1:15" hidden="1" x14ac:dyDescent="0.25">
      <c r="A376" s="145" t="s">
        <v>187</v>
      </c>
      <c r="B376" s="220"/>
      <c r="C376" s="220"/>
      <c r="D376" s="220"/>
      <c r="E376" s="220"/>
      <c r="F376" s="220"/>
      <c r="G376" s="220"/>
      <c r="H376" s="220"/>
      <c r="I376" s="220"/>
      <c r="J376" s="220"/>
      <c r="K376" s="220"/>
      <c r="L376" s="220"/>
      <c r="M376" s="220"/>
      <c r="N376" s="220"/>
      <c r="O376" s="220"/>
    </row>
    <row r="377" spans="1:15" hidden="1" x14ac:dyDescent="0.25">
      <c r="A377" s="145" t="s">
        <v>187</v>
      </c>
      <c r="B377" s="220"/>
      <c r="C377" s="220"/>
      <c r="D377" s="220"/>
      <c r="E377" s="220" t="s">
        <v>318</v>
      </c>
      <c r="F377" s="220"/>
      <c r="G377" s="220"/>
      <c r="H377" s="220"/>
      <c r="I377" s="220"/>
      <c r="J377" s="220"/>
      <c r="K377" s="220"/>
      <c r="L377" s="220"/>
      <c r="M377" s="220"/>
      <c r="N377" s="220"/>
      <c r="O377" s="220"/>
    </row>
    <row r="378" spans="1:15" hidden="1" x14ac:dyDescent="0.25">
      <c r="A378" s="145" t="s">
        <v>187</v>
      </c>
      <c r="B378" s="220"/>
      <c r="C378" s="220"/>
      <c r="D378" s="220"/>
      <c r="E378" s="220"/>
      <c r="F378" s="220" t="s">
        <v>319</v>
      </c>
      <c r="G378" s="339" t="b">
        <f>IF( CNTR_HasEntries_A_I,OR(E182&lt;&gt;"",E201&lt;&gt;"", E203 = ""), FALSE)</f>
        <v>0</v>
      </c>
      <c r="H378" s="220" t="s">
        <v>320</v>
      </c>
      <c r="I378" s="220"/>
      <c r="J378" s="220"/>
      <c r="K378" s="220"/>
      <c r="L378" s="220"/>
      <c r="M378" s="220"/>
      <c r="N378" s="220"/>
      <c r="O378" s="220"/>
    </row>
    <row r="379" spans="1:15" hidden="1" x14ac:dyDescent="0.25">
      <c r="A379" s="145" t="s">
        <v>187</v>
      </c>
      <c r="B379" s="220"/>
      <c r="C379" s="220"/>
      <c r="D379" s="220"/>
      <c r="E379" s="220"/>
      <c r="F379" s="220" t="s">
        <v>321</v>
      </c>
      <c r="G379" s="339" t="b">
        <f>OR(I220&lt;&gt;"",J220&lt;&gt;"",K220&lt;&gt;"",L220&lt;&gt;"",M220&lt;&gt;"",L212&lt;&gt;"")</f>
        <v>0</v>
      </c>
      <c r="H379" s="220"/>
      <c r="I379" s="220"/>
      <c r="J379" s="220"/>
      <c r="K379" s="220"/>
      <c r="L379" s="220"/>
      <c r="M379" s="220"/>
      <c r="N379" s="220"/>
      <c r="O379" s="220"/>
    </row>
    <row r="380" spans="1:15" ht="13.8" hidden="1" thickBot="1" x14ac:dyDescent="0.3">
      <c r="A380" s="145" t="s">
        <v>187</v>
      </c>
      <c r="B380" s="220"/>
      <c r="C380" s="220"/>
      <c r="D380" s="220"/>
      <c r="E380" s="220"/>
      <c r="F380" s="220" t="s">
        <v>322</v>
      </c>
      <c r="G380" s="339" t="b">
        <f>OR(E244&lt;&gt;"",D246&lt;&gt;"",E266&lt;&gt;"",L266&lt;&gt;"")</f>
        <v>0</v>
      </c>
      <c r="H380" s="220"/>
      <c r="I380" s="220"/>
      <c r="J380" s="220"/>
      <c r="K380" s="220"/>
      <c r="L380" s="220"/>
      <c r="M380" s="220"/>
      <c r="N380" s="220"/>
      <c r="O380" s="220"/>
    </row>
    <row r="381" spans="1:15" ht="13.8" hidden="1" thickBot="1" x14ac:dyDescent="0.3">
      <c r="A381" s="145" t="s">
        <v>187</v>
      </c>
      <c r="B381" s="220"/>
      <c r="C381" s="220"/>
      <c r="D381" s="220"/>
      <c r="E381" s="220"/>
      <c r="F381" s="2" t="s">
        <v>323</v>
      </c>
      <c r="G381" s="106" t="b">
        <f>OR(G378:G380)</f>
        <v>0</v>
      </c>
      <c r="H381" s="220"/>
      <c r="I381" s="220"/>
      <c r="J381" s="220"/>
      <c r="K381" s="220"/>
      <c r="L381" s="220"/>
      <c r="M381" s="220"/>
      <c r="N381" s="220"/>
      <c r="O381" s="220"/>
    </row>
    <row r="382" spans="1:15" hidden="1" x14ac:dyDescent="0.25">
      <c r="A382" s="145" t="s">
        <v>187</v>
      </c>
    </row>
    <row r="383" spans="1:15" hidden="1" x14ac:dyDescent="0.25">
      <c r="A383" s="145" t="s">
        <v>187</v>
      </c>
    </row>
  </sheetData>
  <sheetProtection algorithmName="SHA-512" hashValue="/vzMOD/ERGv8anWM/Oe9QdRu/Yh/UKDajECLzysbk4bPGv02DCNoxcMnBy7vebb5+qoLVKhLhSg6EzNvNTMPgw==" saltValue="jZcwaqEYjfIU159xnB0EGA==" spinCount="100000" sheet="1" objects="1" scenarios="1" formatColumns="0" formatRows="0"/>
  <mergeCells count="399">
    <mergeCell ref="D246:N246"/>
    <mergeCell ref="E238:I238"/>
    <mergeCell ref="E239:I239"/>
    <mergeCell ref="L241:M241"/>
    <mergeCell ref="E201:N201"/>
    <mergeCell ref="E194:N194"/>
    <mergeCell ref="E237:I237"/>
    <mergeCell ref="L235:M235"/>
    <mergeCell ref="E234:I234"/>
    <mergeCell ref="D224:N224"/>
    <mergeCell ref="E212:I212"/>
    <mergeCell ref="E213:N213"/>
    <mergeCell ref="L242:M242"/>
    <mergeCell ref="E241:I241"/>
    <mergeCell ref="E242:I242"/>
    <mergeCell ref="P170:S170"/>
    <mergeCell ref="P177:S177"/>
    <mergeCell ref="T177:W177"/>
    <mergeCell ref="P188:R188"/>
    <mergeCell ref="P191:R191"/>
    <mergeCell ref="P196:R196"/>
    <mergeCell ref="E291:N291"/>
    <mergeCell ref="F292:N292"/>
    <mergeCell ref="K295:L295"/>
    <mergeCell ref="F295:H295"/>
    <mergeCell ref="F289:N289"/>
    <mergeCell ref="E189:N189"/>
    <mergeCell ref="E191:N191"/>
    <mergeCell ref="E235:I235"/>
    <mergeCell ref="E186:N186"/>
    <mergeCell ref="E188:N188"/>
    <mergeCell ref="M295:N295"/>
    <mergeCell ref="E276:N276"/>
    <mergeCell ref="E236:I236"/>
    <mergeCell ref="E218:H218"/>
    <mergeCell ref="J212:K212"/>
    <mergeCell ref="E205:N205"/>
    <mergeCell ref="F288:N288"/>
    <mergeCell ref="E192:N192"/>
    <mergeCell ref="J14:N14"/>
    <mergeCell ref="E202:N202"/>
    <mergeCell ref="E203:N203"/>
    <mergeCell ref="F284:N284"/>
    <mergeCell ref="E251:N251"/>
    <mergeCell ref="E231:N231"/>
    <mergeCell ref="E126:N126"/>
    <mergeCell ref="E229:N229"/>
    <mergeCell ref="D248:N248"/>
    <mergeCell ref="D166:N166"/>
    <mergeCell ref="L240:M240"/>
    <mergeCell ref="E243:I243"/>
    <mergeCell ref="E265:H265"/>
    <mergeCell ref="E252:N252"/>
    <mergeCell ref="L243:M243"/>
    <mergeCell ref="E219:H219"/>
    <mergeCell ref="E228:N228"/>
    <mergeCell ref="L234:M234"/>
    <mergeCell ref="E227:N227"/>
    <mergeCell ref="E206:N206"/>
    <mergeCell ref="E148:N148"/>
    <mergeCell ref="E131:N131"/>
    <mergeCell ref="E132:N132"/>
    <mergeCell ref="M142:N142"/>
    <mergeCell ref="K298:L298"/>
    <mergeCell ref="F280:N280"/>
    <mergeCell ref="F281:N281"/>
    <mergeCell ref="K297:L297"/>
    <mergeCell ref="M298:N298"/>
    <mergeCell ref="F298:H298"/>
    <mergeCell ref="F293:N293"/>
    <mergeCell ref="E282:N282"/>
    <mergeCell ref="E286:N286"/>
    <mergeCell ref="F297:H297"/>
    <mergeCell ref="I297:J297"/>
    <mergeCell ref="M296:N296"/>
    <mergeCell ref="F285:N285"/>
    <mergeCell ref="I296:J296"/>
    <mergeCell ref="I295:J295"/>
    <mergeCell ref="F290:N290"/>
    <mergeCell ref="M297:N297"/>
    <mergeCell ref="K296:L296"/>
    <mergeCell ref="F296:H296"/>
    <mergeCell ref="J78:N78"/>
    <mergeCell ref="D73:N73"/>
    <mergeCell ref="F283:N283"/>
    <mergeCell ref="E125:N125"/>
    <mergeCell ref="E199:N199"/>
    <mergeCell ref="E230:N230"/>
    <mergeCell ref="E216:N216"/>
    <mergeCell ref="E208:N208"/>
    <mergeCell ref="E215:N215"/>
    <mergeCell ref="D211:N211"/>
    <mergeCell ref="M180:N180"/>
    <mergeCell ref="F128:K128"/>
    <mergeCell ref="E135:N135"/>
    <mergeCell ref="E277:N277"/>
    <mergeCell ref="L236:M236"/>
    <mergeCell ref="E274:N274"/>
    <mergeCell ref="F278:N278"/>
    <mergeCell ref="L238:M238"/>
    <mergeCell ref="E158:N158"/>
    <mergeCell ref="E207:N207"/>
    <mergeCell ref="E193:N193"/>
    <mergeCell ref="E226:N226"/>
    <mergeCell ref="E254:N254"/>
    <mergeCell ref="L237:M237"/>
    <mergeCell ref="E112:N112"/>
    <mergeCell ref="G101:I101"/>
    <mergeCell ref="E123:N123"/>
    <mergeCell ref="M144:N144"/>
    <mergeCell ref="E134:N134"/>
    <mergeCell ref="F150:N150"/>
    <mergeCell ref="F149:N149"/>
    <mergeCell ref="E147:N147"/>
    <mergeCell ref="F137:L137"/>
    <mergeCell ref="M137:N137"/>
    <mergeCell ref="E145:N145"/>
    <mergeCell ref="F140:L141"/>
    <mergeCell ref="F136:N136"/>
    <mergeCell ref="M146:N146"/>
    <mergeCell ref="F138:N138"/>
    <mergeCell ref="M140:N140"/>
    <mergeCell ref="F115:N115"/>
    <mergeCell ref="E130:K130"/>
    <mergeCell ref="J101:N101"/>
    <mergeCell ref="J102:N102"/>
    <mergeCell ref="E122:N122"/>
    <mergeCell ref="F142:L142"/>
    <mergeCell ref="M154:N154"/>
    <mergeCell ref="F144:L144"/>
    <mergeCell ref="E124:N124"/>
    <mergeCell ref="L130:N130"/>
    <mergeCell ref="E127:N127"/>
    <mergeCell ref="G92:I92"/>
    <mergeCell ref="J94:N94"/>
    <mergeCell ref="J106:N106"/>
    <mergeCell ref="E104:N104"/>
    <mergeCell ref="G105:I105"/>
    <mergeCell ref="G95:I95"/>
    <mergeCell ref="G99:I99"/>
    <mergeCell ref="G100:I100"/>
    <mergeCell ref="D109:N109"/>
    <mergeCell ref="E97:N97"/>
    <mergeCell ref="E98:N98"/>
    <mergeCell ref="E111:N111"/>
    <mergeCell ref="F119:N119"/>
    <mergeCell ref="F117:N117"/>
    <mergeCell ref="E113:N113"/>
    <mergeCell ref="F116:N116"/>
    <mergeCell ref="F120:N120"/>
    <mergeCell ref="M152:N152"/>
    <mergeCell ref="F154:L154"/>
    <mergeCell ref="G60:I60"/>
    <mergeCell ref="G63:I63"/>
    <mergeCell ref="J65:N65"/>
    <mergeCell ref="G64:I64"/>
    <mergeCell ref="J107:N107"/>
    <mergeCell ref="J100:N100"/>
    <mergeCell ref="G91:I91"/>
    <mergeCell ref="G102:I102"/>
    <mergeCell ref="G106:I106"/>
    <mergeCell ref="G107:I107"/>
    <mergeCell ref="J105:N105"/>
    <mergeCell ref="J71:N71"/>
    <mergeCell ref="J69:N69"/>
    <mergeCell ref="G77:I77"/>
    <mergeCell ref="J77:N77"/>
    <mergeCell ref="G71:I71"/>
    <mergeCell ref="E76:N76"/>
    <mergeCell ref="G70:I70"/>
    <mergeCell ref="G94:I94"/>
    <mergeCell ref="J92:N92"/>
    <mergeCell ref="E74:N74"/>
    <mergeCell ref="G69:I69"/>
    <mergeCell ref="J70:N70"/>
    <mergeCell ref="D88:N88"/>
    <mergeCell ref="F301:H301"/>
    <mergeCell ref="M304:N304"/>
    <mergeCell ref="F299:H299"/>
    <mergeCell ref="M301:N301"/>
    <mergeCell ref="F300:H300"/>
    <mergeCell ref="I300:J300"/>
    <mergeCell ref="K300:L300"/>
    <mergeCell ref="M299:N299"/>
    <mergeCell ref="M300:N300"/>
    <mergeCell ref="F303:H303"/>
    <mergeCell ref="F304:H304"/>
    <mergeCell ref="K304:L304"/>
    <mergeCell ref="F302:H302"/>
    <mergeCell ref="K302:L302"/>
    <mergeCell ref="I303:J303"/>
    <mergeCell ref="I304:J304"/>
    <mergeCell ref="M302:N302"/>
    <mergeCell ref="K299:L299"/>
    <mergeCell ref="K301:L301"/>
    <mergeCell ref="J316:L316"/>
    <mergeCell ref="H315:I315"/>
    <mergeCell ref="H320:I320"/>
    <mergeCell ref="J314:L314"/>
    <mergeCell ref="H319:I319"/>
    <mergeCell ref="J319:L319"/>
    <mergeCell ref="M317:N317"/>
    <mergeCell ref="I305:J305"/>
    <mergeCell ref="H312:I312"/>
    <mergeCell ref="K305:L305"/>
    <mergeCell ref="F305:H305"/>
    <mergeCell ref="J312:L312"/>
    <mergeCell ref="F310:G310"/>
    <mergeCell ref="M312:N312"/>
    <mergeCell ref="F311:G311"/>
    <mergeCell ref="F312:G312"/>
    <mergeCell ref="M310:N310"/>
    <mergeCell ref="M311:N311"/>
    <mergeCell ref="G80:I80"/>
    <mergeCell ref="J80:N80"/>
    <mergeCell ref="J85:N85"/>
    <mergeCell ref="J93:N93"/>
    <mergeCell ref="J84:N84"/>
    <mergeCell ref="J91:N91"/>
    <mergeCell ref="G86:I86"/>
    <mergeCell ref="J86:N86"/>
    <mergeCell ref="G93:I93"/>
    <mergeCell ref="E249:N249"/>
    <mergeCell ref="J310:L310"/>
    <mergeCell ref="E90:N90"/>
    <mergeCell ref="I298:J298"/>
    <mergeCell ref="F287:N287"/>
    <mergeCell ref="K303:L303"/>
    <mergeCell ref="I301:J301"/>
    <mergeCell ref="M303:N303"/>
    <mergeCell ref="I302:J302"/>
    <mergeCell ref="I299:J299"/>
    <mergeCell ref="E309:N309"/>
    <mergeCell ref="D222:N222"/>
    <mergeCell ref="E260:H260"/>
    <mergeCell ref="E198:N198"/>
    <mergeCell ref="E217:N217"/>
    <mergeCell ref="E196:N196"/>
    <mergeCell ref="L239:M239"/>
    <mergeCell ref="E233:I233"/>
    <mergeCell ref="E253:N253"/>
    <mergeCell ref="M305:N305"/>
    <mergeCell ref="E308:N308"/>
    <mergeCell ref="E307:N307"/>
    <mergeCell ref="H310:I310"/>
    <mergeCell ref="E264:H264"/>
    <mergeCell ref="E255:N255"/>
    <mergeCell ref="F320:G320"/>
    <mergeCell ref="J320:L320"/>
    <mergeCell ref="H311:I311"/>
    <mergeCell ref="J311:L311"/>
    <mergeCell ref="F316:G316"/>
    <mergeCell ref="F319:G319"/>
    <mergeCell ref="H318:I318"/>
    <mergeCell ref="J318:L318"/>
    <mergeCell ref="F318:G318"/>
    <mergeCell ref="M316:N316"/>
    <mergeCell ref="J317:L317"/>
    <mergeCell ref="F315:G315"/>
    <mergeCell ref="F314:G314"/>
    <mergeCell ref="F313:G313"/>
    <mergeCell ref="J315:L315"/>
    <mergeCell ref="H313:I313"/>
    <mergeCell ref="M314:N314"/>
    <mergeCell ref="H314:I314"/>
    <mergeCell ref="M315:N315"/>
    <mergeCell ref="M320:N320"/>
    <mergeCell ref="J313:L313"/>
    <mergeCell ref="M313:N313"/>
    <mergeCell ref="H316:I316"/>
    <mergeCell ref="I2:J2"/>
    <mergeCell ref="K2:L2"/>
    <mergeCell ref="K3:L3"/>
    <mergeCell ref="G4:H4"/>
    <mergeCell ref="E4:F4"/>
    <mergeCell ref="D322:N322"/>
    <mergeCell ref="D268:N268"/>
    <mergeCell ref="M318:N318"/>
    <mergeCell ref="F317:G317"/>
    <mergeCell ref="H317:I317"/>
    <mergeCell ref="D270:N270"/>
    <mergeCell ref="E259:H259"/>
    <mergeCell ref="M319:N319"/>
    <mergeCell ref="E240:I240"/>
    <mergeCell ref="E250:N250"/>
    <mergeCell ref="E262:H262"/>
    <mergeCell ref="E258:H258"/>
    <mergeCell ref="F279:N279"/>
    <mergeCell ref="E272:N272"/>
    <mergeCell ref="E275:N275"/>
    <mergeCell ref="E261:H261"/>
    <mergeCell ref="E273:N273"/>
    <mergeCell ref="E263:H263"/>
    <mergeCell ref="E256:N256"/>
    <mergeCell ref="G59:I59"/>
    <mergeCell ref="E55:N55"/>
    <mergeCell ref="E44:I44"/>
    <mergeCell ref="E45:N45"/>
    <mergeCell ref="E48:N48"/>
    <mergeCell ref="E53:N53"/>
    <mergeCell ref="E56:N56"/>
    <mergeCell ref="F38:I38"/>
    <mergeCell ref="M2:N2"/>
    <mergeCell ref="E3:F3"/>
    <mergeCell ref="G3:H3"/>
    <mergeCell ref="I3:J3"/>
    <mergeCell ref="D6:N6"/>
    <mergeCell ref="E13:N13"/>
    <mergeCell ref="M3:N3"/>
    <mergeCell ref="E12:I12"/>
    <mergeCell ref="I4:J4"/>
    <mergeCell ref="K4:L4"/>
    <mergeCell ref="D10:N10"/>
    <mergeCell ref="M4:N4"/>
    <mergeCell ref="J12:N12"/>
    <mergeCell ref="D8:N8"/>
    <mergeCell ref="B2:D4"/>
    <mergeCell ref="G2:H2"/>
    <mergeCell ref="J58:N58"/>
    <mergeCell ref="J59:N59"/>
    <mergeCell ref="G62:I62"/>
    <mergeCell ref="J63:N63"/>
    <mergeCell ref="F40:N40"/>
    <mergeCell ref="F118:N118"/>
    <mergeCell ref="E18:I18"/>
    <mergeCell ref="E32:N32"/>
    <mergeCell ref="J20:N20"/>
    <mergeCell ref="J68:N68"/>
    <mergeCell ref="E20:I20"/>
    <mergeCell ref="E52:N52"/>
    <mergeCell ref="F49:N49"/>
    <mergeCell ref="F50:N50"/>
    <mergeCell ref="E23:N23"/>
    <mergeCell ref="E26:N26"/>
    <mergeCell ref="E33:N33"/>
    <mergeCell ref="E25:I25"/>
    <mergeCell ref="J34:N34"/>
    <mergeCell ref="E47:I47"/>
    <mergeCell ref="E51:N51"/>
    <mergeCell ref="J62:N62"/>
    <mergeCell ref="E31:N31"/>
    <mergeCell ref="G58:I58"/>
    <mergeCell ref="J15:N15"/>
    <mergeCell ref="J29:N29"/>
    <mergeCell ref="F37:I37"/>
    <mergeCell ref="F42:I42"/>
    <mergeCell ref="J38:N38"/>
    <mergeCell ref="J42:N42"/>
    <mergeCell ref="J37:N37"/>
    <mergeCell ref="E22:N22"/>
    <mergeCell ref="E15:I15"/>
    <mergeCell ref="E16:N16"/>
    <mergeCell ref="E27:N27"/>
    <mergeCell ref="J25:N25"/>
    <mergeCell ref="J41:N41"/>
    <mergeCell ref="F41:I41"/>
    <mergeCell ref="F152:L152"/>
    <mergeCell ref="E21:N21"/>
    <mergeCell ref="J60:N60"/>
    <mergeCell ref="J64:N64"/>
    <mergeCell ref="J61:N61"/>
    <mergeCell ref="G65:I65"/>
    <mergeCell ref="J99:N99"/>
    <mergeCell ref="G57:I57"/>
    <mergeCell ref="J57:N57"/>
    <mergeCell ref="J95:N95"/>
    <mergeCell ref="E67:N67"/>
    <mergeCell ref="E82:N82"/>
    <mergeCell ref="J79:N79"/>
    <mergeCell ref="G83:I83"/>
    <mergeCell ref="G84:I84"/>
    <mergeCell ref="G85:I85"/>
    <mergeCell ref="J83:N83"/>
    <mergeCell ref="G68:I68"/>
    <mergeCell ref="G61:I61"/>
    <mergeCell ref="E29:I29"/>
    <mergeCell ref="F36:N36"/>
    <mergeCell ref="F34:I34"/>
    <mergeCell ref="G78:I78"/>
    <mergeCell ref="G79:I79"/>
    <mergeCell ref="E159:N159"/>
    <mergeCell ref="M156:N156"/>
    <mergeCell ref="E170:L171"/>
    <mergeCell ref="E174:L175"/>
    <mergeCell ref="M177:N177"/>
    <mergeCell ref="E177:L178"/>
    <mergeCell ref="E183:N183"/>
    <mergeCell ref="M170:N170"/>
    <mergeCell ref="F156:L156"/>
    <mergeCell ref="E172:N172"/>
    <mergeCell ref="E157:N157"/>
    <mergeCell ref="E180:L181"/>
    <mergeCell ref="D168:N168"/>
    <mergeCell ref="E182:N182"/>
    <mergeCell ref="M176:N176"/>
    <mergeCell ref="M174:N174"/>
    <mergeCell ref="E176:L176"/>
    <mergeCell ref="E163:I163"/>
    <mergeCell ref="E164:N164"/>
  </mergeCells>
  <phoneticPr fontId="31" type="noConversion"/>
  <conditionalFormatting sqref="B2:D4">
    <cfRule type="expression" dxfId="263" priority="31" stopIfTrue="1">
      <formula>CNTR_HasErrors_A</formula>
    </cfRule>
  </conditionalFormatting>
  <conditionalFormatting sqref="F311:G320">
    <cfRule type="expression" dxfId="262" priority="23" stopIfTrue="1">
      <formula>($R296=FALSE)</formula>
    </cfRule>
  </conditionalFormatting>
  <conditionalFormatting sqref="F311:N320">
    <cfRule type="expression" dxfId="261" priority="22" stopIfTrue="1">
      <formula>AND(CNTR_ExistConnectionEntries,ISBLANK($F296))</formula>
    </cfRule>
  </conditionalFormatting>
  <conditionalFormatting sqref="G4:H4">
    <cfRule type="expression" dxfId="260" priority="32" stopIfTrue="1">
      <formula>$G$378</formula>
    </cfRule>
  </conditionalFormatting>
  <conditionalFormatting sqref="H311:N320">
    <cfRule type="expression" dxfId="259" priority="26" stopIfTrue="1">
      <formula>($R296=FALSE)</formula>
    </cfRule>
  </conditionalFormatting>
  <conditionalFormatting sqref="I4:J4">
    <cfRule type="expression" dxfId="258" priority="33" stopIfTrue="1">
      <formula>$G$379</formula>
    </cfRule>
  </conditionalFormatting>
  <conditionalFormatting sqref="I219:M219">
    <cfRule type="expression" dxfId="257" priority="6" stopIfTrue="1">
      <formula>AND(ISNUMBER(CNTR_BaselinePeriodChosen),I$331&lt;&gt;CNTR_BaselinePeriodChosen,NOT(MSconst_RequireAllYears))</formula>
    </cfRule>
  </conditionalFormatting>
  <conditionalFormatting sqref="J259:J265">
    <cfRule type="expression" dxfId="256" priority="3" stopIfTrue="1">
      <formula>AND($I259&lt;&gt;"",$I259=FALSE)</formula>
    </cfRule>
  </conditionalFormatting>
  <conditionalFormatting sqref="J34:N34 J37:N38">
    <cfRule type="expression" dxfId="255" priority="30" stopIfTrue="1">
      <formula>(MSconst_RequirePermitInfo=FALSE)</formula>
    </cfRule>
  </conditionalFormatting>
  <conditionalFormatting sqref="K4:L4">
    <cfRule type="expression" dxfId="254" priority="34" stopIfTrue="1">
      <formula>$G$380</formula>
    </cfRule>
  </conditionalFormatting>
  <conditionalFormatting sqref="M140:N140">
    <cfRule type="expression" dxfId="253" priority="2" stopIfTrue="1">
      <formula>$X$140</formula>
    </cfRule>
  </conditionalFormatting>
  <conditionalFormatting sqref="M152:N152">
    <cfRule type="expression" dxfId="252" priority="1" stopIfTrue="1">
      <formula>$X$152</formula>
    </cfRule>
  </conditionalFormatting>
  <dataValidations count="12">
    <dataValidation type="list" allowBlank="1" showInputMessage="1" showErrorMessage="1" sqref="I296:I305" xr:uid="{1ACCEFD0-F4B6-4D99-8DFE-58A708BBE0A4}">
      <formula1>EUconst_ConnectedEntityTypes</formula1>
    </dataValidation>
    <dataValidation type="list" allowBlank="1" showInputMessage="1" showErrorMessage="1" sqref="K296:L305" xr:uid="{E8AF09EE-5994-4186-BC59-EA58F9871A76}">
      <formula1>EUconst_ConnectionTypes</formula1>
    </dataValidation>
    <dataValidation type="list" allowBlank="1" showInputMessage="1" showErrorMessage="1" sqref="M296:N305" xr:uid="{955586C4-BFA8-42F1-953E-29AA39F55C70}">
      <formula1>EUconst_ConnectionTransferTypes</formula1>
    </dataValidation>
    <dataValidation type="list" allowBlank="1" showInputMessage="1" showErrorMessage="1" sqref="J18 M174:N174 M170:N170 M177:N177 J47 M180:N180 I219:M219 M134:N134 M140:N140 I259:I265 M152:N152" xr:uid="{F3908386-33B9-456D-8CCC-8D14FF9B721D}">
      <formula1>Euconst_TrueFalse</formula1>
    </dataValidation>
    <dataValidation type="list" allowBlank="1" showInputMessage="1" showErrorMessage="1" sqref="E234:E243" xr:uid="{7CD22EBA-33D4-439E-9DEA-D07B3E402403}">
      <formula1>EUconst_BMlistNames</formula1>
    </dataValidation>
    <dataValidation type="list" allowBlank="1" showInputMessage="1" showErrorMessage="1" sqref="J212:K212" xr:uid="{F23CF166-0812-42BD-96F5-11E8A8FCADDF}">
      <formula1>EUconst_BaselinePeriods</formula1>
    </dataValidation>
    <dataValidation type="list" allowBlank="1" showInputMessage="1" showErrorMessage="1" sqref="E189:N189" xr:uid="{66F226F2-E95A-4D85-AC63-508E8089B285}">
      <formula1>EUconst_ConfirmationNotEligible</formula1>
    </dataValidation>
    <dataValidation type="list" allowBlank="1" showInputMessage="1" showErrorMessage="1" sqref="E199:N199" xr:uid="{0EEBF311-7AB3-4E67-9938-F974DDE53016}">
      <formula1>EUconst_ConfirmApplicationForAlloc</formula1>
    </dataValidation>
    <dataValidation type="list" allowBlank="1" showInputMessage="1" showErrorMessage="1" sqref="F115:N120" xr:uid="{701064AF-3CB3-4B8B-A6BA-CA02249C7410}">
      <formula1>EUconst_AnnexIActivities</formula1>
    </dataValidation>
    <dataValidation type="list" allowBlank="1" showInputMessage="1" showErrorMessage="1" sqref="J105:N105" xr:uid="{73B61C48-EFE2-473B-B1AE-07DC9AB5C061}">
      <formula1>EUconst_MSlist</formula1>
    </dataValidation>
    <dataValidation type="textLength" errorStyle="warning" operator="equal" allowBlank="1" showInputMessage="1" showErrorMessage="1" sqref="L128" xr:uid="{641DE3A7-FEB5-4AC8-B1CB-0F483163AA50}">
      <formula1>4</formula1>
    </dataValidation>
    <dataValidation type="date" operator="greaterThan" allowBlank="1" showInputMessage="1" showErrorMessage="1" sqref="J234:J243 J259:J265" xr:uid="{6E153AE7-2E65-47A4-9056-E6F903DF07BC}">
      <formula1>1</formula1>
    </dataValidation>
  </dataValidations>
  <hyperlinks>
    <hyperlink ref="G2:H2" location="JUMP_TOC_Home" display="Table of contents" xr:uid="{E3EEB9A8-7539-4D7C-8AC8-A5A41E12BFA5}"/>
    <hyperlink ref="M2:N2" location="JUMP_K_I" display="Summary" xr:uid="{88645D71-90CD-4773-B7A5-81C0CE122772}"/>
    <hyperlink ref="E3:F3" location="JUMP_A_I" display="Top of sheet" xr:uid="{CE6D20B1-F082-4A9D-B0E7-23C8D54D5EFD}"/>
    <hyperlink ref="D322:N322" location="JUMP_BY1_Top" display="JUMP_BY1_Top" xr:uid="{346FBA0E-A62E-49AA-8809-33949555AF06}"/>
    <hyperlink ref="E4:F4" location="JUMP_A_Bottom" display="End of sheet" xr:uid="{9FDF608C-FD73-426B-A61C-B4F15E17D039}"/>
    <hyperlink ref="I2:J2" location="JUMP_Guidelines_Home" display="Previous sheet" xr:uid="{5EE8A322-62BB-4B15-B229-98346161B32D}"/>
    <hyperlink ref="G3:H3" location="JUMP_A_I1" display="Installation ID" xr:uid="{489F1D6D-E796-4751-98FA-64C83C9DCD25}"/>
    <hyperlink ref="I3:J3" location="JUMP_A_I2" display="Contact persons" xr:uid="{ADD736A8-D415-4590-9F49-2354A9910E14}"/>
    <hyperlink ref="K3:L3" location="JUMP_A_I3" display="Verifier" xr:uid="{4A43831E-44B5-4765-B643-8FB350DF8325}"/>
    <hyperlink ref="M3:N3" location="JUMP_A_I4" display="Further information" xr:uid="{B288585C-6412-4C0E-8A3E-EC00FB56F4B6}"/>
    <hyperlink ref="G4:H4" location="JUMP_A_II1" display="Eligibility" xr:uid="{5C986832-A7F7-4AD9-BE1A-89BCA286FF31}"/>
    <hyperlink ref="I4:J4" location="JUMP_A_II2" display="Baseline period" xr:uid="{8A7642C8-28EE-4CB3-B3A7-1AA7B0E7FFC3}"/>
    <hyperlink ref="K4:L4" location="JUMP_A_III1" display="Sub-installations" xr:uid="{9FBABC61-1A1B-4437-95C2-803878FA5472}"/>
    <hyperlink ref="M4:N4" location="JUMP_A_IV1" display="Technical connections" xr:uid="{5FA25A76-3061-4CD2-AF33-DFEDD468A13A}"/>
    <hyperlink ref="K2:L2" location="D_Emissions!C6" display="D_Emissions!C6" xr:uid="{65CB6BEB-AC8E-439C-B62A-EEF3ECD90FC9}"/>
    <hyperlink ref="E125:N125" r:id="rId1" display="https://www.gov.uk/government/publications/pollution-inventory-reporting-guidance-notes/reporting-codes-list-pollution-inventory-reporting" xr:uid="{49519094-33BA-4C28-8FB7-A19B778210ED}"/>
    <hyperlink ref="E125" r:id="rId2" xr:uid="{D11EB33F-480D-4CA2-BB74-B42A98FFB50C}"/>
  </hyperlinks>
  <pageMargins left="0.78740157480314965" right="0.78740157480314965" top="0.78740157480314965" bottom="0.78740157480314965" header="0.51181102362204722" footer="0.51181102362204722"/>
  <pageSetup paperSize="9" scale="61" fitToHeight="10" orientation="portrait" r:id="rId3"/>
  <headerFooter alignWithMargins="0">
    <oddHeader>&amp;L&amp;F; &amp;A&amp;R&amp;D; &amp;T</oddHeader>
    <oddFooter>&amp;C&amp;P / &amp;N</oddFooter>
  </headerFooter>
  <rowBreaks count="1" manualBreakCount="1">
    <brk id="269" min="2" max="14" man="1"/>
  </rowBreaks>
  <ignoredErrors>
    <ignoredError sqref="M176"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782102F1-D567-4A9A-822F-0AD09AB54D57}">
          <x14:formula1>
            <xm:f>Translations!$B$1543:$B$1547</xm:f>
          </x14:formula1>
          <xm:sqref>J34:N34</xm:sqref>
        </x14:dataValidation>
        <x14:dataValidation type="list" allowBlank="1" showInputMessage="1" showErrorMessage="1" xr:uid="{F7E38EB0-01AE-4C12-8492-F6DE68231DCC}">
          <x14:formula1>
            <xm:f>Translations!$B$1553:$B$1557</xm:f>
          </x14:formula1>
          <xm:sqref>E203:N203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5B62-6F59-444E-B295-89B206E50B26}">
  <sheetPr codeName="Tabelle6">
    <tabColor indexed="52"/>
    <pageSetUpPr fitToPage="1"/>
  </sheetPr>
  <dimension ref="A1:X317"/>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3.6640625" style="145" hidden="1" customWidth="1"/>
    <col min="2" max="2" width="2.6640625" style="220" customWidth="1"/>
    <col min="3" max="4" width="4.6640625" style="220" customWidth="1"/>
    <col min="5" max="6" width="12.6640625" style="220" customWidth="1"/>
    <col min="7" max="8" width="14.6640625" style="220" customWidth="1"/>
    <col min="9" max="14" width="13.6640625" style="220" customWidth="1"/>
    <col min="15" max="15" width="12" style="220" customWidth="1"/>
    <col min="16" max="16" width="12.6640625" style="145" hidden="1" customWidth="1"/>
    <col min="17" max="24" width="11.44140625" style="145" hidden="1" customWidth="1"/>
    <col min="25" max="16384" width="11.44140625" style="276" hidden="1"/>
  </cols>
  <sheetData>
    <row r="1" spans="1:24" s="145" customFormat="1" ht="13.8" hidden="1" thickBot="1" x14ac:dyDescent="0.3">
      <c r="A1" s="145" t="s">
        <v>187</v>
      </c>
      <c r="P1" s="145" t="s">
        <v>187</v>
      </c>
      <c r="Q1" s="145" t="s">
        <v>187</v>
      </c>
      <c r="R1" s="145" t="s">
        <v>187</v>
      </c>
      <c r="S1" s="145" t="s">
        <v>187</v>
      </c>
      <c r="T1" s="145" t="s">
        <v>187</v>
      </c>
      <c r="U1" s="145" t="s">
        <v>187</v>
      </c>
      <c r="V1" s="145" t="s">
        <v>187</v>
      </c>
      <c r="W1" s="145" t="s">
        <v>187</v>
      </c>
      <c r="X1" s="145" t="s">
        <v>187</v>
      </c>
    </row>
    <row r="2" spans="1:24" ht="13.8" thickBot="1" x14ac:dyDescent="0.3">
      <c r="B2" s="1282" t="str">
        <f>Translations!$B$351</f>
        <v>D.
Emissions</v>
      </c>
      <c r="C2" s="1283"/>
      <c r="D2" s="1284"/>
      <c r="E2" s="318" t="str">
        <f>Translations!$B$2</f>
        <v>Navigation area:</v>
      </c>
      <c r="F2" s="752"/>
      <c r="G2" s="1291" t="str">
        <f>Translations!$B$18</f>
        <v>Table of contents</v>
      </c>
      <c r="H2" s="1147"/>
      <c r="I2" s="1147" t="str">
        <f>Translations!$B$19</f>
        <v>Previous sheet</v>
      </c>
      <c r="J2" s="1147"/>
      <c r="K2" s="1147" t="str">
        <f>Translations!$B$3</f>
        <v>Next sheet</v>
      </c>
      <c r="L2" s="1147"/>
      <c r="M2" s="1147" t="str">
        <f>Translations!$B$4</f>
        <v>Summary</v>
      </c>
      <c r="N2" s="1147"/>
      <c r="O2" s="8"/>
      <c r="P2" s="9"/>
      <c r="Q2" s="9"/>
      <c r="R2" s="9"/>
      <c r="S2" s="9"/>
      <c r="T2" s="9"/>
      <c r="U2" s="9"/>
      <c r="V2" s="9"/>
      <c r="W2" s="9"/>
      <c r="X2" s="9"/>
    </row>
    <row r="3" spans="1:24" ht="13.8" thickBot="1" x14ac:dyDescent="0.3">
      <c r="B3" s="1285"/>
      <c r="C3" s="1286"/>
      <c r="D3" s="1287"/>
      <c r="E3" s="1147" t="str">
        <f>Translations!$B$5</f>
        <v>Top of sheet</v>
      </c>
      <c r="F3" s="1276"/>
      <c r="G3" s="1277" t="str">
        <f>Translations!$B$352</f>
        <v>Emissions and Energy Input</v>
      </c>
      <c r="H3" s="1278"/>
      <c r="I3" s="1278" t="str">
        <f>Translations!$B$353</f>
        <v>Emissions Attribution</v>
      </c>
      <c r="J3" s="1278"/>
      <c r="K3" s="1278" t="str">
        <f>Translations!$B$354</f>
        <v>Cogeneration (1)</v>
      </c>
      <c r="L3" s="1278"/>
      <c r="M3" s="1278" t="str">
        <f>Translations!$B$355</f>
        <v>Cogeneration (2)</v>
      </c>
      <c r="N3" s="1278"/>
      <c r="O3" s="8"/>
      <c r="P3" s="9"/>
      <c r="Q3" s="9"/>
      <c r="R3" s="9"/>
      <c r="S3" s="9"/>
      <c r="T3" s="9"/>
      <c r="U3" s="9"/>
      <c r="V3" s="9"/>
      <c r="W3" s="9"/>
      <c r="X3" s="9"/>
    </row>
    <row r="4" spans="1:24" ht="13.8" thickBot="1" x14ac:dyDescent="0.3">
      <c r="B4" s="1288"/>
      <c r="C4" s="1289"/>
      <c r="D4" s="1290"/>
      <c r="E4" s="1147" t="str">
        <f>Translations!$B$6</f>
        <v>End of sheet</v>
      </c>
      <c r="F4" s="1147"/>
      <c r="G4" s="1292" t="str">
        <f>Translations!$B$356</f>
        <v>Waste gases (1)</v>
      </c>
      <c r="H4" s="1279"/>
      <c r="I4" s="1279" t="str">
        <f>Translations!$B$357</f>
        <v>Waste gases (2)</v>
      </c>
      <c r="J4" s="1279"/>
      <c r="K4" s="1279"/>
      <c r="L4" s="1279"/>
      <c r="M4" s="1279"/>
      <c r="N4" s="1279"/>
      <c r="O4" s="8"/>
      <c r="P4" s="9"/>
      <c r="Q4" s="9"/>
      <c r="R4" s="9"/>
      <c r="S4" s="9"/>
      <c r="T4" s="9"/>
      <c r="U4" s="9"/>
      <c r="V4" s="9"/>
      <c r="W4" s="9"/>
      <c r="X4" s="9"/>
    </row>
    <row r="5" spans="1:24" x14ac:dyDescent="0.25">
      <c r="B5" s="8"/>
      <c r="C5" s="6"/>
      <c r="D5" s="8"/>
      <c r="E5" s="8"/>
      <c r="F5" s="202"/>
      <c r="G5" s="202"/>
      <c r="H5" s="202"/>
      <c r="I5" s="8"/>
      <c r="J5" s="8"/>
      <c r="K5" s="8"/>
      <c r="L5" s="8"/>
      <c r="M5" s="8"/>
      <c r="N5" s="8"/>
      <c r="O5" s="8"/>
      <c r="P5" s="9"/>
      <c r="Q5" s="9"/>
      <c r="R5" s="9"/>
      <c r="S5" s="9"/>
      <c r="T5" s="9"/>
      <c r="U5" s="9"/>
      <c r="V5" s="9"/>
      <c r="W5" s="9"/>
      <c r="X5" s="9"/>
    </row>
    <row r="6" spans="1:24" ht="23.25" customHeight="1" x14ac:dyDescent="0.25">
      <c r="B6" s="8"/>
      <c r="C6" s="10" t="s">
        <v>7</v>
      </c>
      <c r="D6" s="1207" t="str">
        <f>Translations!$B$358</f>
        <v>Sheet "Emissions" - ATTRIBUTION OF EMISSIONS</v>
      </c>
      <c r="E6" s="1176"/>
      <c r="F6" s="1176"/>
      <c r="G6" s="1176"/>
      <c r="H6" s="1176"/>
      <c r="I6" s="1176"/>
      <c r="J6" s="1176"/>
      <c r="K6" s="1176"/>
      <c r="L6" s="1176"/>
      <c r="M6" s="1176"/>
      <c r="N6" s="1176"/>
      <c r="O6" s="8"/>
      <c r="P6" s="11" t="s">
        <v>188</v>
      </c>
      <c r="Q6" s="11" t="s">
        <v>188</v>
      </c>
      <c r="R6" s="11" t="s">
        <v>188</v>
      </c>
      <c r="S6" s="11" t="s">
        <v>188</v>
      </c>
      <c r="T6" s="11" t="s">
        <v>188</v>
      </c>
      <c r="U6" s="11" t="s">
        <v>188</v>
      </c>
      <c r="V6" s="11" t="s">
        <v>188</v>
      </c>
      <c r="W6" s="11" t="s">
        <v>188</v>
      </c>
      <c r="X6" s="11" t="s">
        <v>188</v>
      </c>
    </row>
    <row r="7" spans="1:24" x14ac:dyDescent="0.25">
      <c r="B7" s="17"/>
      <c r="C7" s="770"/>
      <c r="D7" s="770"/>
      <c r="E7" s="770"/>
      <c r="F7" s="770"/>
      <c r="G7" s="770"/>
      <c r="H7" s="770"/>
      <c r="I7" s="770"/>
      <c r="J7" s="770"/>
      <c r="K7" s="770"/>
      <c r="L7" s="770"/>
      <c r="M7" s="770"/>
      <c r="N7" s="770"/>
      <c r="O7" s="17"/>
      <c r="P7" s="12" t="s">
        <v>189</v>
      </c>
      <c r="Q7" s="12" t="s">
        <v>189</v>
      </c>
      <c r="R7" s="12" t="s">
        <v>189</v>
      </c>
      <c r="S7" s="12" t="s">
        <v>189</v>
      </c>
      <c r="T7" s="12" t="s">
        <v>189</v>
      </c>
      <c r="U7" s="12" t="s">
        <v>189</v>
      </c>
      <c r="V7" s="12" t="s">
        <v>189</v>
      </c>
      <c r="W7" s="12" t="s">
        <v>189</v>
      </c>
      <c r="X7" s="12" t="s">
        <v>189</v>
      </c>
    </row>
    <row r="8" spans="1:24" ht="15.6" x14ac:dyDescent="0.3">
      <c r="B8" s="8"/>
      <c r="C8" s="13" t="s">
        <v>3</v>
      </c>
      <c r="D8" s="1175" t="str">
        <f>Translations!$B$359</f>
        <v>Total Direct Greenhouse Gas Emissions and Energy Input from Fuels</v>
      </c>
      <c r="E8" s="1175"/>
      <c r="F8" s="1175"/>
      <c r="G8" s="1175"/>
      <c r="H8" s="1175"/>
      <c r="I8" s="1175"/>
      <c r="J8" s="1175"/>
      <c r="K8" s="1175"/>
      <c r="L8" s="1175"/>
      <c r="M8" s="1175"/>
      <c r="N8" s="1175"/>
      <c r="O8" s="8"/>
      <c r="P8" s="9"/>
      <c r="Q8" s="9"/>
      <c r="R8" s="9"/>
      <c r="S8" s="9"/>
      <c r="T8" s="9"/>
      <c r="U8" s="9"/>
      <c r="X8" s="9"/>
    </row>
    <row r="9" spans="1:24" ht="5.0999999999999996" customHeight="1" x14ac:dyDescent="0.25">
      <c r="B9" s="8"/>
      <c r="C9" s="8"/>
      <c r="D9" s="8"/>
      <c r="E9" s="8"/>
      <c r="F9" s="8"/>
      <c r="G9" s="8"/>
      <c r="H9" s="8"/>
      <c r="I9" s="8"/>
      <c r="J9" s="8"/>
      <c r="K9" s="8"/>
      <c r="L9" s="8"/>
      <c r="M9" s="8"/>
      <c r="N9" s="8"/>
      <c r="O9" s="8"/>
      <c r="P9" s="9"/>
      <c r="Q9" s="9"/>
    </row>
    <row r="10" spans="1:24" ht="39.9" customHeight="1" x14ac:dyDescent="0.25">
      <c r="B10" s="17"/>
      <c r="C10" s="770"/>
      <c r="D10" s="1333" t="s">
        <v>324</v>
      </c>
      <c r="E10" s="1333"/>
      <c r="F10" s="1333"/>
      <c r="G10" s="1333"/>
      <c r="H10" s="1333"/>
      <c r="I10" s="1333"/>
      <c r="J10" s="1333"/>
      <c r="K10" s="1333"/>
      <c r="L10" s="1333"/>
      <c r="M10" s="1333"/>
      <c r="N10" s="1333"/>
      <c r="O10" s="8"/>
      <c r="P10" s="9"/>
    </row>
    <row r="11" spans="1:24" x14ac:dyDescent="0.25">
      <c r="B11" s="17"/>
      <c r="C11" s="770"/>
      <c r="D11" s="1438" t="str">
        <f>Translations!$B$361</f>
        <v>For further information see general notes at the beginning of sheet B.</v>
      </c>
      <c r="E11" s="1438"/>
      <c r="F11" s="1438"/>
      <c r="G11" s="1438"/>
      <c r="H11" s="1438"/>
      <c r="I11" s="1438"/>
      <c r="J11" s="1438"/>
      <c r="K11" s="1438"/>
      <c r="L11" s="1438"/>
      <c r="M11" s="1438"/>
      <c r="N11" s="1438"/>
      <c r="O11" s="8"/>
      <c r="P11" s="9"/>
    </row>
    <row r="12" spans="1:24" x14ac:dyDescent="0.25">
      <c r="B12" s="17"/>
      <c r="C12" s="17"/>
      <c r="D12" s="17"/>
      <c r="E12" s="17"/>
      <c r="F12" s="17"/>
      <c r="G12" s="17"/>
      <c r="H12" s="17"/>
      <c r="I12" s="17"/>
      <c r="J12" s="17"/>
      <c r="K12" s="17"/>
      <c r="L12" s="17"/>
      <c r="M12" s="17"/>
      <c r="N12" s="17"/>
      <c r="O12" s="8"/>
      <c r="P12" s="9"/>
      <c r="Q12" s="9"/>
    </row>
    <row r="13" spans="1:24" ht="13.8" x14ac:dyDescent="0.25">
      <c r="B13" s="8"/>
      <c r="C13" s="19">
        <v>1</v>
      </c>
      <c r="D13" s="1234" t="str">
        <f>Translations!$B$362</f>
        <v>Automatically calculated data at installation level</v>
      </c>
      <c r="E13" s="1176"/>
      <c r="F13" s="1176"/>
      <c r="G13" s="1176"/>
      <c r="H13" s="1176"/>
      <c r="I13" s="1176"/>
      <c r="J13" s="1176"/>
      <c r="K13" s="1176"/>
      <c r="L13" s="1176"/>
      <c r="M13" s="1176"/>
      <c r="N13" s="1176"/>
      <c r="O13" s="8"/>
      <c r="P13" s="9"/>
      <c r="Q13" s="9"/>
    </row>
    <row r="14" spans="1:24" ht="33.6" customHeight="1" x14ac:dyDescent="0.25">
      <c r="B14" s="17"/>
      <c r="C14" s="17"/>
      <c r="D14" s="17"/>
      <c r="E14" s="1223" t="s">
        <v>325</v>
      </c>
      <c r="F14" s="1176"/>
      <c r="G14" s="1176"/>
      <c r="H14" s="1176"/>
      <c r="I14" s="1176"/>
      <c r="J14" s="1176"/>
      <c r="K14" s="1176"/>
      <c r="L14" s="1176"/>
      <c r="M14" s="1176"/>
      <c r="N14" s="1176"/>
      <c r="O14" s="8"/>
    </row>
    <row r="15" spans="1:24" ht="5.0999999999999996" customHeight="1" thickBot="1" x14ac:dyDescent="0.3">
      <c r="B15" s="8"/>
      <c r="C15" s="8"/>
      <c r="D15" s="8"/>
      <c r="E15" s="8"/>
      <c r="F15" s="8"/>
      <c r="G15" s="8"/>
      <c r="H15" s="8"/>
      <c r="I15" s="8"/>
      <c r="J15" s="8"/>
      <c r="K15" s="8"/>
      <c r="L15" s="8"/>
      <c r="M15" s="8"/>
      <c r="N15" s="8"/>
      <c r="O15" s="8"/>
      <c r="P15" s="9"/>
      <c r="Q15" s="9"/>
    </row>
    <row r="16" spans="1:24" ht="13.8" thickBot="1" x14ac:dyDescent="0.3">
      <c r="B16" s="8"/>
      <c r="C16" s="8"/>
      <c r="D16" s="15"/>
      <c r="E16" s="1259" t="str">
        <f>Translations!$B$364</f>
        <v>Installation level data:</v>
      </c>
      <c r="F16" s="1259"/>
      <c r="G16" s="1259"/>
      <c r="H16" s="24" t="str">
        <f>EUconst_Unit</f>
        <v>Unit</v>
      </c>
      <c r="I16" s="128">
        <f>I$309</f>
        <v>2019</v>
      </c>
      <c r="J16" s="128">
        <f>J$309</f>
        <v>2020</v>
      </c>
      <c r="K16" s="128">
        <f>K$309</f>
        <v>2021</v>
      </c>
      <c r="L16" s="128">
        <f>L$309</f>
        <v>2022</v>
      </c>
      <c r="M16" s="128">
        <f>M$309</f>
        <v>2023</v>
      </c>
      <c r="N16" s="17"/>
      <c r="O16" s="8"/>
      <c r="P16" s="9"/>
      <c r="Q16" s="62"/>
      <c r="R16" s="280">
        <f>I16</f>
        <v>2019</v>
      </c>
      <c r="S16" s="312">
        <f>J16</f>
        <v>2020</v>
      </c>
      <c r="T16" s="312">
        <f>K16</f>
        <v>2021</v>
      </c>
      <c r="U16" s="312">
        <f>L16</f>
        <v>2022</v>
      </c>
      <c r="V16" s="313">
        <f>M16</f>
        <v>2023</v>
      </c>
    </row>
    <row r="17" spans="1:24" x14ac:dyDescent="0.25">
      <c r="B17" s="17"/>
      <c r="C17" s="17"/>
      <c r="D17" s="17"/>
      <c r="E17" s="1248" t="str">
        <f>Translations!$B$365</f>
        <v>Total CO2 emissions</v>
      </c>
      <c r="F17" s="1248"/>
      <c r="G17" s="1248"/>
      <c r="H17" s="222" t="str">
        <f>EUconst_tCO2pa</f>
        <v>t CO2 / year</v>
      </c>
      <c r="I17" s="797" t="str">
        <f t="shared" ref="I17:M20" si="0">IF(R17&gt;0,R17,"")</f>
        <v/>
      </c>
      <c r="J17" s="797" t="str">
        <f t="shared" si="0"/>
        <v/>
      </c>
      <c r="K17" s="797" t="str">
        <f t="shared" si="0"/>
        <v/>
      </c>
      <c r="L17" s="797" t="str">
        <f t="shared" si="0"/>
        <v/>
      </c>
      <c r="M17" s="797" t="str">
        <f t="shared" si="0"/>
        <v/>
      </c>
      <c r="N17" s="17"/>
      <c r="O17" s="8"/>
      <c r="P17" s="56" t="str">
        <f>EUconst_SumCO2</f>
        <v>SUM_CO2</v>
      </c>
      <c r="Q17" s="62"/>
      <c r="R17" s="798">
        <f>SUMIF('B+C_Emissions_Y1'!$BA$20:$BA$133,$P17,'B+C_Emissions_Y1'!$AU$20:$AU$133)</f>
        <v>0</v>
      </c>
      <c r="S17" s="799">
        <f>SUMIF('B+C_Emissions_Y2'!$BA$20:$BA$133,$P17,'B+C_Emissions_Y2'!$AU$20:$AU$133)</f>
        <v>0</v>
      </c>
      <c r="T17" s="799">
        <f>SUMIF('B+C_Emissions_Y3'!$BA$20:$BA$133,$P17,'B+C_Emissions_Y3'!$AU$20:$AU$133)</f>
        <v>0</v>
      </c>
      <c r="U17" s="799">
        <f>SUMIF('B+C_Emissions_Y4'!$BA$20:$BA$133,$P17,'B+C_Emissions_Y4'!$AU$20:$AU$133)</f>
        <v>0</v>
      </c>
      <c r="V17" s="800">
        <f>SUMIF('B+C_Emissions_Y5'!$BA$20:$BA$133,$P17,'B+C_Emissions_Y5'!$AU$20:$AU$133)</f>
        <v>0</v>
      </c>
    </row>
    <row r="18" spans="1:24" x14ac:dyDescent="0.25">
      <c r="B18" s="17"/>
      <c r="C18" s="17"/>
      <c r="D18" s="17"/>
      <c r="E18" s="1251" t="str">
        <f>Translations!$B$366</f>
        <v>Biomass emissions</v>
      </c>
      <c r="F18" s="1251"/>
      <c r="G18" s="1251"/>
      <c r="H18" s="225" t="str">
        <f>EUconst_tCO2pa</f>
        <v>t CO2 / year</v>
      </c>
      <c r="I18" s="801" t="str">
        <f t="shared" si="0"/>
        <v/>
      </c>
      <c r="J18" s="801" t="str">
        <f t="shared" si="0"/>
        <v/>
      </c>
      <c r="K18" s="801" t="str">
        <f t="shared" si="0"/>
        <v/>
      </c>
      <c r="L18" s="801" t="str">
        <f t="shared" si="0"/>
        <v/>
      </c>
      <c r="M18" s="801" t="str">
        <f t="shared" si="0"/>
        <v/>
      </c>
      <c r="N18" s="17"/>
      <c r="O18" s="8"/>
      <c r="P18" s="56" t="str">
        <f>EUconst_SumCO2</f>
        <v>SUM_CO2</v>
      </c>
      <c r="R18" s="802">
        <f>SUMIF('B+C_Emissions_Y1'!$BA$20:$BA$133,$P18,'B+C_Emissions_Y1'!$AV$20:$AV$133)</f>
        <v>0</v>
      </c>
      <c r="S18" s="63">
        <f>SUMIF('B+C_Emissions_Y2'!$BA$20:$BA$133,$P18,'B+C_Emissions_Y2'!$AV$20:$AV$133)</f>
        <v>0</v>
      </c>
      <c r="T18" s="63">
        <f>SUMIF('B+C_Emissions_Y3'!$BA$20:$BA$133,$P18,'B+C_Emissions_Y3'!$AV$20:$AV$133)</f>
        <v>0</v>
      </c>
      <c r="U18" s="63">
        <f>SUMIF('B+C_Emissions_Y4'!$BA$20:$BA$133,$P18,'B+C_Emissions_Y4'!$AV$20:$AV$133)</f>
        <v>0</v>
      </c>
      <c r="V18" s="803">
        <f>SUMIF('B+C_Emissions_Y5'!$BA$20:$BA$133,$P18,'B+C_Emissions_Y5'!$AV$20:$AV$133)</f>
        <v>0</v>
      </c>
    </row>
    <row r="19" spans="1:24" x14ac:dyDescent="0.25">
      <c r="B19" s="17"/>
      <c r="C19" s="17"/>
      <c r="D19" s="17"/>
      <c r="E19" s="1251" t="str">
        <f>Translations!$B$367</f>
        <v>Total N2O emissions</v>
      </c>
      <c r="F19" s="1251"/>
      <c r="G19" s="1251"/>
      <c r="H19" s="225" t="str">
        <f>EUconst_tCO2epa</f>
        <v>t CO2e/year</v>
      </c>
      <c r="I19" s="801" t="str">
        <f t="shared" si="0"/>
        <v/>
      </c>
      <c r="J19" s="801" t="str">
        <f t="shared" si="0"/>
        <v/>
      </c>
      <c r="K19" s="801" t="str">
        <f t="shared" si="0"/>
        <v/>
      </c>
      <c r="L19" s="801" t="str">
        <f t="shared" si="0"/>
        <v/>
      </c>
      <c r="M19" s="801" t="str">
        <f t="shared" si="0"/>
        <v/>
      </c>
      <c r="N19" s="17"/>
      <c r="O19" s="8"/>
      <c r="P19" s="56" t="str">
        <f>EUconst_SumN2O</f>
        <v>SUM_N2O</v>
      </c>
      <c r="R19" s="802">
        <f>SUMIF('B+C_Emissions_Y1'!$BA$20:$BA$133,$P19,'B+C_Emissions_Y1'!$AU$20:$AU$133)</f>
        <v>0</v>
      </c>
      <c r="S19" s="63">
        <f>SUMIF('B+C_Emissions_Y2'!$BA$20:$BA$133,$P19,'B+C_Emissions_Y2'!$AU$20:$AU$133)</f>
        <v>0</v>
      </c>
      <c r="T19" s="63">
        <f>SUMIF('B+C_Emissions_Y3'!$BA$20:$BA$133,$P19,'B+C_Emissions_Y3'!$AU$20:$AU$133)</f>
        <v>0</v>
      </c>
      <c r="U19" s="63">
        <f>SUMIF('B+C_Emissions_Y4'!$BA$20:$BA$133,$P19,'B+C_Emissions_Y4'!$AU$20:$AU$133)</f>
        <v>0</v>
      </c>
      <c r="V19" s="803">
        <f>SUMIF('B+C_Emissions_Y5'!$BA$20:$BA$133,$P19,'B+C_Emissions_Y5'!$AU$20:$AU$133)</f>
        <v>0</v>
      </c>
    </row>
    <row r="20" spans="1:24" ht="13.8" thickBot="1" x14ac:dyDescent="0.3">
      <c r="B20" s="17"/>
      <c r="C20" s="17"/>
      <c r="D20" s="17"/>
      <c r="E20" s="1254" t="str">
        <f>Translations!$B$368</f>
        <v>Total PFC emissions</v>
      </c>
      <c r="F20" s="1254"/>
      <c r="G20" s="1254"/>
      <c r="H20" s="227" t="str">
        <f>EUconst_tCO2epa</f>
        <v>t CO2e/year</v>
      </c>
      <c r="I20" s="804" t="str">
        <f t="shared" si="0"/>
        <v/>
      </c>
      <c r="J20" s="804" t="str">
        <f t="shared" si="0"/>
        <v/>
      </c>
      <c r="K20" s="804" t="str">
        <f t="shared" si="0"/>
        <v/>
      </c>
      <c r="L20" s="804" t="str">
        <f t="shared" si="0"/>
        <v/>
      </c>
      <c r="M20" s="804" t="str">
        <f t="shared" si="0"/>
        <v/>
      </c>
      <c r="N20" s="17"/>
      <c r="O20" s="8"/>
      <c r="P20" s="56" t="str">
        <f>EUconst_SumPFC</f>
        <v>SUM_PFC</v>
      </c>
      <c r="R20" s="388">
        <f>SUMIF('B+C_Emissions_Y1'!$BA$20:$BA$133,$P20,'B+C_Emissions_Y1'!$AU$20:$AU$133)</f>
        <v>0</v>
      </c>
      <c r="S20" s="389">
        <f>SUMIF('B+C_Emissions_Y2'!$BA$20:$BA$133,$P20,'B+C_Emissions_Y2'!$AU$20:$AU$133)</f>
        <v>0</v>
      </c>
      <c r="T20" s="389">
        <f>SUMIF('B+C_Emissions_Y3'!$BA$20:$BA$133,$P20,'B+C_Emissions_Y3'!$AU$20:$AU$133)</f>
        <v>0</v>
      </c>
      <c r="U20" s="389">
        <f>SUMIF('B+C_Emissions_Y4'!$BA$20:$BA$133,$P20,'B+C_Emissions_Y4'!$AU$20:$AU$133)</f>
        <v>0</v>
      </c>
      <c r="V20" s="390">
        <f>SUMIF('B+C_Emissions_Y5'!$BA$20:$BA$133,$P20,'B+C_Emissions_Y5'!$AU$20:$AU$133)</f>
        <v>0</v>
      </c>
    </row>
    <row r="21" spans="1:24" ht="13.8" thickBot="1" x14ac:dyDescent="0.3">
      <c r="B21" s="17"/>
      <c r="C21" s="17"/>
      <c r="D21" s="17"/>
      <c r="E21" s="1412" t="str">
        <f>Translations!$B$369</f>
        <v>Sum of direct emissions</v>
      </c>
      <c r="F21" s="1412"/>
      <c r="G21" s="1412"/>
      <c r="H21" s="41" t="str">
        <f>EUconst_tCO2epa</f>
        <v>t CO2e/year</v>
      </c>
      <c r="I21" s="583" t="str">
        <f>IF(COUNT(I17,I19:I20)&gt;0,SUM(I17,I19:I20),"")</f>
        <v/>
      </c>
      <c r="J21" s="583" t="str">
        <f>IF(COUNT(J17,J19:J20)&gt;0,SUM(J17,J19:J20),"")</f>
        <v/>
      </c>
      <c r="K21" s="583" t="str">
        <f>IF(COUNT(K17,K19:K20)&gt;0,SUM(K17,K19:K20),"")</f>
        <v/>
      </c>
      <c r="L21" s="583" t="str">
        <f>IF(COUNT(L17,L19:L20)&gt;0,SUM(L17,L19:L20),"")</f>
        <v/>
      </c>
      <c r="M21" s="583" t="str">
        <f>IF(COUNT(M17,M19:M20)&gt;0,SUM(M17,M19:M20),"")</f>
        <v/>
      </c>
      <c r="N21" s="17"/>
      <c r="O21" s="8"/>
      <c r="P21" s="28"/>
      <c r="R21" s="805"/>
      <c r="V21" s="806"/>
    </row>
    <row r="22" spans="1:24" ht="13.8" thickBot="1" x14ac:dyDescent="0.3">
      <c r="B22" s="17"/>
      <c r="C22" s="17"/>
      <c r="D22" s="17"/>
      <c r="E22" s="1387" t="str">
        <f>Translations!$B$370</f>
        <v>Transferred CO2 exported</v>
      </c>
      <c r="F22" s="1387"/>
      <c r="G22" s="1387"/>
      <c r="H22" s="269" t="str">
        <f>EUconst_tCO2pa</f>
        <v>t CO2 / year</v>
      </c>
      <c r="I22" s="807" t="str">
        <f>IF(R22&lt;0,R22,"")</f>
        <v/>
      </c>
      <c r="J22" s="807" t="str">
        <f>IF(S22&lt;0,S22,"")</f>
        <v/>
      </c>
      <c r="K22" s="807" t="str">
        <f>IF(T22&lt;0,T22,"")</f>
        <v/>
      </c>
      <c r="L22" s="807" t="str">
        <f>IF(U22&lt;0,U22,"")</f>
        <v/>
      </c>
      <c r="M22" s="807" t="str">
        <f>IF(V22&lt;0,V22,"")</f>
        <v/>
      </c>
      <c r="N22" s="17"/>
      <c r="O22" s="8"/>
      <c r="P22" s="56" t="str">
        <f>EUconst_SumTransferCO2</f>
        <v>SUM_Tranfer_CO2</v>
      </c>
      <c r="R22" s="808">
        <f>SUMIF('B+C_Emissions_Y1'!$BA$20:$BA$133,$P22,'B+C_Emissions_Y1'!$AU$20:$AU$133)</f>
        <v>0</v>
      </c>
      <c r="S22" s="809">
        <f>SUMIF('B+C_Emissions_Y2'!$BA$20:$BA$133,$P22,'B+C_Emissions_Y2'!$AU$20:$AU$133)</f>
        <v>0</v>
      </c>
      <c r="T22" s="809">
        <f>SUMIF('B+C_Emissions_Y3'!$BA$20:$BA$133,$P22,'B+C_Emissions_Y3'!$AU$20:$AU$133)</f>
        <v>0</v>
      </c>
      <c r="U22" s="809">
        <f>SUMIF('B+C_Emissions_Y4'!$BA$20:$BA$133,$P22,'B+C_Emissions_Y4'!$AU$20:$AU$133)</f>
        <v>0</v>
      </c>
      <c r="V22" s="810">
        <f>SUMIF('B+C_Emissions_Y5'!$BA$20:$BA$133,$P22,'B+C_Emissions_Y5'!$AU$20:$AU$133)</f>
        <v>0</v>
      </c>
    </row>
    <row r="23" spans="1:24" ht="13.8" thickBot="1" x14ac:dyDescent="0.3">
      <c r="B23" s="17"/>
      <c r="C23" s="17"/>
      <c r="D23" s="17"/>
      <c r="E23" s="1436" t="str">
        <f>Translations!$B$371</f>
        <v>Total direct emissions of the installation</v>
      </c>
      <c r="F23" s="1437"/>
      <c r="G23" s="1437"/>
      <c r="H23" s="270" t="str">
        <f>EUconst_tCO2epa</f>
        <v>t CO2e/year</v>
      </c>
      <c r="I23" s="584" t="str">
        <f>IF(COUNT(I21:I22)&gt;0,SUM(I21:I22),"")</f>
        <v/>
      </c>
      <c r="J23" s="584" t="str">
        <f>IF(COUNT(J21:J22)&gt;0,SUM(J21:J22),"")</f>
        <v/>
      </c>
      <c r="K23" s="584" t="str">
        <f>IF(COUNT(K21:K22)&gt;0,SUM(K21:K22),"")</f>
        <v/>
      </c>
      <c r="L23" s="584" t="str">
        <f>IF(COUNT(L21:L22)&gt;0,SUM(L21:L22),"")</f>
        <v/>
      </c>
      <c r="M23" s="585" t="str">
        <f>IF(COUNT(M21:M22)&gt;0,SUM(M21:M22),"")</f>
        <v/>
      </c>
      <c r="N23" s="17"/>
      <c r="O23" s="8"/>
      <c r="R23" s="805"/>
      <c r="V23" s="806"/>
    </row>
    <row r="24" spans="1:24" s="278" customFormat="1" ht="13.8" thickBot="1" x14ac:dyDescent="0.3">
      <c r="A24" s="28"/>
      <c r="B24" s="27"/>
      <c r="C24" s="27"/>
      <c r="D24" s="27"/>
      <c r="E24" s="1436" t="str">
        <f>Translations!$B$372</f>
        <v>Total energy input from fuels</v>
      </c>
      <c r="F24" s="1437"/>
      <c r="G24" s="1437"/>
      <c r="H24" s="270" t="str">
        <f>EUconst_TJpa</f>
        <v>TJ / year</v>
      </c>
      <c r="I24" s="584" t="str">
        <f>IF(R24&gt;0,R24,"")</f>
        <v/>
      </c>
      <c r="J24" s="584" t="str">
        <f>IF(S24&gt;0,S24,"")</f>
        <v/>
      </c>
      <c r="K24" s="584" t="str">
        <f>IF(T24&gt;0,T24,"")</f>
        <v/>
      </c>
      <c r="L24" s="584" t="str">
        <f>IF(U24&gt;0,U24,"")</f>
        <v/>
      </c>
      <c r="M24" s="585" t="str">
        <f>IF(V24&gt;0,V24,"")</f>
        <v/>
      </c>
      <c r="N24" s="17"/>
      <c r="O24" s="8"/>
      <c r="P24" s="56" t="str">
        <f>EUconst_SumEnergyIN</f>
        <v>SUM_EnergyIN</v>
      </c>
      <c r="Q24" s="28"/>
      <c r="R24" s="808">
        <f>SUMIF('B+C_Emissions_Y1'!$BB$20:$BB$133,$P24,'B+C_Emissions_Y1'!$AX$20:$AX$133)+SUMIF('B+C_Emissions_Y1'!$BB$20:$BB$133,$P24,'B+C_Emissions_Y1'!$AY$20:$AY$133)</f>
        <v>0</v>
      </c>
      <c r="S24" s="809">
        <f>SUMIF('B+C_Emissions_Y2'!$BB$20:$BB$133,$P24,'B+C_Emissions_Y2'!$AX$20:$AX$133)+SUMIF('B+C_Emissions_Y2'!$BB$20:$BB$133,$P24,'B+C_Emissions_Y2'!$AY$20:$AY$133)</f>
        <v>0</v>
      </c>
      <c r="T24" s="809">
        <f>SUMIF('B+C_Emissions_Y3'!$BB$20:$BB$133,$P24,'B+C_Emissions_Y3'!$AX$20:$AX$133)+SUMIF('B+C_Emissions_Y3'!$BB$20:$BB$133,$P24,'B+C_Emissions_Y3'!$AY$20:$AY$133)</f>
        <v>0</v>
      </c>
      <c r="U24" s="809">
        <f>SUMIF('B+C_Emissions_Y4'!$BB$20:$BB$133,$P24,'B+C_Emissions_Y4'!$AX$20:$AX$133)+SUMIF('B+C_Emissions_Y4'!$BB$20:$BB$133,$P24,'B+C_Emissions_Y4'!$AY$20:$AY$133)</f>
        <v>0</v>
      </c>
      <c r="V24" s="810">
        <f>SUMIF('B+C_Emissions_Y5'!$BB$20:$BB$133,$P24,'B+C_Emissions_Y5'!$AX$20:$AX$133)+SUMIF('B+C_Emissions_Y5'!$BB$20:$BB$133,$P24,'B+C_Emissions_Y5'!$AY$20:$AY$133)</f>
        <v>0</v>
      </c>
      <c r="W24" s="145"/>
      <c r="X24" s="145"/>
    </row>
    <row r="25" spans="1:24" ht="5.0999999999999996" customHeight="1" x14ac:dyDescent="0.25">
      <c r="B25" s="8"/>
      <c r="C25" s="8"/>
      <c r="D25" s="8"/>
      <c r="E25" s="8"/>
      <c r="F25" s="8"/>
      <c r="G25" s="8"/>
      <c r="H25" s="8"/>
      <c r="I25" s="8"/>
      <c r="J25" s="8"/>
      <c r="K25" s="8"/>
      <c r="L25" s="8"/>
      <c r="M25" s="8"/>
      <c r="N25" s="8"/>
      <c r="O25" s="8"/>
      <c r="P25" s="9"/>
      <c r="Q25" s="9"/>
    </row>
    <row r="26" spans="1:24" ht="13.8" x14ac:dyDescent="0.25">
      <c r="B26" s="8"/>
      <c r="C26" s="19">
        <v>2</v>
      </c>
      <c r="D26" s="1234" t="s">
        <v>326</v>
      </c>
      <c r="E26" s="1176"/>
      <c r="F26" s="1176"/>
      <c r="G26" s="1176"/>
      <c r="H26" s="1176"/>
      <c r="I26" s="1176"/>
      <c r="J26" s="1176"/>
      <c r="K26" s="1176"/>
      <c r="L26" s="1176"/>
      <c r="M26" s="1176"/>
      <c r="N26" s="1176"/>
      <c r="O26" s="8"/>
      <c r="P26" s="9"/>
      <c r="Q26" s="9"/>
    </row>
    <row r="27" spans="1:24" x14ac:dyDescent="0.25">
      <c r="B27" s="17"/>
      <c r="C27" s="17"/>
      <c r="D27" s="17"/>
      <c r="E27" s="1223" t="s">
        <v>327</v>
      </c>
      <c r="F27" s="1176"/>
      <c r="G27" s="1176"/>
      <c r="H27" s="1176"/>
      <c r="I27" s="1176"/>
      <c r="J27" s="1176"/>
      <c r="K27" s="1176"/>
      <c r="L27" s="1176"/>
      <c r="M27" s="1176"/>
      <c r="N27" s="1176"/>
      <c r="O27" s="8"/>
    </row>
    <row r="28" spans="1:24" x14ac:dyDescent="0.25">
      <c r="B28" s="17"/>
      <c r="C28" s="17"/>
      <c r="D28" s="17"/>
      <c r="E28" s="1223" t="s">
        <v>328</v>
      </c>
      <c r="F28" s="1176"/>
      <c r="G28" s="1176"/>
      <c r="H28" s="1176"/>
      <c r="I28" s="1176"/>
      <c r="J28" s="1176"/>
      <c r="K28" s="1176"/>
      <c r="L28" s="1176"/>
      <c r="M28" s="1176"/>
      <c r="N28" s="1176"/>
      <c r="O28" s="8"/>
    </row>
    <row r="29" spans="1:24" ht="12.75" customHeight="1" x14ac:dyDescent="0.25">
      <c r="B29" s="17"/>
      <c r="C29" s="17"/>
      <c r="D29" s="17"/>
      <c r="E29" s="630" t="s">
        <v>214</v>
      </c>
      <c r="F29" s="1314" t="str">
        <f>Translations!$B$376</f>
        <v>Total CO2 emissions: the verified CO2 emissions from source streams and emission sources including from any non-sustainable biomass</v>
      </c>
      <c r="G29" s="1314"/>
      <c r="H29" s="1314"/>
      <c r="I29" s="1314"/>
      <c r="J29" s="1314"/>
      <c r="K29" s="1314"/>
      <c r="L29" s="1314"/>
      <c r="M29" s="1314"/>
      <c r="N29" s="1314"/>
      <c r="O29" s="8"/>
    </row>
    <row r="30" spans="1:24" ht="12.75" customHeight="1" x14ac:dyDescent="0.25">
      <c r="B30" s="17"/>
      <c r="C30" s="17"/>
      <c r="D30" s="17"/>
      <c r="E30" s="630" t="s">
        <v>214</v>
      </c>
      <c r="F30" s="1314" t="str">
        <f>Translations!$B$377</f>
        <v>Biomass emissions: emissions from biomass, either sustainable or for which sustainability criteria do not apply, as if they were non-zero rated</v>
      </c>
      <c r="G30" s="1314"/>
      <c r="H30" s="1314"/>
      <c r="I30" s="1314"/>
      <c r="J30" s="1314"/>
      <c r="K30" s="1314"/>
      <c r="L30" s="1314"/>
      <c r="M30" s="1314"/>
      <c r="N30" s="1314"/>
      <c r="O30" s="8"/>
    </row>
    <row r="31" spans="1:24" ht="12.75" customHeight="1" x14ac:dyDescent="0.25">
      <c r="B31" s="17"/>
      <c r="C31" s="17"/>
      <c r="D31" s="17"/>
      <c r="E31" s="630" t="s">
        <v>214</v>
      </c>
      <c r="F31" s="1314" t="str">
        <f>Translations!$B$378</f>
        <v>Total N2O emissions from emission sources</v>
      </c>
      <c r="G31" s="1314"/>
      <c r="H31" s="1314"/>
      <c r="I31" s="1314"/>
      <c r="J31" s="1314"/>
      <c r="K31" s="1314"/>
      <c r="L31" s="1314"/>
      <c r="M31" s="1314"/>
      <c r="N31" s="1314"/>
      <c r="O31" s="8"/>
    </row>
    <row r="32" spans="1:24" ht="12.75" customHeight="1" x14ac:dyDescent="0.25">
      <c r="B32" s="17"/>
      <c r="C32" s="17"/>
      <c r="D32" s="17"/>
      <c r="E32" s="630" t="s">
        <v>214</v>
      </c>
      <c r="F32" s="1314" t="str">
        <f>Translations!$B$379</f>
        <v>Total PFC emissions from primary aluminium production</v>
      </c>
      <c r="G32" s="1314"/>
      <c r="H32" s="1314"/>
      <c r="I32" s="1314"/>
      <c r="J32" s="1314"/>
      <c r="K32" s="1314"/>
      <c r="L32" s="1314"/>
      <c r="M32" s="1314"/>
      <c r="N32" s="1314"/>
      <c r="O32" s="8"/>
    </row>
    <row r="33" spans="2:17" ht="12.75" customHeight="1" x14ac:dyDescent="0.25">
      <c r="B33" s="17"/>
      <c r="C33" s="17"/>
      <c r="D33" s="17"/>
      <c r="E33" s="630" t="s">
        <v>214</v>
      </c>
      <c r="F33" s="1314" t="str">
        <f>Translations!$B$380</f>
        <v>Transferred amount of CO2 exported from the installation, reported as negative values</v>
      </c>
      <c r="G33" s="1314"/>
      <c r="H33" s="1314"/>
      <c r="I33" s="1314"/>
      <c r="J33" s="1314"/>
      <c r="K33" s="1314"/>
      <c r="L33" s="1314"/>
      <c r="M33" s="1314"/>
      <c r="N33" s="1314"/>
      <c r="O33" s="8"/>
    </row>
    <row r="34" spans="2:17" ht="12.75" customHeight="1" x14ac:dyDescent="0.25">
      <c r="B34" s="17"/>
      <c r="C34" s="17"/>
      <c r="D34" s="17"/>
      <c r="E34" s="630" t="s">
        <v>214</v>
      </c>
      <c r="F34" s="1314" t="str">
        <f>Translations!$B$381</f>
        <v>Total energy input from fuels including from biomass and waste gases</v>
      </c>
      <c r="G34" s="1314"/>
      <c r="H34" s="1314"/>
      <c r="I34" s="1314"/>
      <c r="J34" s="1314"/>
      <c r="K34" s="1314"/>
      <c r="L34" s="1314"/>
      <c r="M34" s="1314"/>
      <c r="N34" s="1314"/>
      <c r="O34" s="8"/>
    </row>
    <row r="35" spans="2:17" ht="5.0999999999999996" customHeight="1" x14ac:dyDescent="0.25">
      <c r="B35" s="8"/>
      <c r="C35" s="8"/>
      <c r="D35" s="8"/>
      <c r="E35" s="8"/>
      <c r="F35" s="8"/>
      <c r="G35" s="8"/>
      <c r="H35" s="8"/>
      <c r="I35" s="8"/>
      <c r="J35" s="8"/>
      <c r="K35" s="8"/>
      <c r="L35" s="8"/>
      <c r="M35" s="8"/>
      <c r="N35" s="8"/>
      <c r="O35" s="8"/>
      <c r="P35" s="9"/>
      <c r="Q35" s="9"/>
    </row>
    <row r="36" spans="2:17" x14ac:dyDescent="0.25">
      <c r="B36" s="8"/>
      <c r="C36" s="8"/>
      <c r="D36" s="15"/>
      <c r="E36" s="1259" t="str">
        <f>Translations!$B$364</f>
        <v>Installation level data:</v>
      </c>
      <c r="F36" s="1259"/>
      <c r="G36" s="1259"/>
      <c r="H36" s="24" t="str">
        <f>EUconst_Unit</f>
        <v>Unit</v>
      </c>
      <c r="I36" s="128">
        <f>I$309</f>
        <v>2019</v>
      </c>
      <c r="J36" s="128">
        <f>J$309</f>
        <v>2020</v>
      </c>
      <c r="K36" s="128">
        <f>K$309</f>
        <v>2021</v>
      </c>
      <c r="L36" s="128">
        <f>L$309</f>
        <v>2022</v>
      </c>
      <c r="M36" s="128">
        <f>M$309</f>
        <v>2023</v>
      </c>
      <c r="N36" s="17"/>
      <c r="O36" s="8"/>
      <c r="Q36" s="9"/>
    </row>
    <row r="37" spans="2:17" x14ac:dyDescent="0.25">
      <c r="B37" s="17"/>
      <c r="C37" s="17"/>
      <c r="D37" s="17"/>
      <c r="E37" s="1248" t="str">
        <f>Translations!$B$365</f>
        <v>Total CO2 emissions</v>
      </c>
      <c r="F37" s="1248"/>
      <c r="G37" s="1248"/>
      <c r="H37" s="222" t="str">
        <f>EUconst_tCO2pa</f>
        <v>t CO2 / year</v>
      </c>
      <c r="I37" s="586"/>
      <c r="J37" s="586"/>
      <c r="K37" s="586"/>
      <c r="L37" s="586"/>
      <c r="M37" s="586"/>
      <c r="N37" s="17"/>
      <c r="O37" s="8"/>
    </row>
    <row r="38" spans="2:17" x14ac:dyDescent="0.25">
      <c r="B38" s="17"/>
      <c r="C38" s="17"/>
      <c r="D38" s="17"/>
      <c r="E38" s="1251" t="str">
        <f>Translations!$B$366</f>
        <v>Biomass emissions</v>
      </c>
      <c r="F38" s="1251"/>
      <c r="G38" s="1251"/>
      <c r="H38" s="225" t="str">
        <f>EUconst_tCO2pa</f>
        <v>t CO2 / year</v>
      </c>
      <c r="I38" s="587"/>
      <c r="J38" s="587"/>
      <c r="K38" s="587"/>
      <c r="L38" s="587"/>
      <c r="M38" s="587"/>
      <c r="N38" s="17"/>
      <c r="O38" s="8"/>
    </row>
    <row r="39" spans="2:17" x14ac:dyDescent="0.25">
      <c r="B39" s="17"/>
      <c r="C39" s="17"/>
      <c r="D39" s="17"/>
      <c r="E39" s="1251" t="str">
        <f>Translations!$B$367</f>
        <v>Total N2O emissions</v>
      </c>
      <c r="F39" s="1251"/>
      <c r="G39" s="1251"/>
      <c r="H39" s="225" t="str">
        <f>EUconst_tCO2epa</f>
        <v>t CO2e/year</v>
      </c>
      <c r="I39" s="587"/>
      <c r="J39" s="587"/>
      <c r="K39" s="587"/>
      <c r="L39" s="587"/>
      <c r="M39" s="587"/>
      <c r="N39" s="17"/>
      <c r="O39" s="8"/>
    </row>
    <row r="40" spans="2:17" x14ac:dyDescent="0.25">
      <c r="B40" s="17"/>
      <c r="C40" s="17"/>
      <c r="D40" s="17"/>
      <c r="E40" s="1254" t="str">
        <f>Translations!$B$368</f>
        <v>Total PFC emissions</v>
      </c>
      <c r="F40" s="1254"/>
      <c r="G40" s="1254"/>
      <c r="H40" s="227" t="str">
        <f>EUconst_tCO2epa</f>
        <v>t CO2e/year</v>
      </c>
      <c r="I40" s="588"/>
      <c r="J40" s="588"/>
      <c r="K40" s="588"/>
      <c r="L40" s="588"/>
      <c r="M40" s="588"/>
      <c r="N40" s="17"/>
      <c r="O40" s="8"/>
    </row>
    <row r="41" spans="2:17" x14ac:dyDescent="0.25">
      <c r="B41" s="17"/>
      <c r="C41" s="17"/>
      <c r="D41" s="17"/>
      <c r="E41" s="1412" t="str">
        <f>Translations!$B$369</f>
        <v>Sum of direct emissions</v>
      </c>
      <c r="F41" s="1412"/>
      <c r="G41" s="1412"/>
      <c r="H41" s="41" t="str">
        <f>EUconst_tCO2epa</f>
        <v>t CO2e/year</v>
      </c>
      <c r="I41" s="589" t="str">
        <f>IF(COUNT(I37,I39:I40)&gt;0,SUM(I37,I39:I40),"")</f>
        <v/>
      </c>
      <c r="J41" s="590" t="str">
        <f>IF(COUNT(J37,J39:J40)&gt;0,SUM(J37,J39:J40),"")</f>
        <v/>
      </c>
      <c r="K41" s="590" t="str">
        <f>IF(COUNT(K37,K39:K40)&gt;0,SUM(K37,K39:K40),"")</f>
        <v/>
      </c>
      <c r="L41" s="590" t="str">
        <f>IF(COUNT(L37,L39:L40)&gt;0,SUM(L37,L39:L40),"")</f>
        <v/>
      </c>
      <c r="M41" s="590" t="str">
        <f>IF(COUNT(M37,M39:M40)&gt;0,SUM(M37,M39:M40),"")</f>
        <v/>
      </c>
      <c r="N41" s="17"/>
      <c r="O41" s="8"/>
    </row>
    <row r="42" spans="2:17" ht="13.8" thickBot="1" x14ac:dyDescent="0.3">
      <c r="B42" s="17"/>
      <c r="C42" s="17"/>
      <c r="D42" s="17"/>
      <c r="E42" s="1387" t="str">
        <f>Translations!$B$370</f>
        <v>Transferred CO2 exported</v>
      </c>
      <c r="F42" s="1387"/>
      <c r="G42" s="1387"/>
      <c r="H42" s="269" t="str">
        <f>EUconst_tCO2pa</f>
        <v>t CO2 / year</v>
      </c>
      <c r="I42" s="591"/>
      <c r="J42" s="591"/>
      <c r="K42" s="591"/>
      <c r="L42" s="591"/>
      <c r="M42" s="591"/>
      <c r="N42" s="17"/>
      <c r="O42" s="8"/>
    </row>
    <row r="43" spans="2:17" ht="12.75" customHeight="1" thickBot="1" x14ac:dyDescent="0.3">
      <c r="B43" s="17"/>
      <c r="C43" s="17"/>
      <c r="D43" s="17"/>
      <c r="E43" s="1436" t="str">
        <f>Translations!$B$371</f>
        <v>Total direct emissions of the installation</v>
      </c>
      <c r="F43" s="1437"/>
      <c r="G43" s="1437"/>
      <c r="H43" s="270" t="str">
        <f>EUconst_tCO2epa</f>
        <v>t CO2e/year</v>
      </c>
      <c r="I43" s="584" t="str">
        <f>IF(COUNT(I41:I42)&gt;0,SUM(I41:I42),"")</f>
        <v/>
      </c>
      <c r="J43" s="584" t="str">
        <f>IF(COUNT(J41:J42)&gt;0,SUM(J41:J42),"")</f>
        <v/>
      </c>
      <c r="K43" s="584" t="str">
        <f>IF(COUNT(K41:K42)&gt;0,SUM(K41:K42),"")</f>
        <v/>
      </c>
      <c r="L43" s="584" t="str">
        <f>IF(COUNT(L41:L42)&gt;0,SUM(L41:L42),"")</f>
        <v/>
      </c>
      <c r="M43" s="585" t="str">
        <f>IF(COUNT(M41:M42)&gt;0,SUM(M41:M42),"")</f>
        <v/>
      </c>
      <c r="N43" s="17"/>
      <c r="O43" s="8"/>
    </row>
    <row r="44" spans="2:17" ht="12.75" customHeight="1" thickBot="1" x14ac:dyDescent="0.3">
      <c r="B44" s="17"/>
      <c r="C44" s="17"/>
      <c r="D44" s="27"/>
      <c r="E44" s="1436" t="str">
        <f>Translations!$B$372</f>
        <v>Total energy input from fuels</v>
      </c>
      <c r="F44" s="1437"/>
      <c r="G44" s="1437"/>
      <c r="H44" s="270" t="str">
        <f>EUconst_TJpa</f>
        <v>TJ / year</v>
      </c>
      <c r="I44" s="592"/>
      <c r="J44" s="592"/>
      <c r="K44" s="592"/>
      <c r="L44" s="592"/>
      <c r="M44" s="593"/>
      <c r="N44" s="17"/>
      <c r="O44" s="8"/>
    </row>
    <row r="45" spans="2:17" x14ac:dyDescent="0.25">
      <c r="B45" s="17"/>
      <c r="C45" s="17"/>
      <c r="D45" s="17"/>
      <c r="E45" s="17"/>
      <c r="F45" s="17"/>
      <c r="G45" s="17"/>
      <c r="H45" s="17"/>
      <c r="I45" s="17"/>
      <c r="J45" s="17"/>
      <c r="K45" s="17"/>
      <c r="L45" s="17"/>
      <c r="M45" s="17"/>
      <c r="N45" s="17"/>
      <c r="O45" s="8"/>
    </row>
    <row r="46" spans="2:17" ht="5.0999999999999996" customHeight="1" x14ac:dyDescent="0.25">
      <c r="B46" s="8"/>
      <c r="C46" s="8"/>
      <c r="D46" s="8"/>
      <c r="E46" s="8"/>
      <c r="F46" s="8"/>
      <c r="G46" s="8"/>
      <c r="H46" s="8"/>
      <c r="I46" s="8"/>
      <c r="J46" s="8"/>
      <c r="K46" s="8"/>
      <c r="L46" s="8"/>
      <c r="M46" s="8"/>
      <c r="N46" s="8"/>
      <c r="O46" s="8"/>
      <c r="P46" s="9"/>
      <c r="Q46" s="9"/>
    </row>
    <row r="47" spans="2:17" ht="13.8" x14ac:dyDescent="0.25">
      <c r="B47" s="8"/>
      <c r="C47" s="19">
        <v>3</v>
      </c>
      <c r="D47" s="1234" t="str">
        <f>Translations!$B$382</f>
        <v>Result of installation level data for use in sheets "D_Emissions" and "E_EnergyFlows":</v>
      </c>
      <c r="E47" s="1176"/>
      <c r="F47" s="1176"/>
      <c r="G47" s="1176"/>
      <c r="H47" s="1176"/>
      <c r="I47" s="1176"/>
      <c r="J47" s="1176"/>
      <c r="K47" s="1176"/>
      <c r="L47" s="1176"/>
      <c r="M47" s="1176"/>
      <c r="N47" s="1176"/>
      <c r="O47" s="8"/>
      <c r="P47" s="9"/>
      <c r="Q47" s="9"/>
    </row>
    <row r="48" spans="2:17" x14ac:dyDescent="0.25">
      <c r="B48" s="17"/>
      <c r="C48" s="17"/>
      <c r="D48" s="17"/>
      <c r="E48" s="1378" t="str">
        <f>Translations!$B$383</f>
        <v>Where data is displayed under points 1 AND 2, the data of point 2 will be used, because no completeness check for data in sheets B+C can be performed.</v>
      </c>
      <c r="F48" s="1176"/>
      <c r="G48" s="1176"/>
      <c r="H48" s="1176"/>
      <c r="I48" s="1176"/>
      <c r="J48" s="1176"/>
      <c r="K48" s="1176"/>
      <c r="L48" s="1176"/>
      <c r="M48" s="1176"/>
      <c r="N48" s="1176"/>
      <c r="O48" s="8"/>
    </row>
    <row r="49" spans="2:16" x14ac:dyDescent="0.25">
      <c r="B49" s="17"/>
      <c r="C49" s="17"/>
      <c r="D49" s="17"/>
      <c r="E49" s="1378" t="str">
        <f>Translations!$B$384</f>
        <v>Such conflicting values are highlighted with red figures in the table below.</v>
      </c>
      <c r="F49" s="1176"/>
      <c r="G49" s="1176"/>
      <c r="H49" s="1176"/>
      <c r="I49" s="1176"/>
      <c r="J49" s="1176"/>
      <c r="K49" s="1176"/>
      <c r="L49" s="1176"/>
      <c r="M49" s="1176"/>
      <c r="N49" s="1176"/>
      <c r="O49" s="8"/>
    </row>
    <row r="50" spans="2:16" x14ac:dyDescent="0.25">
      <c r="B50" s="17"/>
      <c r="C50" s="17"/>
      <c r="D50" s="17"/>
      <c r="E50" s="1378" t="str">
        <f>Translations!$B$385</f>
        <v>The responsibility for avoiding conflicting data entries is fully on the operator of the installation.</v>
      </c>
      <c r="F50" s="1176"/>
      <c r="G50" s="1176"/>
      <c r="H50" s="1176"/>
      <c r="I50" s="1176"/>
      <c r="J50" s="1176"/>
      <c r="K50" s="1176"/>
      <c r="L50" s="1176"/>
      <c r="M50" s="1176"/>
      <c r="N50" s="1176"/>
      <c r="O50" s="8"/>
    </row>
    <row r="51" spans="2:16" x14ac:dyDescent="0.25">
      <c r="B51" s="17"/>
      <c r="C51" s="17"/>
      <c r="D51" s="17"/>
      <c r="E51" s="1259" t="str">
        <f>Translations!$B$364</f>
        <v>Installation level data:</v>
      </c>
      <c r="F51" s="1259"/>
      <c r="G51" s="1259"/>
      <c r="H51" s="24" t="str">
        <f>EUconst_Unit</f>
        <v>Unit</v>
      </c>
      <c r="I51" s="128">
        <f>I$309</f>
        <v>2019</v>
      </c>
      <c r="J51" s="128">
        <f>J$309</f>
        <v>2020</v>
      </c>
      <c r="K51" s="128">
        <f>K$309</f>
        <v>2021</v>
      </c>
      <c r="L51" s="128">
        <f>L$309</f>
        <v>2022</v>
      </c>
      <c r="M51" s="128">
        <f>M$309</f>
        <v>2023</v>
      </c>
      <c r="N51" s="17"/>
      <c r="O51" s="8"/>
    </row>
    <row r="52" spans="2:16" x14ac:dyDescent="0.25">
      <c r="B52" s="17"/>
      <c r="C52" s="17"/>
      <c r="D52" s="17"/>
      <c r="E52" s="1248" t="str">
        <f>Translations!$B$365</f>
        <v>Total CO2 emissions</v>
      </c>
      <c r="F52" s="1248"/>
      <c r="G52" s="1248"/>
      <c r="H52" s="222" t="str">
        <f>EUconst_tCO2pa</f>
        <v>t CO2 / year</v>
      </c>
      <c r="I52" s="797" t="str">
        <f t="shared" ref="I52:M55" si="1">IF(ISNUMBER(I37),I37,IF(ISNUMBER(I17),I17,""))</f>
        <v/>
      </c>
      <c r="J52" s="797" t="str">
        <f t="shared" si="1"/>
        <v/>
      </c>
      <c r="K52" s="797" t="str">
        <f t="shared" si="1"/>
        <v/>
      </c>
      <c r="L52" s="797" t="str">
        <f t="shared" si="1"/>
        <v/>
      </c>
      <c r="M52" s="797" t="str">
        <f t="shared" si="1"/>
        <v/>
      </c>
      <c r="N52" s="17"/>
      <c r="O52" s="8"/>
    </row>
    <row r="53" spans="2:16" x14ac:dyDescent="0.25">
      <c r="B53" s="17"/>
      <c r="C53" s="17"/>
      <c r="D53" s="17"/>
      <c r="E53" s="1251" t="str">
        <f>Translations!$B$366</f>
        <v>Biomass emissions</v>
      </c>
      <c r="F53" s="1251"/>
      <c r="G53" s="1251"/>
      <c r="H53" s="225" t="str">
        <f>EUconst_tCO2pa</f>
        <v>t CO2 / year</v>
      </c>
      <c r="I53" s="801" t="str">
        <f t="shared" si="1"/>
        <v/>
      </c>
      <c r="J53" s="801" t="str">
        <f t="shared" si="1"/>
        <v/>
      </c>
      <c r="K53" s="801" t="str">
        <f t="shared" si="1"/>
        <v/>
      </c>
      <c r="L53" s="801" t="str">
        <f t="shared" si="1"/>
        <v/>
      </c>
      <c r="M53" s="801" t="str">
        <f t="shared" si="1"/>
        <v/>
      </c>
      <c r="N53" s="17"/>
      <c r="O53" s="8"/>
    </row>
    <row r="54" spans="2:16" x14ac:dyDescent="0.25">
      <c r="B54" s="17"/>
      <c r="C54" s="17"/>
      <c r="D54" s="17"/>
      <c r="E54" s="1251" t="str">
        <f>Translations!$B$367</f>
        <v>Total N2O emissions</v>
      </c>
      <c r="F54" s="1251"/>
      <c r="G54" s="1251"/>
      <c r="H54" s="225" t="str">
        <f>EUconst_tCO2epa</f>
        <v>t CO2e/year</v>
      </c>
      <c r="I54" s="801" t="str">
        <f t="shared" si="1"/>
        <v/>
      </c>
      <c r="J54" s="801" t="str">
        <f t="shared" si="1"/>
        <v/>
      </c>
      <c r="K54" s="801" t="str">
        <f t="shared" si="1"/>
        <v/>
      </c>
      <c r="L54" s="801" t="str">
        <f t="shared" si="1"/>
        <v/>
      </c>
      <c r="M54" s="801" t="str">
        <f t="shared" si="1"/>
        <v/>
      </c>
      <c r="N54" s="17"/>
      <c r="O54" s="8"/>
    </row>
    <row r="55" spans="2:16" ht="12.75" customHeight="1" x14ac:dyDescent="0.25">
      <c r="B55" s="17"/>
      <c r="C55" s="17"/>
      <c r="D55" s="17"/>
      <c r="E55" s="1254" t="str">
        <f>Translations!$B$368</f>
        <v>Total PFC emissions</v>
      </c>
      <c r="F55" s="1254"/>
      <c r="G55" s="1254"/>
      <c r="H55" s="227" t="str">
        <f>EUconst_tCO2epa</f>
        <v>t CO2e/year</v>
      </c>
      <c r="I55" s="811" t="str">
        <f t="shared" si="1"/>
        <v/>
      </c>
      <c r="J55" s="811" t="str">
        <f t="shared" si="1"/>
        <v/>
      </c>
      <c r="K55" s="811" t="str">
        <f t="shared" si="1"/>
        <v/>
      </c>
      <c r="L55" s="811" t="str">
        <f t="shared" si="1"/>
        <v/>
      </c>
      <c r="M55" s="811" t="str">
        <f t="shared" si="1"/>
        <v/>
      </c>
      <c r="N55" s="17"/>
      <c r="O55" s="8"/>
    </row>
    <row r="56" spans="2:16" ht="12.75" customHeight="1" x14ac:dyDescent="0.25">
      <c r="B56" s="17"/>
      <c r="C56" s="17"/>
      <c r="D56" s="17"/>
      <c r="E56" s="1412" t="str">
        <f>Translations!$B$369</f>
        <v>Sum of direct emissions</v>
      </c>
      <c r="F56" s="1412"/>
      <c r="G56" s="1412"/>
      <c r="H56" s="41" t="str">
        <f>EUconst_tCO2epa</f>
        <v>t CO2e/year</v>
      </c>
      <c r="I56" s="812" t="str">
        <f>IF(COUNT(I52,I54:I55)&gt;0,SUM(I52,I54:I55),"")</f>
        <v/>
      </c>
      <c r="J56" s="589" t="str">
        <f>IF(COUNT(J52,J54:J55)&gt;0,SUM(J52,J54:J55),"")</f>
        <v/>
      </c>
      <c r="K56" s="589" t="str">
        <f>IF(COUNT(K52,K54:K55)&gt;0,SUM(K52,K54:K55),"")</f>
        <v/>
      </c>
      <c r="L56" s="589" t="str">
        <f>IF(COUNT(L52,L54:L55)&gt;0,SUM(L52,L54:L55),"")</f>
        <v/>
      </c>
      <c r="M56" s="589" t="str">
        <f>IF(COUNT(M52,M54:M55)&gt;0,SUM(M52,M54:M55),"")</f>
        <v/>
      </c>
      <c r="N56" s="17"/>
      <c r="O56" s="8"/>
    </row>
    <row r="57" spans="2:16" ht="13.8" thickBot="1" x14ac:dyDescent="0.3">
      <c r="B57" s="17"/>
      <c r="C57" s="17"/>
      <c r="D57" s="17"/>
      <c r="E57" s="1387" t="str">
        <f>Translations!$B$370</f>
        <v>Transferred CO2 exported</v>
      </c>
      <c r="F57" s="1387"/>
      <c r="G57" s="1387"/>
      <c r="H57" s="269" t="str">
        <f>EUconst_tCO2pa</f>
        <v>t CO2 / year</v>
      </c>
      <c r="I57" s="813" t="str">
        <f>IF(ISNUMBER(I42),I42,IF(ISNUMBER(I22),I22,""))</f>
        <v/>
      </c>
      <c r="J57" s="814" t="str">
        <f>IF(ISNUMBER(J42),J42,IF(ISNUMBER(J22),J22,""))</f>
        <v/>
      </c>
      <c r="K57" s="814" t="str">
        <f>IF(ISNUMBER(K42),K42,IF(ISNUMBER(K22),K22,""))</f>
        <v/>
      </c>
      <c r="L57" s="814" t="str">
        <f>IF(ISNUMBER(L42),L42,IF(ISNUMBER(L22),L22,""))</f>
        <v/>
      </c>
      <c r="M57" s="814" t="str">
        <f>IF(ISNUMBER(M42),M42,IF(ISNUMBER(M22),M22,""))</f>
        <v/>
      </c>
      <c r="N57" s="17"/>
      <c r="O57" s="8"/>
    </row>
    <row r="58" spans="2:16" ht="13.5" customHeight="1" thickBot="1" x14ac:dyDescent="0.3">
      <c r="B58" s="17"/>
      <c r="C58" s="17"/>
      <c r="D58" s="17"/>
      <c r="E58" s="1436" t="str">
        <f>Translations!$B$371</f>
        <v>Total direct emissions of the installation</v>
      </c>
      <c r="F58" s="1437"/>
      <c r="G58" s="1437"/>
      <c r="H58" s="270" t="str">
        <f>EUconst_tCO2epa</f>
        <v>t CO2e/year</v>
      </c>
      <c r="I58" s="584" t="str">
        <f>IF(COUNT(I56:I57)&gt;0,SUM(I56:I57),"")</f>
        <v/>
      </c>
      <c r="J58" s="584" t="str">
        <f>IF(COUNT(J56:J57)&gt;0,SUM(J56:J57),"")</f>
        <v/>
      </c>
      <c r="K58" s="584" t="str">
        <f>IF(COUNT(K56:K57)&gt;0,SUM(K56:K57),"")</f>
        <v/>
      </c>
      <c r="L58" s="584" t="str">
        <f>IF(COUNT(L56:L57)&gt;0,SUM(L56:L57),"")</f>
        <v/>
      </c>
      <c r="M58" s="585" t="str">
        <f>IF(COUNT(M56:M57)&gt;0,SUM(M56:M57),"")</f>
        <v/>
      </c>
      <c r="N58" s="17"/>
      <c r="O58" s="8"/>
    </row>
    <row r="59" spans="2:16" ht="13.8" thickBot="1" x14ac:dyDescent="0.3">
      <c r="B59" s="17"/>
      <c r="C59" s="17"/>
      <c r="D59" s="17"/>
      <c r="E59" s="1436" t="str">
        <f>Translations!$B$372</f>
        <v>Total energy input from fuels</v>
      </c>
      <c r="F59" s="1437"/>
      <c r="G59" s="1437"/>
      <c r="H59" s="270" t="str">
        <f>EUconst_TJpa</f>
        <v>TJ / year</v>
      </c>
      <c r="I59" s="584" t="str">
        <f>IF(ISNUMBER(I44),I44,IF(ISNUMBER(I24),I24,""))</f>
        <v/>
      </c>
      <c r="J59" s="584" t="str">
        <f>IF(ISNUMBER(J44),J44,IF(ISNUMBER(J24),J24,""))</f>
        <v/>
      </c>
      <c r="K59" s="584" t="str">
        <f>IF(ISNUMBER(K44),K44,IF(ISNUMBER(K24),K24,""))</f>
        <v/>
      </c>
      <c r="L59" s="584" t="str">
        <f>IF(ISNUMBER(L44),L44,IF(ISNUMBER(L24),L24,""))</f>
        <v/>
      </c>
      <c r="M59" s="585" t="str">
        <f>IF(ISNUMBER(M44),M44,IF(ISNUMBER(M24),M24,""))</f>
        <v/>
      </c>
      <c r="N59" s="17"/>
      <c r="O59" s="8"/>
    </row>
    <row r="60" spans="2:16" x14ac:dyDescent="0.25">
      <c r="B60" s="17"/>
      <c r="C60" s="770"/>
      <c r="D60" s="770"/>
      <c r="E60" s="770"/>
      <c r="F60" s="770"/>
      <c r="G60" s="770"/>
      <c r="H60" s="770"/>
      <c r="I60" s="770"/>
      <c r="J60" s="770"/>
      <c r="K60" s="770"/>
      <c r="L60" s="770"/>
      <c r="M60" s="770"/>
      <c r="N60" s="770"/>
      <c r="O60" s="8"/>
      <c r="P60" s="9"/>
    </row>
    <row r="61" spans="2:16" ht="15.75" customHeight="1" x14ac:dyDescent="0.3">
      <c r="B61" s="8"/>
      <c r="C61" s="13" t="s">
        <v>4</v>
      </c>
      <c r="D61" s="1175" t="str">
        <f>Translations!$B$386</f>
        <v>Attribution of emissions to sub-installations</v>
      </c>
      <c r="E61" s="1175"/>
      <c r="F61" s="1175"/>
      <c r="G61" s="1175"/>
      <c r="H61" s="1175"/>
      <c r="I61" s="1175"/>
      <c r="J61" s="1175"/>
      <c r="K61" s="1175"/>
      <c r="L61" s="1175"/>
      <c r="M61" s="1175"/>
      <c r="N61" s="1175"/>
      <c r="O61" s="8"/>
      <c r="P61" s="9"/>
    </row>
    <row r="62" spans="2:16" ht="5.0999999999999996" customHeight="1" x14ac:dyDescent="0.25">
      <c r="B62" s="8"/>
      <c r="C62" s="8"/>
      <c r="D62" s="8"/>
      <c r="E62" s="8"/>
      <c r="F62" s="8"/>
      <c r="G62" s="8"/>
      <c r="H62" s="8"/>
      <c r="I62" s="8"/>
      <c r="J62" s="8"/>
      <c r="K62" s="8"/>
      <c r="L62" s="8"/>
      <c r="M62" s="8"/>
      <c r="N62" s="8"/>
      <c r="O62" s="8"/>
      <c r="P62" s="9"/>
    </row>
    <row r="63" spans="2:16" ht="15" customHeight="1" x14ac:dyDescent="0.25">
      <c r="B63" s="8"/>
      <c r="C63" s="19">
        <v>1</v>
      </c>
      <c r="D63" s="1234" t="str">
        <f>Translations!$B$387</f>
        <v>Total emissions at installation level (taken from section D.I.3)</v>
      </c>
      <c r="E63" s="1234"/>
      <c r="F63" s="1234"/>
      <c r="G63" s="1234"/>
      <c r="H63" s="1234"/>
      <c r="I63" s="1234"/>
      <c r="J63" s="1234"/>
      <c r="K63" s="1234"/>
      <c r="L63" s="1234"/>
      <c r="M63" s="1234"/>
      <c r="N63" s="1234"/>
      <c r="O63" s="8"/>
      <c r="P63" s="9"/>
    </row>
    <row r="64" spans="2:16" ht="5.0999999999999996" customHeight="1" x14ac:dyDescent="0.25">
      <c r="B64" s="8"/>
      <c r="C64" s="8"/>
      <c r="D64" s="8"/>
      <c r="E64" s="8"/>
      <c r="F64" s="8"/>
      <c r="G64" s="8"/>
      <c r="H64" s="8"/>
      <c r="I64" s="8"/>
      <c r="J64" s="8"/>
      <c r="K64" s="8"/>
      <c r="L64" s="8"/>
      <c r="M64" s="8"/>
      <c r="N64" s="8"/>
      <c r="O64" s="8"/>
      <c r="P64" s="9"/>
    </row>
    <row r="65" spans="2:19" ht="12.75" customHeight="1" x14ac:dyDescent="0.25">
      <c r="B65" s="8"/>
      <c r="C65" s="8"/>
      <c r="D65" s="15"/>
      <c r="E65" s="1259" t="str">
        <f>Translations!$B$364</f>
        <v>Installation level data:</v>
      </c>
      <c r="F65" s="1259"/>
      <c r="G65" s="1259"/>
      <c r="H65" s="26" t="str">
        <f>EUconst_Unit</f>
        <v>Unit</v>
      </c>
      <c r="I65" s="128">
        <f>I$309</f>
        <v>2019</v>
      </c>
      <c r="J65" s="128">
        <f>J$309</f>
        <v>2020</v>
      </c>
      <c r="K65" s="128">
        <f>K$309</f>
        <v>2021</v>
      </c>
      <c r="L65" s="128">
        <f>L$309</f>
        <v>2022</v>
      </c>
      <c r="M65" s="128">
        <f>M$309</f>
        <v>2023</v>
      </c>
      <c r="N65" s="8"/>
      <c r="O65" s="8"/>
      <c r="P65" s="9"/>
    </row>
    <row r="66" spans="2:19" ht="12.75" customHeight="1" x14ac:dyDescent="0.25">
      <c r="B66" s="17"/>
      <c r="C66" s="17"/>
      <c r="D66" s="17"/>
      <c r="E66" s="1412" t="str">
        <f>Translations!$B$388</f>
        <v>Total direct emission of the installation</v>
      </c>
      <c r="F66" s="1412"/>
      <c r="G66" s="1412"/>
      <c r="H66" s="41" t="str">
        <f>EUconst_tCO2epa</f>
        <v>t CO2e/year</v>
      </c>
      <c r="I66" s="148" t="str">
        <f>IF(ISNUMBER(I$58),I$58,"")</f>
        <v/>
      </c>
      <c r="J66" s="148" t="str">
        <f>IF(ISNUMBER(J$58),J$58,"")</f>
        <v/>
      </c>
      <c r="K66" s="148" t="str">
        <f>IF(ISNUMBER(K$58),K$58,"")</f>
        <v/>
      </c>
      <c r="L66" s="148" t="str">
        <f>IF(ISNUMBER(L$58),L$58,"")</f>
        <v/>
      </c>
      <c r="M66" s="148" t="str">
        <f>IF(ISNUMBER(M$58),M$58,"")</f>
        <v/>
      </c>
      <c r="N66" s="8"/>
      <c r="O66" s="8"/>
    </row>
    <row r="67" spans="2:19" ht="5.0999999999999996" customHeight="1" x14ac:dyDescent="0.25">
      <c r="B67" s="8"/>
      <c r="C67" s="8"/>
      <c r="D67" s="8"/>
      <c r="E67" s="8"/>
      <c r="F67" s="8"/>
      <c r="G67" s="8"/>
      <c r="H67" s="8"/>
      <c r="I67" s="8"/>
      <c r="J67" s="8"/>
      <c r="K67" s="8"/>
      <c r="L67" s="8"/>
      <c r="M67" s="8"/>
      <c r="N67" s="8"/>
      <c r="O67" s="8"/>
      <c r="P67" s="9"/>
    </row>
    <row r="68" spans="2:19" ht="15" customHeight="1" x14ac:dyDescent="0.25">
      <c r="B68" s="8"/>
      <c r="C68" s="19">
        <v>2</v>
      </c>
      <c r="D68" s="1234" t="str">
        <f>Translations!$B$389</f>
        <v>Attribution to sub-installations</v>
      </c>
      <c r="E68" s="1234"/>
      <c r="F68" s="1234"/>
      <c r="G68" s="1234"/>
      <c r="H68" s="1234"/>
      <c r="I68" s="1234"/>
      <c r="J68" s="1234"/>
      <c r="K68" s="1234"/>
      <c r="L68" s="1234"/>
      <c r="M68" s="1234"/>
      <c r="N68" s="1234"/>
      <c r="O68" s="8"/>
    </row>
    <row r="69" spans="2:19" ht="5.0999999999999996" customHeight="1" x14ac:dyDescent="0.25">
      <c r="B69" s="17"/>
      <c r="C69" s="8"/>
      <c r="D69" s="8"/>
      <c r="E69" s="8"/>
      <c r="F69" s="8"/>
      <c r="G69" s="8"/>
      <c r="H69" s="8"/>
      <c r="I69" s="8"/>
      <c r="J69" s="8"/>
      <c r="K69" s="8"/>
      <c r="L69" s="8"/>
      <c r="M69" s="8"/>
      <c r="N69" s="8"/>
      <c r="O69" s="8"/>
      <c r="R69" s="9"/>
      <c r="S69" s="9"/>
    </row>
    <row r="70" spans="2:19" ht="12.75" customHeight="1" x14ac:dyDescent="0.25">
      <c r="B70" s="17"/>
      <c r="C70" s="8"/>
      <c r="D70" s="8"/>
      <c r="E70" s="1223" t="str">
        <f>Translations!$B$390</f>
        <v xml:space="preserve">The attribution of emissions to sub-installations has to be done in sheets F and G for each sub-installation. </v>
      </c>
      <c r="F70" s="1176"/>
      <c r="G70" s="1176"/>
      <c r="H70" s="1176"/>
      <c r="I70" s="1176"/>
      <c r="J70" s="1176"/>
      <c r="K70" s="1176"/>
      <c r="L70" s="1176"/>
      <c r="M70" s="1176"/>
      <c r="N70" s="1176"/>
      <c r="O70" s="8"/>
      <c r="R70" s="9"/>
      <c r="S70" s="9"/>
    </row>
    <row r="71" spans="2:19" ht="12.75" customHeight="1" x14ac:dyDescent="0.25">
      <c r="B71" s="17"/>
      <c r="C71" s="8"/>
      <c r="D71" s="8"/>
      <c r="E71" s="1223" t="str">
        <f>Translations!$B$391</f>
        <v>A summary table of attributed emissions can be found in the summary sheet (see link below).</v>
      </c>
      <c r="F71" s="1176"/>
      <c r="G71" s="1176"/>
      <c r="H71" s="1176"/>
      <c r="I71" s="1176"/>
      <c r="J71" s="1176"/>
      <c r="K71" s="1176"/>
      <c r="L71" s="1176"/>
      <c r="M71" s="1176"/>
      <c r="N71" s="1176"/>
      <c r="O71" s="8"/>
      <c r="R71" s="9"/>
      <c r="S71" s="9"/>
    </row>
    <row r="72" spans="2:19" ht="12.75" customHeight="1" x14ac:dyDescent="0.25">
      <c r="B72" s="17"/>
      <c r="C72" s="17"/>
      <c r="D72" s="17"/>
      <c r="E72" s="1439" t="str">
        <f>CONCATENATE(EUconst_MsgAttrEm," (K.III.2)")</f>
        <v>The attribution of emissions to sub-installations can be found in the summary sheet. (K.III.2)</v>
      </c>
      <c r="F72" s="1439"/>
      <c r="G72" s="1439"/>
      <c r="H72" s="1439"/>
      <c r="I72" s="1439"/>
      <c r="J72" s="1439"/>
      <c r="K72" s="1439"/>
      <c r="L72" s="1439"/>
      <c r="M72" s="1439"/>
      <c r="N72" s="17"/>
      <c r="O72" s="8"/>
      <c r="R72" s="9"/>
      <c r="S72" s="9"/>
    </row>
    <row r="73" spans="2:19" ht="12.75" customHeight="1" x14ac:dyDescent="0.25">
      <c r="B73" s="17"/>
      <c r="C73" s="17"/>
      <c r="D73" s="17"/>
      <c r="E73" s="17"/>
      <c r="F73" s="17"/>
      <c r="G73" s="17"/>
      <c r="H73" s="17"/>
      <c r="I73" s="17"/>
      <c r="J73" s="17"/>
      <c r="K73" s="17"/>
      <c r="L73" s="17"/>
      <c r="M73" s="17"/>
      <c r="N73" s="17"/>
      <c r="O73" s="8"/>
      <c r="R73" s="9"/>
      <c r="S73" s="9"/>
    </row>
    <row r="74" spans="2:19" ht="15.6" x14ac:dyDescent="0.3">
      <c r="B74" s="8"/>
      <c r="C74" s="13" t="s">
        <v>5</v>
      </c>
      <c r="D74" s="1175" t="str">
        <f>Translations!$B$392</f>
        <v>Cogeneration tool</v>
      </c>
      <c r="E74" s="1175"/>
      <c r="F74" s="1175"/>
      <c r="G74" s="1175"/>
      <c r="H74" s="1175"/>
      <c r="I74" s="1175"/>
      <c r="J74" s="1175"/>
      <c r="K74" s="1175"/>
      <c r="L74" s="1175"/>
      <c r="M74" s="1175"/>
      <c r="N74" s="1175"/>
      <c r="O74" s="8"/>
      <c r="P74" s="9"/>
    </row>
    <row r="75" spans="2:19" ht="5.0999999999999996" customHeight="1" x14ac:dyDescent="0.25">
      <c r="B75" s="8"/>
      <c r="C75" s="8"/>
      <c r="D75" s="8"/>
      <c r="E75" s="8"/>
      <c r="F75" s="8"/>
      <c r="G75" s="8"/>
      <c r="H75" s="8"/>
      <c r="I75" s="8"/>
      <c r="J75" s="8"/>
      <c r="K75" s="8"/>
      <c r="L75" s="8"/>
      <c r="M75" s="8"/>
      <c r="N75" s="8"/>
      <c r="O75" s="8"/>
      <c r="P75" s="9"/>
    </row>
    <row r="76" spans="2:19" ht="12.75" customHeight="1" x14ac:dyDescent="0.25">
      <c r="B76" s="8"/>
      <c r="C76" s="8"/>
      <c r="D76" s="8"/>
      <c r="E76" s="1208" t="str">
        <f>Translations!$B$393</f>
        <v>Are combined heat and power (CHP) units relevant?</v>
      </c>
      <c r="F76" s="1208"/>
      <c r="G76" s="1208"/>
      <c r="H76" s="1208"/>
      <c r="I76" s="1208"/>
      <c r="J76" s="1208"/>
      <c r="K76" s="1208"/>
      <c r="L76" s="1433"/>
      <c r="M76" s="194"/>
      <c r="N76" s="8"/>
      <c r="O76" s="8"/>
      <c r="P76" s="9"/>
    </row>
    <row r="77" spans="2:19" ht="12.75" customHeight="1" x14ac:dyDescent="0.25">
      <c r="B77" s="8"/>
      <c r="C77" s="8"/>
      <c r="D77" s="8"/>
      <c r="E77" s="1223" t="str">
        <f>Translations!$B$394</f>
        <v>This is a tool for assigning fuels and emissions of CHPs for the purpose of updating the benchmark values pursuant to Annex VII, chapter 8.</v>
      </c>
      <c r="F77" s="1176"/>
      <c r="G77" s="1176"/>
      <c r="H77" s="1176"/>
      <c r="I77" s="1176"/>
      <c r="J77" s="1176"/>
      <c r="K77" s="1176"/>
      <c r="L77" s="1176"/>
      <c r="M77" s="1176"/>
      <c r="N77" s="1176"/>
      <c r="O77" s="8"/>
      <c r="P77" s="9"/>
    </row>
    <row r="78" spans="2:19" ht="12.75" customHeight="1" x14ac:dyDescent="0.25">
      <c r="B78" s="8"/>
      <c r="C78" s="8"/>
      <c r="D78" s="8"/>
      <c r="E78" s="1378" t="str">
        <f>Translations!$B$395</f>
        <v>Please enter "false" here if there is no CHP relevant at your installation. If this is the case the whole tool is not relevant and will be greyed out.</v>
      </c>
      <c r="F78" s="1168"/>
      <c r="G78" s="1168"/>
      <c r="H78" s="1168"/>
      <c r="I78" s="1168"/>
      <c r="J78" s="1168"/>
      <c r="K78" s="1168"/>
      <c r="L78" s="1168"/>
      <c r="M78" s="1168"/>
      <c r="N78" s="1168"/>
      <c r="O78" s="8"/>
      <c r="P78" s="9"/>
    </row>
    <row r="79" spans="2:19" ht="25.5" customHeight="1" x14ac:dyDescent="0.25">
      <c r="B79" s="8"/>
      <c r="C79" s="8"/>
      <c r="D79" s="8"/>
      <c r="E79" s="1378" t="str">
        <f>Translations!$B$396</f>
        <v>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v>
      </c>
      <c r="F79" s="1168"/>
      <c r="G79" s="1168"/>
      <c r="H79" s="1168"/>
      <c r="I79" s="1168"/>
      <c r="J79" s="1168"/>
      <c r="K79" s="1168"/>
      <c r="L79" s="1168"/>
      <c r="M79" s="1168"/>
      <c r="N79" s="1168"/>
      <c r="O79" s="8"/>
      <c r="P79" s="9"/>
    </row>
    <row r="80" spans="2:19" ht="12.75" customHeight="1" x14ac:dyDescent="0.25">
      <c r="B80" s="8"/>
      <c r="C80" s="8"/>
      <c r="D80" s="17"/>
      <c r="E80" s="1223" t="str">
        <f>Translations!$B$397</f>
        <v>This tool exists twofold in this template and each tool should only be used for one CHP. If more CHPs are relevant, a separate template might be used to provide relevant information.</v>
      </c>
      <c r="F80" s="1176"/>
      <c r="G80" s="1176"/>
      <c r="H80" s="1176"/>
      <c r="I80" s="1176"/>
      <c r="J80" s="1176"/>
      <c r="K80" s="1176"/>
      <c r="L80" s="1176"/>
      <c r="M80" s="1176"/>
      <c r="N80" s="1176"/>
      <c r="O80" s="8"/>
      <c r="P80" s="9"/>
    </row>
    <row r="81" spans="2:24" ht="25.5" customHeight="1" x14ac:dyDescent="0.25">
      <c r="B81" s="8"/>
      <c r="C81" s="8"/>
      <c r="D81" s="17"/>
      <c r="E81" s="1223" t="s">
        <v>329</v>
      </c>
      <c r="F81" s="1176"/>
      <c r="G81" s="1176"/>
      <c r="H81" s="1176"/>
      <c r="I81" s="1176"/>
      <c r="J81" s="1176"/>
      <c r="K81" s="1176"/>
      <c r="L81" s="1176"/>
      <c r="M81" s="1176"/>
      <c r="N81" s="1176"/>
      <c r="O81" s="8"/>
      <c r="P81" s="9"/>
    </row>
    <row r="82" spans="2:24" ht="5.0999999999999996" customHeight="1" x14ac:dyDescent="0.25">
      <c r="B82" s="8"/>
      <c r="C82" s="8"/>
      <c r="D82" s="8"/>
      <c r="E82" s="8"/>
      <c r="F82" s="8"/>
      <c r="G82" s="8"/>
      <c r="H82" s="8"/>
      <c r="I82" s="8"/>
      <c r="J82" s="8"/>
      <c r="K82" s="8"/>
      <c r="L82" s="8"/>
      <c r="M82" s="8"/>
      <c r="N82" s="8"/>
      <c r="O82" s="8"/>
      <c r="P82" s="9"/>
    </row>
    <row r="83" spans="2:24" ht="13.8" x14ac:dyDescent="0.25">
      <c r="B83" s="8"/>
      <c r="C83" s="19">
        <v>1</v>
      </c>
      <c r="D83" s="1234" t="str">
        <f>Translations!$B$399</f>
        <v>Tool for calculating the emissions attributable to heat production in combined heat and power units (CHP)</v>
      </c>
      <c r="E83" s="1176"/>
      <c r="F83" s="1176"/>
      <c r="G83" s="1176"/>
      <c r="H83" s="1176"/>
      <c r="I83" s="1176"/>
      <c r="J83" s="1176"/>
      <c r="K83" s="1176"/>
      <c r="L83" s="1176"/>
      <c r="M83" s="1176"/>
      <c r="N83" s="1176"/>
      <c r="O83" s="8"/>
      <c r="P83" s="9"/>
    </row>
    <row r="84" spans="2:24" ht="5.0999999999999996" customHeight="1" x14ac:dyDescent="0.25">
      <c r="B84" s="8"/>
      <c r="C84" s="8"/>
      <c r="D84" s="8"/>
      <c r="E84" s="8"/>
      <c r="F84" s="8"/>
      <c r="G84" s="8"/>
      <c r="H84" s="8"/>
      <c r="I84" s="8"/>
      <c r="J84" s="8"/>
      <c r="K84" s="8"/>
      <c r="L84" s="8"/>
      <c r="M84" s="8"/>
      <c r="N84" s="8"/>
      <c r="O84" s="8"/>
      <c r="P84" s="9"/>
    </row>
    <row r="85" spans="2:24" x14ac:dyDescent="0.25">
      <c r="B85" s="8"/>
      <c r="C85" s="8"/>
      <c r="D85" s="15" t="s">
        <v>190</v>
      </c>
      <c r="E85" s="1165" t="str">
        <f>Translations!$B$400</f>
        <v>Total amount of fuel input into CHP units</v>
      </c>
      <c r="F85" s="1176"/>
      <c r="G85" s="1176"/>
      <c r="H85" s="1176"/>
      <c r="I85" s="1176"/>
      <c r="J85" s="1176"/>
      <c r="K85" s="1176"/>
      <c r="L85" s="1176"/>
      <c r="M85" s="1176"/>
      <c r="N85" s="1176"/>
      <c r="O85" s="8"/>
      <c r="P85" s="9"/>
    </row>
    <row r="86" spans="2:24" x14ac:dyDescent="0.25">
      <c r="B86" s="8"/>
      <c r="C86" s="8"/>
      <c r="D86" s="17"/>
      <c r="E86" s="1223" t="str">
        <f>Translations!$B$401</f>
        <v>Please enter here the annual fuel input into the CHP unit.</v>
      </c>
      <c r="F86" s="1176"/>
      <c r="G86" s="1176"/>
      <c r="H86" s="1176"/>
      <c r="I86" s="1176"/>
      <c r="J86" s="1176"/>
      <c r="K86" s="1176"/>
      <c r="L86" s="1176"/>
      <c r="M86" s="1176"/>
      <c r="N86" s="1176"/>
      <c r="O86" s="8"/>
      <c r="P86" s="9"/>
    </row>
    <row r="87" spans="2:24" ht="13.8" thickBot="1" x14ac:dyDescent="0.3">
      <c r="B87" s="17"/>
      <c r="C87" s="17"/>
      <c r="D87" s="17"/>
      <c r="E87" s="1259"/>
      <c r="F87" s="1212"/>
      <c r="G87" s="1212"/>
      <c r="H87" s="24" t="str">
        <f>EUconst_Unit</f>
        <v>Unit</v>
      </c>
      <c r="I87" s="128">
        <f>I$309</f>
        <v>2019</v>
      </c>
      <c r="J87" s="128">
        <f>J$309</f>
        <v>2020</v>
      </c>
      <c r="K87" s="128">
        <f>K$309</f>
        <v>2021</v>
      </c>
      <c r="L87" s="128">
        <f>L$309</f>
        <v>2022</v>
      </c>
      <c r="M87" s="128">
        <f>M$309</f>
        <v>2023</v>
      </c>
      <c r="N87" s="17"/>
      <c r="O87" s="8"/>
      <c r="X87" s="145" t="s">
        <v>330</v>
      </c>
    </row>
    <row r="88" spans="2:24" x14ac:dyDescent="0.25">
      <c r="B88" s="17"/>
      <c r="C88" s="17"/>
      <c r="D88" s="17"/>
      <c r="E88" s="1412" t="str">
        <f>Translations!$B$402</f>
        <v>Fuel input into CHP</v>
      </c>
      <c r="F88" s="1412"/>
      <c r="G88" s="1412"/>
      <c r="H88" s="43" t="str">
        <f>EUconst_TJpa</f>
        <v>TJ / year</v>
      </c>
      <c r="I88" s="293"/>
      <c r="J88" s="293"/>
      <c r="K88" s="293"/>
      <c r="L88" s="293"/>
      <c r="M88" s="293"/>
      <c r="N88" s="17"/>
      <c r="O88" s="8"/>
      <c r="P88" s="9"/>
      <c r="X88" s="284" t="b">
        <f>AND(M76&lt;&gt;"",M76=FALSE)</f>
        <v>0</v>
      </c>
    </row>
    <row r="89" spans="2:24" ht="5.0999999999999996" customHeight="1" x14ac:dyDescent="0.25">
      <c r="B89" s="17"/>
      <c r="C89" s="17"/>
      <c r="D89" s="17"/>
      <c r="E89" s="17"/>
      <c r="F89" s="17"/>
      <c r="G89" s="17"/>
      <c r="H89" s="17"/>
      <c r="I89" s="17"/>
      <c r="J89" s="17"/>
      <c r="K89" s="17"/>
      <c r="L89" s="17"/>
      <c r="M89" s="17"/>
      <c r="N89" s="17"/>
      <c r="O89" s="8"/>
      <c r="X89" s="815"/>
    </row>
    <row r="90" spans="2:24" x14ac:dyDescent="0.25">
      <c r="B90" s="8"/>
      <c r="C90" s="8"/>
      <c r="D90" s="15" t="s">
        <v>192</v>
      </c>
      <c r="E90" s="1165" t="str">
        <f>Translations!$B$403</f>
        <v>Heat output from CHP</v>
      </c>
      <c r="F90" s="1176"/>
      <c r="G90" s="1176"/>
      <c r="H90" s="1176"/>
      <c r="I90" s="1176"/>
      <c r="J90" s="1176"/>
      <c r="K90" s="1176"/>
      <c r="L90" s="1176"/>
      <c r="M90" s="1176"/>
      <c r="N90" s="1176"/>
      <c r="O90" s="8"/>
      <c r="P90" s="9"/>
      <c r="X90" s="815"/>
    </row>
    <row r="91" spans="2:24" x14ac:dyDescent="0.25">
      <c r="B91" s="8"/>
      <c r="C91" s="8"/>
      <c r="D91" s="17"/>
      <c r="E91" s="1223" t="str">
        <f>Translations!$B$404</f>
        <v>This is the total amount of heat produced by the CHP.</v>
      </c>
      <c r="F91" s="1176"/>
      <c r="G91" s="1176"/>
      <c r="H91" s="1176"/>
      <c r="I91" s="1176"/>
      <c r="J91" s="1176"/>
      <c r="K91" s="1176"/>
      <c r="L91" s="1176"/>
      <c r="M91" s="1176"/>
      <c r="N91" s="1176"/>
      <c r="O91" s="8"/>
      <c r="P91" s="9"/>
      <c r="X91" s="815"/>
    </row>
    <row r="92" spans="2:24" x14ac:dyDescent="0.25">
      <c r="B92" s="8"/>
      <c r="C92" s="8"/>
      <c r="D92" s="17"/>
      <c r="E92" s="1259"/>
      <c r="F92" s="1212"/>
      <c r="G92" s="1212"/>
      <c r="H92" s="24" t="str">
        <f>EUconst_Unit</f>
        <v>Unit</v>
      </c>
      <c r="I92" s="128">
        <f>I$309</f>
        <v>2019</v>
      </c>
      <c r="J92" s="128">
        <f>J$309</f>
        <v>2020</v>
      </c>
      <c r="K92" s="128">
        <f>K$309</f>
        <v>2021</v>
      </c>
      <c r="L92" s="128">
        <f>L$309</f>
        <v>2022</v>
      </c>
      <c r="M92" s="128">
        <f>M$309</f>
        <v>2023</v>
      </c>
      <c r="N92" s="625"/>
      <c r="O92" s="8"/>
      <c r="P92" s="9"/>
      <c r="X92" s="815"/>
    </row>
    <row r="93" spans="2:24" x14ac:dyDescent="0.25">
      <c r="B93" s="17"/>
      <c r="C93" s="17"/>
      <c r="D93" s="17"/>
      <c r="E93" s="1412" t="str">
        <f>Translations!$B$403</f>
        <v>Heat output from CHP</v>
      </c>
      <c r="F93" s="1412"/>
      <c r="G93" s="1412"/>
      <c r="H93" s="43" t="str">
        <f>EUconst_TJpa</f>
        <v>TJ / year</v>
      </c>
      <c r="I93" s="293"/>
      <c r="J93" s="293"/>
      <c r="K93" s="293"/>
      <c r="L93" s="293"/>
      <c r="M93" s="293"/>
      <c r="N93" s="17"/>
      <c r="O93" s="8"/>
      <c r="X93" s="285" t="b">
        <f>X88</f>
        <v>0</v>
      </c>
    </row>
    <row r="94" spans="2:24" ht="5.0999999999999996" customHeight="1" x14ac:dyDescent="0.25">
      <c r="B94" s="17"/>
      <c r="C94" s="17"/>
      <c r="D94" s="17"/>
      <c r="E94" s="17"/>
      <c r="F94" s="17"/>
      <c r="G94" s="17"/>
      <c r="H94" s="17"/>
      <c r="I94" s="17"/>
      <c r="J94" s="17"/>
      <c r="K94" s="17"/>
      <c r="L94" s="17"/>
      <c r="M94" s="17"/>
      <c r="N94" s="17"/>
      <c r="O94" s="8"/>
      <c r="X94" s="815"/>
    </row>
    <row r="95" spans="2:24" x14ac:dyDescent="0.25">
      <c r="B95" s="8"/>
      <c r="C95" s="8"/>
      <c r="D95" s="15" t="s">
        <v>195</v>
      </c>
      <c r="E95" s="1165" t="str">
        <f>Translations!$B$405</f>
        <v>Electricity output CHP</v>
      </c>
      <c r="F95" s="1176"/>
      <c r="G95" s="1176"/>
      <c r="H95" s="1176"/>
      <c r="I95" s="1176"/>
      <c r="J95" s="1176"/>
      <c r="K95" s="1176"/>
      <c r="L95" s="1176"/>
      <c r="M95" s="1176"/>
      <c r="N95" s="1176"/>
      <c r="O95" s="8"/>
      <c r="P95" s="9"/>
      <c r="X95" s="815"/>
    </row>
    <row r="96" spans="2:24" ht="12.75" customHeight="1" x14ac:dyDescent="0.25">
      <c r="B96" s="8"/>
      <c r="C96" s="8"/>
      <c r="D96" s="17"/>
      <c r="E96" s="1223" t="str">
        <f>Translations!$B$406</f>
        <v>This is the total amount of electricity (or mechanical energy, where applicable) produced by the CHP.</v>
      </c>
      <c r="F96" s="1176"/>
      <c r="G96" s="1176"/>
      <c r="H96" s="1176"/>
      <c r="I96" s="1176"/>
      <c r="J96" s="1176"/>
      <c r="K96" s="1176"/>
      <c r="L96" s="1176"/>
      <c r="M96" s="1176"/>
      <c r="N96" s="1176"/>
      <c r="O96" s="8"/>
      <c r="P96" s="9"/>
      <c r="X96" s="815"/>
    </row>
    <row r="97" spans="2:24" x14ac:dyDescent="0.25">
      <c r="B97" s="8"/>
      <c r="C97" s="8"/>
      <c r="D97" s="17"/>
      <c r="E97" s="1259"/>
      <c r="F97" s="1212"/>
      <c r="G97" s="1212"/>
      <c r="H97" s="24" t="str">
        <f>EUconst_Unit</f>
        <v>Unit</v>
      </c>
      <c r="I97" s="128">
        <f>I$309</f>
        <v>2019</v>
      </c>
      <c r="J97" s="128">
        <f>J$309</f>
        <v>2020</v>
      </c>
      <c r="K97" s="128">
        <f>K$309</f>
        <v>2021</v>
      </c>
      <c r="L97" s="128">
        <f>L$309</f>
        <v>2022</v>
      </c>
      <c r="M97" s="128">
        <f>M$309</f>
        <v>2023</v>
      </c>
      <c r="N97" s="625"/>
      <c r="O97" s="8"/>
      <c r="P97" s="9"/>
      <c r="X97" s="815"/>
    </row>
    <row r="98" spans="2:24" x14ac:dyDescent="0.25">
      <c r="B98" s="8"/>
      <c r="C98" s="8"/>
      <c r="D98" s="17"/>
      <c r="E98" s="1412" t="str">
        <f>Translations!$B$407</f>
        <v>Electricity output from CHP</v>
      </c>
      <c r="F98" s="1412"/>
      <c r="G98" s="1412"/>
      <c r="H98" s="43" t="str">
        <f>EUconst_MWhpa</f>
        <v>MWh / year</v>
      </c>
      <c r="I98" s="293"/>
      <c r="J98" s="293"/>
      <c r="K98" s="293"/>
      <c r="L98" s="293"/>
      <c r="M98" s="293"/>
      <c r="N98" s="17"/>
      <c r="O98" s="8"/>
      <c r="P98" s="9"/>
      <c r="X98" s="285" t="b">
        <f>X93</f>
        <v>0</v>
      </c>
    </row>
    <row r="99" spans="2:24" x14ac:dyDescent="0.25">
      <c r="B99" s="17"/>
      <c r="C99" s="17"/>
      <c r="D99" s="17"/>
      <c r="E99" s="1412" t="str">
        <f>Translations!$B$407</f>
        <v>Electricity output from CHP</v>
      </c>
      <c r="F99" s="1412"/>
      <c r="G99" s="1412"/>
      <c r="H99" s="43" t="str">
        <f>EUconst_TJpa</f>
        <v>TJ / year</v>
      </c>
      <c r="I99" s="163" t="str">
        <f>IF(ISBLANK(I98),"",I98*3.6/1000)</f>
        <v/>
      </c>
      <c r="J99" s="163" t="str">
        <f>IF(ISBLANK(J98),"",J98*3.6/1000)</f>
        <v/>
      </c>
      <c r="K99" s="163" t="str">
        <f>IF(ISBLANK(K98),"",K98*3.6/1000)</f>
        <v/>
      </c>
      <c r="L99" s="163" t="str">
        <f>IF(ISBLANK(L98),"",L98*3.6/1000)</f>
        <v/>
      </c>
      <c r="M99" s="163" t="str">
        <f>IF(ISBLANK(M98),"",M98*3.6/1000)</f>
        <v/>
      </c>
      <c r="N99" s="17"/>
      <c r="O99" s="8"/>
      <c r="X99" s="285" t="b">
        <f>X93</f>
        <v>0</v>
      </c>
    </row>
    <row r="100" spans="2:24" ht="5.0999999999999996" customHeight="1" x14ac:dyDescent="0.25">
      <c r="B100" s="17"/>
      <c r="C100" s="17"/>
      <c r="D100" s="17"/>
      <c r="E100" s="17"/>
      <c r="F100" s="17"/>
      <c r="G100" s="17"/>
      <c r="H100" s="17"/>
      <c r="I100" s="17"/>
      <c r="J100" s="17"/>
      <c r="K100" s="17"/>
      <c r="L100" s="17"/>
      <c r="M100" s="17"/>
      <c r="N100" s="17"/>
      <c r="O100" s="8"/>
      <c r="X100" s="815"/>
    </row>
    <row r="101" spans="2:24" x14ac:dyDescent="0.25">
      <c r="B101" s="8"/>
      <c r="C101" s="8"/>
      <c r="D101" s="15" t="s">
        <v>197</v>
      </c>
      <c r="E101" s="1165" t="str">
        <f>Translations!$B$408</f>
        <v>Total emissions from CHP</v>
      </c>
      <c r="F101" s="1176"/>
      <c r="G101" s="1176"/>
      <c r="H101" s="1176"/>
      <c r="I101" s="1176"/>
      <c r="J101" s="1176"/>
      <c r="K101" s="1176"/>
      <c r="L101" s="1176"/>
      <c r="M101" s="1176"/>
      <c r="N101" s="1176"/>
      <c r="O101" s="8"/>
      <c r="P101" s="9"/>
      <c r="X101" s="815"/>
    </row>
    <row r="102" spans="2:24" x14ac:dyDescent="0.25">
      <c r="B102" s="8"/>
      <c r="C102" s="8"/>
      <c r="D102" s="17"/>
      <c r="E102" s="1223" t="str">
        <f>Translations!$B$409</f>
        <v>Values should distinguish between emissions from fuel input and from flue gas cleaning.</v>
      </c>
      <c r="F102" s="1176"/>
      <c r="G102" s="1176"/>
      <c r="H102" s="1176"/>
      <c r="I102" s="1176"/>
      <c r="J102" s="1176"/>
      <c r="K102" s="1176"/>
      <c r="L102" s="1176"/>
      <c r="M102" s="1176"/>
      <c r="N102" s="1176"/>
      <c r="O102" s="8"/>
      <c r="P102" s="9"/>
      <c r="X102" s="815"/>
    </row>
    <row r="103" spans="2:24" x14ac:dyDescent="0.25">
      <c r="B103" s="8"/>
      <c r="C103" s="8"/>
      <c r="D103" s="17"/>
      <c r="E103" s="1259"/>
      <c r="F103" s="1212"/>
      <c r="G103" s="1212"/>
      <c r="H103" s="24" t="str">
        <f>EUconst_Unit</f>
        <v>Unit</v>
      </c>
      <c r="I103" s="128">
        <f>I$309</f>
        <v>2019</v>
      </c>
      <c r="J103" s="128">
        <f>J$309</f>
        <v>2020</v>
      </c>
      <c r="K103" s="128">
        <f>K$309</f>
        <v>2021</v>
      </c>
      <c r="L103" s="128">
        <f>L$309</f>
        <v>2022</v>
      </c>
      <c r="M103" s="128">
        <f>M$309</f>
        <v>2023</v>
      </c>
      <c r="N103" s="625"/>
      <c r="O103" s="8"/>
      <c r="P103" s="9"/>
      <c r="X103" s="815"/>
    </row>
    <row r="104" spans="2:24" x14ac:dyDescent="0.25">
      <c r="B104" s="17"/>
      <c r="C104" s="17"/>
      <c r="D104" s="17"/>
      <c r="E104" s="1412" t="str">
        <f>Translations!$B$410</f>
        <v>From fuel input to CHP</v>
      </c>
      <c r="F104" s="1412"/>
      <c r="G104" s="1412"/>
      <c r="H104" s="43" t="str">
        <f>EUconst_tCO2pa</f>
        <v>t CO2 / year</v>
      </c>
      <c r="I104" s="293"/>
      <c r="J104" s="293"/>
      <c r="K104" s="293"/>
      <c r="L104" s="293"/>
      <c r="M104" s="293"/>
      <c r="N104" s="17"/>
      <c r="O104" s="8"/>
      <c r="X104" s="285" t="b">
        <f>X99</f>
        <v>0</v>
      </c>
    </row>
    <row r="105" spans="2:24" x14ac:dyDescent="0.25">
      <c r="B105" s="17"/>
      <c r="C105" s="17"/>
      <c r="D105" s="17"/>
      <c r="E105" s="1412" t="str">
        <f>Translations!$B$411</f>
        <v>From flue gas cleaning</v>
      </c>
      <c r="F105" s="1412"/>
      <c r="G105" s="1412"/>
      <c r="H105" s="43" t="str">
        <f>EUconst_tCO2pa</f>
        <v>t CO2 / year</v>
      </c>
      <c r="I105" s="293"/>
      <c r="J105" s="293"/>
      <c r="K105" s="293"/>
      <c r="L105" s="293"/>
      <c r="M105" s="293"/>
      <c r="N105" s="17"/>
      <c r="O105" s="8"/>
      <c r="X105" s="285" t="b">
        <f>X104</f>
        <v>0</v>
      </c>
    </row>
    <row r="106" spans="2:24" x14ac:dyDescent="0.25">
      <c r="B106" s="17"/>
      <c r="C106" s="17"/>
      <c r="D106" s="17"/>
      <c r="E106" s="1412" t="str">
        <f>Translations!$B$412</f>
        <v>Total emissions</v>
      </c>
      <c r="F106" s="1412"/>
      <c r="G106" s="1412"/>
      <c r="H106" s="43" t="str">
        <f>EUconst_tCO2pa</f>
        <v>t CO2 / year</v>
      </c>
      <c r="I106" s="163" t="str">
        <f>IF(COUNT(I104:I105)&gt;0,SUM(I104:I105),"")</f>
        <v/>
      </c>
      <c r="J106" s="163" t="str">
        <f>IF(COUNT(J104:J105)&gt;0,SUM(J104:J105),"")</f>
        <v/>
      </c>
      <c r="K106" s="163" t="str">
        <f>IF(COUNT(K104:K105)&gt;0,SUM(K104:K105),"")</f>
        <v/>
      </c>
      <c r="L106" s="163" t="str">
        <f>IF(COUNT(L104:L105)&gt;0,SUM(L104:L105),"")</f>
        <v/>
      </c>
      <c r="M106" s="163" t="str">
        <f>IF(COUNT(M104:M105)&gt;0,SUM(M104:M105),"")</f>
        <v/>
      </c>
      <c r="N106" s="17"/>
      <c r="O106" s="8"/>
      <c r="X106" s="815"/>
    </row>
    <row r="107" spans="2:24" ht="5.0999999999999996" customHeight="1" x14ac:dyDescent="0.25">
      <c r="B107" s="17"/>
      <c r="C107" s="17"/>
      <c r="D107" s="17"/>
      <c r="E107" s="17"/>
      <c r="F107" s="17"/>
      <c r="G107" s="17"/>
      <c r="H107" s="17"/>
      <c r="I107" s="17"/>
      <c r="J107" s="17"/>
      <c r="K107" s="17"/>
      <c r="L107" s="17"/>
      <c r="M107" s="17"/>
      <c r="N107" s="17"/>
      <c r="O107" s="8"/>
      <c r="X107" s="815"/>
    </row>
    <row r="108" spans="2:24" ht="12.75" customHeight="1" x14ac:dyDescent="0.25">
      <c r="B108" s="17"/>
      <c r="C108" s="17"/>
      <c r="D108" s="15" t="s">
        <v>202</v>
      </c>
      <c r="E108" s="1208" t="str">
        <f>Translations!$B$413</f>
        <v>Default efficiencies:</v>
      </c>
      <c r="F108" s="1208"/>
      <c r="G108" s="1208"/>
      <c r="H108" s="1208"/>
      <c r="I108" s="279" t="str">
        <f>Translations!$B$414</f>
        <v>Heat:</v>
      </c>
      <c r="J108" s="816">
        <v>0.55000000000000004</v>
      </c>
      <c r="K108" s="17"/>
      <c r="L108" s="279" t="str">
        <f>Translations!$B$415</f>
        <v>Electricity:</v>
      </c>
      <c r="M108" s="816">
        <v>0.25</v>
      </c>
      <c r="N108" s="276"/>
      <c r="O108" s="8"/>
      <c r="X108" s="815"/>
    </row>
    <row r="109" spans="2:24" ht="5.0999999999999996" customHeight="1" x14ac:dyDescent="0.25">
      <c r="B109" s="17"/>
      <c r="C109" s="17"/>
      <c r="D109" s="17"/>
      <c r="E109" s="17"/>
      <c r="F109" s="17"/>
      <c r="G109" s="17"/>
      <c r="H109" s="17"/>
      <c r="I109" s="17"/>
      <c r="J109" s="17"/>
      <c r="K109" s="17"/>
      <c r="L109" s="17"/>
      <c r="M109" s="17"/>
      <c r="N109" s="17"/>
      <c r="O109" s="8"/>
      <c r="X109" s="815"/>
    </row>
    <row r="110" spans="2:24" x14ac:dyDescent="0.25">
      <c r="B110" s="8"/>
      <c r="C110" s="8"/>
      <c r="D110" s="15" t="s">
        <v>199</v>
      </c>
      <c r="E110" s="1165" t="str">
        <f>Translations!$B$416</f>
        <v>Efficiencies for heat and electricity</v>
      </c>
      <c r="F110" s="1176"/>
      <c r="G110" s="1176"/>
      <c r="H110" s="1176"/>
      <c r="I110" s="1176"/>
      <c r="J110" s="1176"/>
      <c r="K110" s="1176"/>
      <c r="L110" s="1176"/>
      <c r="M110" s="1176"/>
      <c r="N110" s="1176"/>
      <c r="O110" s="8"/>
      <c r="P110" s="9"/>
      <c r="X110" s="815"/>
    </row>
    <row r="111" spans="2:24" ht="12.75" customHeight="1" x14ac:dyDescent="0.25">
      <c r="B111" s="8"/>
      <c r="C111" s="8"/>
      <c r="D111" s="17"/>
      <c r="E111" s="1223" t="str">
        <f>Translations!$B$417</f>
        <v>These values are dimensionless and automatically calculated from inputs in (a) to (c) above.</v>
      </c>
      <c r="F111" s="1176"/>
      <c r="G111" s="1176"/>
      <c r="H111" s="1176"/>
      <c r="I111" s="1176"/>
      <c r="J111" s="1176"/>
      <c r="K111" s="1176"/>
      <c r="L111" s="1176"/>
      <c r="M111" s="1176"/>
      <c r="N111" s="1176"/>
      <c r="O111" s="8"/>
      <c r="P111" s="9"/>
      <c r="X111" s="815"/>
    </row>
    <row r="112" spans="2:24" ht="25.5" customHeight="1" x14ac:dyDescent="0.25">
      <c r="B112" s="8"/>
      <c r="C112" s="8"/>
      <c r="D112" s="17"/>
      <c r="E112" s="1223" t="str">
        <f>Translations!$B$418</f>
        <v>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v>
      </c>
      <c r="F112" s="1176"/>
      <c r="G112" s="1176"/>
      <c r="H112" s="1176"/>
      <c r="I112" s="1176"/>
      <c r="J112" s="1176"/>
      <c r="K112" s="1176"/>
      <c r="L112" s="1176"/>
      <c r="M112" s="1176"/>
      <c r="N112" s="1176"/>
      <c r="O112" s="8"/>
      <c r="P112" s="9"/>
      <c r="X112" s="815"/>
    </row>
    <row r="113" spans="2:24" x14ac:dyDescent="0.25">
      <c r="B113" s="17"/>
      <c r="C113" s="17"/>
      <c r="D113" s="17"/>
      <c r="E113" s="1259"/>
      <c r="F113" s="1212"/>
      <c r="G113" s="1212"/>
      <c r="H113" s="24" t="str">
        <f>EUconst_Unit</f>
        <v>Unit</v>
      </c>
      <c r="I113" s="128">
        <f>I$309</f>
        <v>2019</v>
      </c>
      <c r="J113" s="128">
        <f>J$309</f>
        <v>2020</v>
      </c>
      <c r="K113" s="128">
        <f>K$309</f>
        <v>2021</v>
      </c>
      <c r="L113" s="128">
        <f>L$309</f>
        <v>2022</v>
      </c>
      <c r="M113" s="128">
        <f>M$309</f>
        <v>2023</v>
      </c>
      <c r="N113" s="17"/>
      <c r="O113" s="8"/>
      <c r="X113" s="815"/>
    </row>
    <row r="114" spans="2:24" ht="12.75" customHeight="1" x14ac:dyDescent="0.25">
      <c r="B114" s="17"/>
      <c r="C114" s="17"/>
      <c r="D114" s="17"/>
      <c r="E114" s="1412" t="str">
        <f>Translations!$B$419</f>
        <v>Heat production</v>
      </c>
      <c r="F114" s="1412"/>
      <c r="G114" s="1412"/>
      <c r="H114" s="151" t="s">
        <v>214</v>
      </c>
      <c r="I114" s="422" t="str">
        <f>IF(AND(ISNUMBER(I88),ISNUMBER(I93)),I93/I88,IF(ISNUMBER(I106),$J108,""))</f>
        <v/>
      </c>
      <c r="J114" s="422" t="str">
        <f>IF(AND(ISNUMBER(J88),ISNUMBER(J93)),J93/J88,IF(ISNUMBER(J106),$J108,""))</f>
        <v/>
      </c>
      <c r="K114" s="422" t="str">
        <f>IF(AND(ISNUMBER(K88),ISNUMBER(K93)),K93/K88,IF(ISNUMBER(K106),$J108,""))</f>
        <v/>
      </c>
      <c r="L114" s="422" t="str">
        <f>IF(AND(ISNUMBER(L88),ISNUMBER(L93)),L93/L88,IF(ISNUMBER(L106),$J108,""))</f>
        <v/>
      </c>
      <c r="M114" s="422" t="str">
        <f>IF(AND(ISNUMBER(M88),ISNUMBER(M93)),M93/M88,IF(ISNUMBER(M106),$J108,""))</f>
        <v/>
      </c>
      <c r="N114" s="17"/>
      <c r="O114" s="8"/>
      <c r="X114" s="815"/>
    </row>
    <row r="115" spans="2:24" ht="12.75" customHeight="1" x14ac:dyDescent="0.25">
      <c r="B115" s="17"/>
      <c r="C115" s="17"/>
      <c r="D115" s="17"/>
      <c r="E115" s="1412" t="str">
        <f>Translations!$B$420</f>
        <v>Electricity production</v>
      </c>
      <c r="F115" s="1412"/>
      <c r="G115" s="1412"/>
      <c r="H115" s="151" t="s">
        <v>214</v>
      </c>
      <c r="I115" s="422" t="str">
        <f>IF(AND(ISNUMBER(I88),ISNUMBER(I99)),I99/I88,IF(ISNUMBER(I106),$M108,""))</f>
        <v/>
      </c>
      <c r="J115" s="422" t="str">
        <f>IF(AND(ISNUMBER(J88),ISNUMBER(J99)),J99/J88,IF(ISNUMBER(J106),$M108,""))</f>
        <v/>
      </c>
      <c r="K115" s="422" t="str">
        <f>IF(AND(ISNUMBER(K88),ISNUMBER(K99)),K99/K88,IF(ISNUMBER(K106),$M108,""))</f>
        <v/>
      </c>
      <c r="L115" s="422" t="str">
        <f>IF(AND(ISNUMBER(L88),ISNUMBER(L99)),L99/L88,IF(ISNUMBER(L106),$M108,""))</f>
        <v/>
      </c>
      <c r="M115" s="422" t="str">
        <f>IF(AND(ISNUMBER(M88),ISNUMBER(M99)),M99/M88,IF(ISNUMBER(M106),$M108,""))</f>
        <v/>
      </c>
      <c r="N115" s="17"/>
      <c r="O115" s="8"/>
      <c r="X115" s="815"/>
    </row>
    <row r="116" spans="2:24" ht="5.0999999999999996" customHeight="1" x14ac:dyDescent="0.25">
      <c r="B116" s="17"/>
      <c r="C116" s="17"/>
      <c r="D116" s="17"/>
      <c r="E116" s="17"/>
      <c r="F116" s="17"/>
      <c r="G116" s="17"/>
      <c r="H116" s="17"/>
      <c r="I116" s="17"/>
      <c r="J116" s="17"/>
      <c r="K116" s="17"/>
      <c r="L116" s="17"/>
      <c r="M116" s="17"/>
      <c r="N116" s="17"/>
      <c r="O116" s="8"/>
      <c r="X116" s="815"/>
    </row>
    <row r="117" spans="2:24" x14ac:dyDescent="0.25">
      <c r="B117" s="8"/>
      <c r="C117" s="8"/>
      <c r="D117" s="15" t="s">
        <v>212</v>
      </c>
      <c r="E117" s="1165" t="str">
        <f>Translations!$B$421</f>
        <v>Reference efficiencies</v>
      </c>
      <c r="F117" s="1176"/>
      <c r="G117" s="1176"/>
      <c r="H117" s="1176"/>
      <c r="I117" s="1176"/>
      <c r="J117" s="1176"/>
      <c r="K117" s="1176"/>
      <c r="L117" s="1176"/>
      <c r="M117" s="1176"/>
      <c r="N117" s="1176"/>
      <c r="O117" s="8"/>
      <c r="P117" s="9"/>
      <c r="X117" s="815"/>
    </row>
    <row r="118" spans="2:24" ht="12.75" customHeight="1" x14ac:dyDescent="0.25">
      <c r="B118" s="8"/>
      <c r="C118" s="8"/>
      <c r="D118" s="17"/>
      <c r="E118" s="1223" t="str">
        <f>Translations!$B$422</f>
        <v xml:space="preserve">These are the reference efficiency for heat production in a stand-alone boiler, and the reference efficiency of electricity production without cogeneration. </v>
      </c>
      <c r="F118" s="1176"/>
      <c r="G118" s="1176"/>
      <c r="H118" s="1176"/>
      <c r="I118" s="1176"/>
      <c r="J118" s="1176"/>
      <c r="K118" s="1176"/>
      <c r="L118" s="1176"/>
      <c r="M118" s="1176"/>
      <c r="N118" s="1176"/>
      <c r="O118" s="8"/>
      <c r="P118" s="9"/>
      <c r="X118" s="815"/>
    </row>
    <row r="119" spans="2:24" ht="16.95" customHeight="1" x14ac:dyDescent="0.25">
      <c r="B119" s="8"/>
      <c r="C119" s="8"/>
      <c r="D119" s="17"/>
      <c r="E119" s="1223" t="s">
        <v>331</v>
      </c>
      <c r="F119" s="1176"/>
      <c r="G119" s="1176"/>
      <c r="H119" s="1176"/>
      <c r="I119" s="1176"/>
      <c r="J119" s="1176"/>
      <c r="K119" s="1176"/>
      <c r="L119" s="1176"/>
      <c r="M119" s="1176"/>
      <c r="N119" s="1176"/>
      <c r="O119" s="8"/>
      <c r="P119" s="9"/>
      <c r="X119" s="815"/>
    </row>
    <row r="120" spans="2:24" ht="12.75" customHeight="1" x14ac:dyDescent="0.25">
      <c r="B120" s="8"/>
      <c r="C120" s="8"/>
      <c r="D120" s="17"/>
      <c r="E120" s="1434" t="s">
        <v>332</v>
      </c>
      <c r="F120" s="1435"/>
      <c r="G120" s="1435"/>
      <c r="H120" s="1435"/>
      <c r="I120" s="1435"/>
      <c r="J120" s="1435"/>
      <c r="K120" s="1435"/>
      <c r="L120" s="1435"/>
      <c r="M120" s="1435"/>
      <c r="N120" s="1435"/>
      <c r="O120" s="8"/>
      <c r="P120" s="9"/>
      <c r="X120" s="815"/>
    </row>
    <row r="121" spans="2:24" ht="12.75" customHeight="1" x14ac:dyDescent="0.25">
      <c r="B121" s="8"/>
      <c r="C121" s="8"/>
      <c r="D121" s="17"/>
      <c r="E121" s="1223" t="str">
        <f>Translations!$B$425</f>
        <v>Default efficiencies below are for natural gas CHPs producing electricity and hot water.</v>
      </c>
      <c r="F121" s="1176"/>
      <c r="G121" s="1176"/>
      <c r="H121" s="1176"/>
      <c r="I121" s="1176"/>
      <c r="J121" s="1176"/>
      <c r="K121" s="1176"/>
      <c r="L121" s="1176"/>
      <c r="M121" s="1176"/>
      <c r="N121" s="1176"/>
      <c r="O121" s="8"/>
      <c r="P121" s="9"/>
      <c r="X121" s="815"/>
    </row>
    <row r="122" spans="2:24" x14ac:dyDescent="0.25">
      <c r="B122" s="17"/>
      <c r="C122" s="17"/>
      <c r="D122" s="17"/>
      <c r="E122" s="1259"/>
      <c r="F122" s="1212"/>
      <c r="G122" s="1212"/>
      <c r="H122" s="24" t="str">
        <f>EUconst_Unit</f>
        <v>Unit</v>
      </c>
      <c r="I122" s="128">
        <f>I$309</f>
        <v>2019</v>
      </c>
      <c r="J122" s="128">
        <f>J$309</f>
        <v>2020</v>
      </c>
      <c r="K122" s="128">
        <f>K$309</f>
        <v>2021</v>
      </c>
      <c r="L122" s="128">
        <f>L$309</f>
        <v>2022</v>
      </c>
      <c r="M122" s="128">
        <f>M$309</f>
        <v>2023</v>
      </c>
      <c r="N122" s="17"/>
      <c r="O122" s="8"/>
      <c r="X122" s="815"/>
    </row>
    <row r="123" spans="2:24" ht="12.75" customHeight="1" x14ac:dyDescent="0.25">
      <c r="B123" s="17"/>
      <c r="C123" s="17"/>
      <c r="D123" s="17"/>
      <c r="E123" s="1412" t="str">
        <f>Translations!$B$419</f>
        <v>Heat production</v>
      </c>
      <c r="F123" s="1412"/>
      <c r="G123" s="1412"/>
      <c r="H123" s="151" t="s">
        <v>214</v>
      </c>
      <c r="I123" s="817"/>
      <c r="J123" s="817"/>
      <c r="K123" s="817"/>
      <c r="L123" s="817"/>
      <c r="M123" s="817"/>
      <c r="N123" s="17"/>
      <c r="O123" s="8"/>
      <c r="X123" s="285" t="b">
        <f>X105</f>
        <v>0</v>
      </c>
    </row>
    <row r="124" spans="2:24" ht="12.75" customHeight="1" x14ac:dyDescent="0.25">
      <c r="B124" s="17"/>
      <c r="C124" s="17"/>
      <c r="D124" s="17"/>
      <c r="E124" s="1412" t="str">
        <f>Translations!$B$420</f>
        <v>Electricity production</v>
      </c>
      <c r="F124" s="1412"/>
      <c r="G124" s="1412"/>
      <c r="H124" s="151" t="s">
        <v>214</v>
      </c>
      <c r="I124" s="817"/>
      <c r="J124" s="817"/>
      <c r="K124" s="817"/>
      <c r="L124" s="817"/>
      <c r="M124" s="817"/>
      <c r="N124" s="17"/>
      <c r="O124" s="8"/>
      <c r="X124" s="285" t="b">
        <f>X123</f>
        <v>0</v>
      </c>
    </row>
    <row r="125" spans="2:24" ht="5.0999999999999996" customHeight="1" x14ac:dyDescent="0.25">
      <c r="B125" s="17"/>
      <c r="C125" s="17"/>
      <c r="D125" s="17"/>
      <c r="E125" s="17"/>
      <c r="F125" s="17"/>
      <c r="G125" s="17"/>
      <c r="H125" s="17"/>
      <c r="I125" s="17"/>
      <c r="J125" s="17"/>
      <c r="K125" s="17"/>
      <c r="L125" s="17"/>
      <c r="M125" s="17"/>
      <c r="N125" s="17"/>
      <c r="O125" s="8"/>
      <c r="X125" s="815"/>
    </row>
    <row r="126" spans="2:24" x14ac:dyDescent="0.25">
      <c r="B126" s="8"/>
      <c r="C126" s="8"/>
      <c r="D126" s="15" t="s">
        <v>218</v>
      </c>
      <c r="E126" s="1165" t="str">
        <f>Translations!$B$426</f>
        <v>Emissions attributable to heat production from CHP</v>
      </c>
      <c r="F126" s="1176"/>
      <c r="G126" s="1176"/>
      <c r="H126" s="1176"/>
      <c r="I126" s="1176"/>
      <c r="J126" s="1176"/>
      <c r="K126" s="1176"/>
      <c r="L126" s="1176"/>
      <c r="M126" s="1176"/>
      <c r="N126" s="1176"/>
      <c r="O126" s="8"/>
      <c r="P126" s="9"/>
      <c r="X126" s="815"/>
    </row>
    <row r="127" spans="2:24" x14ac:dyDescent="0.25">
      <c r="B127" s="8"/>
      <c r="C127" s="8"/>
      <c r="D127" s="17"/>
      <c r="E127" s="1223" t="str">
        <f>Translations!$B$427</f>
        <v>This is the final result of this tool. The values displayed here should be entered in sheets F or G for the attributable emissions for the appropriate sub-installation.</v>
      </c>
      <c r="F127" s="1176"/>
      <c r="G127" s="1176"/>
      <c r="H127" s="1176"/>
      <c r="I127" s="1176"/>
      <c r="J127" s="1176"/>
      <c r="K127" s="1176"/>
      <c r="L127" s="1176"/>
      <c r="M127" s="1176"/>
      <c r="N127" s="1176"/>
      <c r="O127" s="8"/>
      <c r="P127" s="9"/>
      <c r="X127" s="815"/>
    </row>
    <row r="128" spans="2:24" x14ac:dyDescent="0.25">
      <c r="B128" s="8"/>
      <c r="C128" s="8"/>
      <c r="D128" s="17"/>
      <c r="E128" s="1223" t="str">
        <f>Translations!$B$428</f>
        <v>For example, this may include attributable emissions to be taken into account for the total direct emissions, or use of the emission factor for any measurable heat imported.</v>
      </c>
      <c r="F128" s="1176"/>
      <c r="G128" s="1176"/>
      <c r="H128" s="1176"/>
      <c r="I128" s="1176"/>
      <c r="J128" s="1176"/>
      <c r="K128" s="1176"/>
      <c r="L128" s="1176"/>
      <c r="M128" s="1176"/>
      <c r="N128" s="1176"/>
      <c r="O128" s="8"/>
      <c r="P128" s="9"/>
      <c r="X128" s="815"/>
    </row>
    <row r="129" spans="2:24" x14ac:dyDescent="0.25">
      <c r="B129" s="8"/>
      <c r="C129" s="8"/>
      <c r="D129" s="17"/>
      <c r="E129" s="1223" t="s">
        <v>333</v>
      </c>
      <c r="F129" s="1176"/>
      <c r="G129" s="1176"/>
      <c r="H129" s="1176"/>
      <c r="I129" s="1176"/>
      <c r="J129" s="1176"/>
      <c r="K129" s="1176"/>
      <c r="L129" s="1176"/>
      <c r="M129" s="1176"/>
      <c r="N129" s="1176"/>
      <c r="O129" s="8"/>
      <c r="P129" s="9"/>
      <c r="X129" s="815"/>
    </row>
    <row r="130" spans="2:24" x14ac:dyDescent="0.25">
      <c r="B130" s="17"/>
      <c r="C130" s="17"/>
      <c r="D130" s="17"/>
      <c r="E130" s="1259"/>
      <c r="F130" s="1212"/>
      <c r="G130" s="1212"/>
      <c r="H130" s="24" t="str">
        <f>EUconst_Unit</f>
        <v>Unit</v>
      </c>
      <c r="I130" s="128">
        <f>I$309</f>
        <v>2019</v>
      </c>
      <c r="J130" s="128">
        <f>J$309</f>
        <v>2020</v>
      </c>
      <c r="K130" s="128">
        <f>K$309</f>
        <v>2021</v>
      </c>
      <c r="L130" s="128">
        <f>L$309</f>
        <v>2022</v>
      </c>
      <c r="M130" s="128">
        <f>M$309</f>
        <v>2023</v>
      </c>
      <c r="N130" s="17"/>
      <c r="O130" s="8"/>
      <c r="X130" s="815"/>
    </row>
    <row r="131" spans="2:24" x14ac:dyDescent="0.25">
      <c r="B131" s="17"/>
      <c r="C131" s="17"/>
      <c r="D131" s="17"/>
      <c r="E131" s="1412" t="str">
        <f>Translations!$B$430</f>
        <v>Emissions attributable to heat output</v>
      </c>
      <c r="F131" s="1412"/>
      <c r="G131" s="1412"/>
      <c r="H131" s="43" t="str">
        <f>EUconst_tCO2pa</f>
        <v>t CO2 / year</v>
      </c>
      <c r="I131" s="818" t="str">
        <f>IF(AND(ISNUMBER(I114),ISNUMBER(I115),ISNUMBER(I106)),I114/I123/(I114/I123+I115/I124)*I106,"")</f>
        <v/>
      </c>
      <c r="J131" s="818" t="str">
        <f>IF(AND(ISNUMBER(J114),ISNUMBER(J115),ISNUMBER(J106)),J114/J123/(J114/J123+J115/J124)*J106,"")</f>
        <v/>
      </c>
      <c r="K131" s="818" t="str">
        <f>IF(AND(ISNUMBER(K114),ISNUMBER(K115),ISNUMBER(K106)),K114/K123/(K114/K123+K115/K124)*K106,"")</f>
        <v/>
      </c>
      <c r="L131" s="818" t="str">
        <f>IF(AND(ISNUMBER(L114),ISNUMBER(L115),ISNUMBER(L106)),L114/L123/(L114/L123+L115/L124)*L106,"")</f>
        <v/>
      </c>
      <c r="M131" s="818" t="str">
        <f>IF(AND(ISNUMBER(M114),ISNUMBER(M115),ISNUMBER(M106)),M114/M123/(M114/M123+M115/M124)*M106,"")</f>
        <v/>
      </c>
      <c r="N131" s="17"/>
      <c r="O131" s="8"/>
      <c r="X131" s="815"/>
    </row>
    <row r="132" spans="2:24" x14ac:dyDescent="0.25">
      <c r="B132" s="17"/>
      <c r="C132" s="17"/>
      <c r="D132" s="17"/>
      <c r="E132" s="1412" t="str">
        <f>Translations!$B$431</f>
        <v>Emission factor, heat</v>
      </c>
      <c r="F132" s="1412"/>
      <c r="G132" s="1412"/>
      <c r="H132" s="43" t="str">
        <f>EUconst_tCO2pTJ</f>
        <v>t CO2 / TJ</v>
      </c>
      <c r="I132" s="818" t="str">
        <f>IF(AND(ISNUMBER(I93),ISNUMBER(I131)),I131/I93,"")</f>
        <v/>
      </c>
      <c r="J132" s="818" t="str">
        <f>IF(AND(ISNUMBER(J93),ISNUMBER(J131)),J131/J93,"")</f>
        <v/>
      </c>
      <c r="K132" s="818" t="str">
        <f>IF(AND(ISNUMBER(K93),ISNUMBER(K131)),K131/K93,"")</f>
        <v/>
      </c>
      <c r="L132" s="818" t="str">
        <f>IF(AND(ISNUMBER(L93),ISNUMBER(L131)),L131/L93,"")</f>
        <v/>
      </c>
      <c r="M132" s="818" t="str">
        <f>IF(AND(ISNUMBER(M93),ISNUMBER(M131)),M131/M93,"")</f>
        <v/>
      </c>
      <c r="N132" s="17"/>
      <c r="O132" s="8"/>
      <c r="X132" s="815"/>
    </row>
    <row r="133" spans="2:24" ht="5.0999999999999996" customHeight="1" x14ac:dyDescent="0.25">
      <c r="B133" s="17"/>
      <c r="C133" s="17"/>
      <c r="D133" s="17"/>
      <c r="E133" s="17"/>
      <c r="F133" s="17"/>
      <c r="G133" s="17"/>
      <c r="H133" s="17"/>
      <c r="I133" s="17"/>
      <c r="J133" s="17"/>
      <c r="K133" s="17"/>
      <c r="L133" s="17"/>
      <c r="M133" s="17"/>
      <c r="N133" s="17"/>
      <c r="O133" s="8"/>
      <c r="X133" s="815"/>
    </row>
    <row r="134" spans="2:24" x14ac:dyDescent="0.25">
      <c r="B134" s="8"/>
      <c r="C134" s="8"/>
      <c r="D134" s="15" t="s">
        <v>225</v>
      </c>
      <c r="E134" s="1165" t="str">
        <f>Translations!$B$432</f>
        <v>Fuel input attributable to heat and electricity production</v>
      </c>
      <c r="F134" s="1176"/>
      <c r="G134" s="1176"/>
      <c r="H134" s="1176"/>
      <c r="I134" s="1176"/>
      <c r="J134" s="1176"/>
      <c r="K134" s="1176"/>
      <c r="L134" s="1176"/>
      <c r="M134" s="1176"/>
      <c r="N134" s="1176"/>
      <c r="O134" s="8"/>
      <c r="P134" s="9"/>
      <c r="X134" s="815"/>
    </row>
    <row r="135" spans="2:24" ht="12.75" customHeight="1" x14ac:dyDescent="0.25">
      <c r="B135" s="8"/>
      <c r="C135" s="8"/>
      <c r="D135" s="17"/>
      <c r="E135" s="1223" t="str">
        <f>Translations!$B$433</f>
        <v>This is the final result of this tool. The values displayed here should be entered in relevant sections in sheets E, F and G.</v>
      </c>
      <c r="F135" s="1176"/>
      <c r="G135" s="1176"/>
      <c r="H135" s="1176"/>
      <c r="I135" s="1176"/>
      <c r="J135" s="1176"/>
      <c r="K135" s="1176"/>
      <c r="L135" s="1176"/>
      <c r="M135" s="1176"/>
      <c r="N135" s="1176"/>
      <c r="O135" s="8"/>
      <c r="P135" s="9"/>
      <c r="X135" s="815"/>
    </row>
    <row r="136" spans="2:24" x14ac:dyDescent="0.25">
      <c r="B136" s="17"/>
      <c r="C136" s="17"/>
      <c r="D136" s="17"/>
      <c r="E136" s="1259"/>
      <c r="F136" s="1212"/>
      <c r="G136" s="1212"/>
      <c r="H136" s="24" t="str">
        <f>EUconst_Unit</f>
        <v>Unit</v>
      </c>
      <c r="I136" s="128">
        <f>I$309</f>
        <v>2019</v>
      </c>
      <c r="J136" s="128">
        <f>J$309</f>
        <v>2020</v>
      </c>
      <c r="K136" s="128">
        <f>K$309</f>
        <v>2021</v>
      </c>
      <c r="L136" s="128">
        <f>L$309</f>
        <v>2022</v>
      </c>
      <c r="M136" s="128">
        <f>M$309</f>
        <v>2023</v>
      </c>
      <c r="N136" s="17"/>
      <c r="O136" s="8"/>
      <c r="X136" s="815"/>
    </row>
    <row r="137" spans="2:24" x14ac:dyDescent="0.25">
      <c r="B137" s="17"/>
      <c r="C137" s="17"/>
      <c r="D137" s="17"/>
      <c r="E137" s="1412" t="str">
        <f>Translations!$B$434</f>
        <v>Fuel input for heat</v>
      </c>
      <c r="F137" s="1412"/>
      <c r="G137" s="1412"/>
      <c r="H137" s="43" t="str">
        <f>EUconst_TJpa</f>
        <v>TJ / year</v>
      </c>
      <c r="I137" s="818" t="str">
        <f>IF(AND(ISNUMBER(I114),ISNUMBER(I115),ISNUMBER(I88)),I114/I123/(I114/I123+I115/I124)*I88,"")</f>
        <v/>
      </c>
      <c r="J137" s="818" t="str">
        <f>IF(AND(ISNUMBER(J114),ISNUMBER(J115),ISNUMBER(J88)),J114/J123/(J114/J123+J115/J124)*J88,"")</f>
        <v/>
      </c>
      <c r="K137" s="818" t="str">
        <f>IF(AND(ISNUMBER(K114),ISNUMBER(K115),ISNUMBER(K88)),K114/K123/(K114/K123+K115/K124)*K88,"")</f>
        <v/>
      </c>
      <c r="L137" s="818" t="str">
        <f>IF(AND(ISNUMBER(L114),ISNUMBER(L115),ISNUMBER(L88)),L114/L123/(L114/L123+L115/L124)*L88,"")</f>
        <v/>
      </c>
      <c r="M137" s="818" t="str">
        <f>IF(AND(ISNUMBER(M114),ISNUMBER(M115),ISNUMBER(M88)),M114/M123/(M114/M123+M115/M124)*M88,"")</f>
        <v/>
      </c>
      <c r="N137" s="17"/>
      <c r="O137" s="8"/>
      <c r="X137" s="815"/>
    </row>
    <row r="138" spans="2:24" x14ac:dyDescent="0.25">
      <c r="B138" s="17"/>
      <c r="C138" s="17"/>
      <c r="D138" s="17"/>
      <c r="E138" s="1412" t="str">
        <f>Translations!$B$435</f>
        <v>Fuel input for electricity</v>
      </c>
      <c r="F138" s="1412"/>
      <c r="G138" s="1412"/>
      <c r="H138" s="43" t="str">
        <f>EUconst_TJpa</f>
        <v>TJ / year</v>
      </c>
      <c r="I138" s="818" t="str">
        <f>IF(ISNUMBER(I137),I88-I137,"")</f>
        <v/>
      </c>
      <c r="J138" s="818" t="str">
        <f>IF(ISNUMBER(J137),J88-J137,"")</f>
        <v/>
      </c>
      <c r="K138" s="818" t="str">
        <f>IF(ISNUMBER(K137),K88-K137,"")</f>
        <v/>
      </c>
      <c r="L138" s="818" t="str">
        <f>IF(ISNUMBER(L137),L88-L137,"")</f>
        <v/>
      </c>
      <c r="M138" s="818" t="str">
        <f>IF(ISNUMBER(M137),M88-M137,"")</f>
        <v/>
      </c>
      <c r="N138" s="17"/>
      <c r="O138" s="8"/>
      <c r="X138" s="815"/>
    </row>
    <row r="139" spans="2:24" x14ac:dyDescent="0.25">
      <c r="B139" s="17"/>
      <c r="C139" s="17"/>
      <c r="D139" s="17"/>
      <c r="E139" s="31"/>
      <c r="F139" s="17"/>
      <c r="G139" s="17"/>
      <c r="H139" s="17"/>
      <c r="I139" s="17"/>
      <c r="J139" s="17"/>
      <c r="K139" s="17"/>
      <c r="L139" s="17"/>
      <c r="M139" s="17"/>
      <c r="N139" s="17"/>
      <c r="O139" s="8"/>
      <c r="X139" s="815"/>
    </row>
    <row r="140" spans="2:24" ht="13.8" x14ac:dyDescent="0.25">
      <c r="B140" s="8"/>
      <c r="C140" s="19">
        <v>2</v>
      </c>
      <c r="D140" s="1234" t="str">
        <f>Translations!$B$399</f>
        <v>Tool for calculating the emissions attributable to heat production in combined heat and power units (CHP)</v>
      </c>
      <c r="E140" s="1176"/>
      <c r="F140" s="1176"/>
      <c r="G140" s="1176"/>
      <c r="H140" s="1176"/>
      <c r="I140" s="1176"/>
      <c r="J140" s="1176"/>
      <c r="K140" s="1176"/>
      <c r="L140" s="1176"/>
      <c r="M140" s="1176"/>
      <c r="N140" s="1176"/>
      <c r="O140" s="8"/>
      <c r="P140" s="9"/>
      <c r="X140" s="815"/>
    </row>
    <row r="141" spans="2:24" ht="5.0999999999999996" customHeight="1" x14ac:dyDescent="0.25">
      <c r="B141" s="8"/>
      <c r="C141" s="8"/>
      <c r="D141" s="8"/>
      <c r="E141" s="8"/>
      <c r="F141" s="8"/>
      <c r="G141" s="8"/>
      <c r="H141" s="8"/>
      <c r="I141" s="8"/>
      <c r="J141" s="8"/>
      <c r="K141" s="8"/>
      <c r="L141" s="8"/>
      <c r="M141" s="8"/>
      <c r="N141" s="8"/>
      <c r="O141" s="8"/>
      <c r="P141" s="9"/>
      <c r="X141" s="815"/>
    </row>
    <row r="142" spans="2:24" x14ac:dyDescent="0.25">
      <c r="B142" s="17"/>
      <c r="C142" s="17"/>
      <c r="D142" s="17"/>
      <c r="E142" s="1413" t="str">
        <f>HYPERLINK(Q142,CONCATENATE(EUconst_MsgSeeFirst," (D.III.1)"))</f>
        <v>Detailed instructions for data entries in this tool can be found at the first copy of this tool.  (D.III.1)</v>
      </c>
      <c r="F142" s="1413"/>
      <c r="G142" s="1413"/>
      <c r="H142" s="1413"/>
      <c r="I142" s="1413"/>
      <c r="J142" s="1413"/>
      <c r="K142" s="1413"/>
      <c r="L142" s="1413"/>
      <c r="M142" s="1413"/>
      <c r="N142" s="1413"/>
      <c r="O142" s="8"/>
      <c r="P142" s="145" t="s">
        <v>334</v>
      </c>
      <c r="Q142" s="372" t="str">
        <f>"#"&amp;ADDRESS(ROW(C83),COLUMN(C83))</f>
        <v>#$C$83</v>
      </c>
      <c r="X142" s="815"/>
    </row>
    <row r="143" spans="2:24" ht="5.0999999999999996" customHeight="1" x14ac:dyDescent="0.25">
      <c r="B143" s="8"/>
      <c r="C143" s="8"/>
      <c r="D143" s="8"/>
      <c r="E143" s="8"/>
      <c r="F143" s="8"/>
      <c r="G143" s="8"/>
      <c r="H143" s="8"/>
      <c r="I143" s="8"/>
      <c r="J143" s="8"/>
      <c r="K143" s="8"/>
      <c r="L143" s="8"/>
      <c r="M143" s="8"/>
      <c r="N143" s="8"/>
      <c r="O143" s="8"/>
      <c r="P143" s="9"/>
      <c r="X143" s="815"/>
    </row>
    <row r="144" spans="2:24" x14ac:dyDescent="0.25">
      <c r="B144" s="8"/>
      <c r="C144" s="8"/>
      <c r="D144" s="15" t="s">
        <v>190</v>
      </c>
      <c r="E144" s="1165" t="str">
        <f>Translations!$B$400</f>
        <v>Total amount of fuel input into CHP units</v>
      </c>
      <c r="F144" s="1176"/>
      <c r="G144" s="1176"/>
      <c r="H144" s="1176"/>
      <c r="I144" s="1176"/>
      <c r="J144" s="1176"/>
      <c r="K144" s="1176"/>
      <c r="L144" s="1176"/>
      <c r="M144" s="1176"/>
      <c r="N144" s="1176"/>
      <c r="O144" s="8"/>
      <c r="P144" s="9"/>
      <c r="X144" s="815"/>
    </row>
    <row r="145" spans="2:24" x14ac:dyDescent="0.25">
      <c r="B145" s="17"/>
      <c r="C145" s="17"/>
      <c r="D145" s="17"/>
      <c r="E145" s="1259"/>
      <c r="F145" s="1212"/>
      <c r="G145" s="1212"/>
      <c r="H145" s="24" t="str">
        <f>EUconst_Unit</f>
        <v>Unit</v>
      </c>
      <c r="I145" s="128">
        <f>I$309</f>
        <v>2019</v>
      </c>
      <c r="J145" s="128">
        <f>J$309</f>
        <v>2020</v>
      </c>
      <c r="K145" s="128">
        <f>K$309</f>
        <v>2021</v>
      </c>
      <c r="L145" s="128">
        <f>L$309</f>
        <v>2022</v>
      </c>
      <c r="M145" s="128">
        <f>M$309</f>
        <v>2023</v>
      </c>
      <c r="N145" s="17"/>
      <c r="O145" s="8"/>
      <c r="X145" s="815"/>
    </row>
    <row r="146" spans="2:24" x14ac:dyDescent="0.25">
      <c r="B146" s="17"/>
      <c r="C146" s="17"/>
      <c r="D146" s="17"/>
      <c r="E146" s="1412" t="str">
        <f>Translations!$B$402</f>
        <v>Fuel input into CHP</v>
      </c>
      <c r="F146" s="1412"/>
      <c r="G146" s="1412"/>
      <c r="H146" s="43" t="str">
        <f>EUconst_TJpa</f>
        <v>TJ / year</v>
      </c>
      <c r="I146" s="293"/>
      <c r="J146" s="293"/>
      <c r="K146" s="293"/>
      <c r="L146" s="293"/>
      <c r="M146" s="293"/>
      <c r="N146" s="17"/>
      <c r="O146" s="8"/>
      <c r="P146" s="9"/>
      <c r="X146" s="285" t="b">
        <f>X124</f>
        <v>0</v>
      </c>
    </row>
    <row r="147" spans="2:24" ht="5.0999999999999996" customHeight="1" x14ac:dyDescent="0.25">
      <c r="B147" s="17"/>
      <c r="C147" s="17"/>
      <c r="D147" s="17"/>
      <c r="E147" s="17"/>
      <c r="F147" s="17"/>
      <c r="G147" s="17"/>
      <c r="H147" s="17"/>
      <c r="I147" s="17"/>
      <c r="J147" s="17"/>
      <c r="K147" s="17"/>
      <c r="L147" s="17"/>
      <c r="M147" s="17"/>
      <c r="N147" s="17"/>
      <c r="O147" s="8"/>
      <c r="X147" s="815"/>
    </row>
    <row r="148" spans="2:24" x14ac:dyDescent="0.25">
      <c r="B148" s="8"/>
      <c r="C148" s="8"/>
      <c r="D148" s="15" t="s">
        <v>192</v>
      </c>
      <c r="E148" s="1165" t="str">
        <f>Translations!$B$403</f>
        <v>Heat output from CHP</v>
      </c>
      <c r="F148" s="1176"/>
      <c r="G148" s="1176"/>
      <c r="H148" s="1176"/>
      <c r="I148" s="1176"/>
      <c r="J148" s="1176"/>
      <c r="K148" s="1176"/>
      <c r="L148" s="1176"/>
      <c r="M148" s="1176"/>
      <c r="N148" s="1176"/>
      <c r="O148" s="8"/>
      <c r="P148" s="9"/>
      <c r="X148" s="815"/>
    </row>
    <row r="149" spans="2:24" x14ac:dyDescent="0.25">
      <c r="B149" s="8"/>
      <c r="C149" s="8"/>
      <c r="D149" s="17"/>
      <c r="E149" s="1259"/>
      <c r="F149" s="1212"/>
      <c r="G149" s="1212"/>
      <c r="H149" s="24" t="str">
        <f>EUconst_Unit</f>
        <v>Unit</v>
      </c>
      <c r="I149" s="128">
        <f>I$309</f>
        <v>2019</v>
      </c>
      <c r="J149" s="128">
        <f>J$309</f>
        <v>2020</v>
      </c>
      <c r="K149" s="128">
        <f>K$309</f>
        <v>2021</v>
      </c>
      <c r="L149" s="128">
        <f>L$309</f>
        <v>2022</v>
      </c>
      <c r="M149" s="128">
        <f>M$309</f>
        <v>2023</v>
      </c>
      <c r="N149" s="625"/>
      <c r="O149" s="8"/>
      <c r="P149" s="9"/>
      <c r="X149" s="815"/>
    </row>
    <row r="150" spans="2:24" x14ac:dyDescent="0.25">
      <c r="B150" s="17"/>
      <c r="C150" s="17"/>
      <c r="D150" s="17"/>
      <c r="E150" s="1412" t="str">
        <f>Translations!$B$403</f>
        <v>Heat output from CHP</v>
      </c>
      <c r="F150" s="1412"/>
      <c r="G150" s="1412"/>
      <c r="H150" s="43" t="str">
        <f>EUconst_TJpa</f>
        <v>TJ / year</v>
      </c>
      <c r="I150" s="293"/>
      <c r="J150" s="293"/>
      <c r="K150" s="293"/>
      <c r="L150" s="293"/>
      <c r="M150" s="293"/>
      <c r="N150" s="17"/>
      <c r="O150" s="8"/>
      <c r="X150" s="285" t="b">
        <f>X146</f>
        <v>0</v>
      </c>
    </row>
    <row r="151" spans="2:24" ht="5.0999999999999996" customHeight="1" x14ac:dyDescent="0.25">
      <c r="B151" s="17"/>
      <c r="C151" s="17"/>
      <c r="D151" s="17"/>
      <c r="E151" s="17"/>
      <c r="F151" s="17"/>
      <c r="G151" s="17"/>
      <c r="H151" s="17"/>
      <c r="I151" s="17"/>
      <c r="J151" s="17"/>
      <c r="K151" s="17"/>
      <c r="L151" s="17"/>
      <c r="M151" s="17"/>
      <c r="N151" s="17"/>
      <c r="O151" s="8"/>
      <c r="X151" s="815"/>
    </row>
    <row r="152" spans="2:24" x14ac:dyDescent="0.25">
      <c r="B152" s="8"/>
      <c r="C152" s="8"/>
      <c r="D152" s="15" t="s">
        <v>195</v>
      </c>
      <c r="E152" s="1165" t="str">
        <f>Translations!$B$405</f>
        <v>Electricity output CHP</v>
      </c>
      <c r="F152" s="1176"/>
      <c r="G152" s="1176"/>
      <c r="H152" s="1176"/>
      <c r="I152" s="1176"/>
      <c r="J152" s="1176"/>
      <c r="K152" s="1176"/>
      <c r="L152" s="1176"/>
      <c r="M152" s="1176"/>
      <c r="N152" s="1176"/>
      <c r="O152" s="8"/>
      <c r="P152" s="9"/>
      <c r="X152" s="815"/>
    </row>
    <row r="153" spans="2:24" x14ac:dyDescent="0.25">
      <c r="B153" s="8"/>
      <c r="C153" s="8"/>
      <c r="D153" s="17"/>
      <c r="E153" s="1259"/>
      <c r="F153" s="1212"/>
      <c r="G153" s="1212"/>
      <c r="H153" s="24" t="str">
        <f>EUconst_Unit</f>
        <v>Unit</v>
      </c>
      <c r="I153" s="128">
        <f>I$309</f>
        <v>2019</v>
      </c>
      <c r="J153" s="128">
        <f>J$309</f>
        <v>2020</v>
      </c>
      <c r="K153" s="128">
        <f>K$309</f>
        <v>2021</v>
      </c>
      <c r="L153" s="128">
        <f>L$309</f>
        <v>2022</v>
      </c>
      <c r="M153" s="128">
        <f>M$309</f>
        <v>2023</v>
      </c>
      <c r="N153" s="625"/>
      <c r="O153" s="8"/>
      <c r="P153" s="9"/>
      <c r="X153" s="815"/>
    </row>
    <row r="154" spans="2:24" x14ac:dyDescent="0.25">
      <c r="B154" s="8"/>
      <c r="C154" s="8"/>
      <c r="D154" s="17"/>
      <c r="E154" s="1412" t="str">
        <f>Translations!$B$407</f>
        <v>Electricity output from CHP</v>
      </c>
      <c r="F154" s="1412"/>
      <c r="G154" s="1412"/>
      <c r="H154" s="43" t="str">
        <f>EUconst_MWhpa</f>
        <v>MWh / year</v>
      </c>
      <c r="I154" s="293"/>
      <c r="J154" s="293"/>
      <c r="K154" s="293"/>
      <c r="L154" s="293"/>
      <c r="M154" s="293"/>
      <c r="N154" s="17"/>
      <c r="O154" s="8"/>
      <c r="P154" s="9"/>
      <c r="X154" s="285" t="b">
        <f>X150</f>
        <v>0</v>
      </c>
    </row>
    <row r="155" spans="2:24" x14ac:dyDescent="0.25">
      <c r="B155" s="17"/>
      <c r="C155" s="17"/>
      <c r="D155" s="17"/>
      <c r="E155" s="1412" t="str">
        <f>Translations!$B$405</f>
        <v>Electricity output CHP</v>
      </c>
      <c r="F155" s="1412"/>
      <c r="G155" s="1412"/>
      <c r="H155" s="43" t="str">
        <f>EUconst_TJpa</f>
        <v>TJ / year</v>
      </c>
      <c r="I155" s="163" t="str">
        <f>IF(ISBLANK(I154),"",I154*3.6/1000)</f>
        <v/>
      </c>
      <c r="J155" s="163" t="str">
        <f>IF(ISBLANK(J154),"",J154*3.6/1000)</f>
        <v/>
      </c>
      <c r="K155" s="163" t="str">
        <f>IF(ISBLANK(K154),"",K154*3.6/1000)</f>
        <v/>
      </c>
      <c r="L155" s="163" t="str">
        <f>IF(ISBLANK(L154),"",L154*3.6/1000)</f>
        <v/>
      </c>
      <c r="M155" s="163" t="str">
        <f>IF(ISBLANK(M154),"",M154*3.6/1000)</f>
        <v/>
      </c>
      <c r="N155" s="17"/>
      <c r="O155" s="8"/>
      <c r="X155" s="285" t="b">
        <f>X150</f>
        <v>0</v>
      </c>
    </row>
    <row r="156" spans="2:24" ht="5.0999999999999996" customHeight="1" x14ac:dyDescent="0.25">
      <c r="B156" s="17"/>
      <c r="C156" s="17"/>
      <c r="D156" s="17"/>
      <c r="E156" s="17"/>
      <c r="F156" s="17"/>
      <c r="G156" s="17"/>
      <c r="H156" s="17"/>
      <c r="I156" s="17"/>
      <c r="J156" s="17"/>
      <c r="K156" s="17"/>
      <c r="L156" s="17"/>
      <c r="M156" s="17"/>
      <c r="N156" s="17"/>
      <c r="O156" s="8"/>
      <c r="X156" s="815"/>
    </row>
    <row r="157" spans="2:24" x14ac:dyDescent="0.25">
      <c r="B157" s="8"/>
      <c r="C157" s="8"/>
      <c r="D157" s="15" t="s">
        <v>197</v>
      </c>
      <c r="E157" s="1165" t="str">
        <f>Translations!$B$408</f>
        <v>Total emissions from CHP</v>
      </c>
      <c r="F157" s="1176"/>
      <c r="G157" s="1176"/>
      <c r="H157" s="1176"/>
      <c r="I157" s="1176"/>
      <c r="J157" s="1176"/>
      <c r="K157" s="1176"/>
      <c r="L157" s="1176"/>
      <c r="M157" s="1176"/>
      <c r="N157" s="1176"/>
      <c r="O157" s="8"/>
      <c r="P157" s="9"/>
      <c r="X157" s="815"/>
    </row>
    <row r="158" spans="2:24" x14ac:dyDescent="0.25">
      <c r="B158" s="8"/>
      <c r="C158" s="8"/>
      <c r="D158" s="17"/>
      <c r="E158" s="1259"/>
      <c r="F158" s="1212"/>
      <c r="G158" s="1212"/>
      <c r="H158" s="24" t="str">
        <f>EUconst_Unit</f>
        <v>Unit</v>
      </c>
      <c r="I158" s="128">
        <f>I$309</f>
        <v>2019</v>
      </c>
      <c r="J158" s="128">
        <f>J$309</f>
        <v>2020</v>
      </c>
      <c r="K158" s="128">
        <f>K$309</f>
        <v>2021</v>
      </c>
      <c r="L158" s="128">
        <f>L$309</f>
        <v>2022</v>
      </c>
      <c r="M158" s="128">
        <f>M$309</f>
        <v>2023</v>
      </c>
      <c r="N158" s="625"/>
      <c r="O158" s="8"/>
      <c r="P158" s="9"/>
      <c r="X158" s="815"/>
    </row>
    <row r="159" spans="2:24" x14ac:dyDescent="0.25">
      <c r="B159" s="17"/>
      <c r="C159" s="17"/>
      <c r="D159" s="113" t="s">
        <v>206</v>
      </c>
      <c r="E159" s="1412" t="str">
        <f>Translations!$B$410</f>
        <v>From fuel input to CHP</v>
      </c>
      <c r="F159" s="1412"/>
      <c r="G159" s="1412"/>
      <c r="H159" s="43" t="str">
        <f>EUconst_tCO2pa</f>
        <v>t CO2 / year</v>
      </c>
      <c r="I159" s="293"/>
      <c r="J159" s="293"/>
      <c r="K159" s="293"/>
      <c r="L159" s="293"/>
      <c r="M159" s="293"/>
      <c r="N159" s="17"/>
      <c r="O159" s="8"/>
      <c r="X159" s="285" t="b">
        <f>X155</f>
        <v>0</v>
      </c>
    </row>
    <row r="160" spans="2:24" x14ac:dyDescent="0.25">
      <c r="B160" s="17"/>
      <c r="C160" s="17"/>
      <c r="D160" s="113" t="s">
        <v>208</v>
      </c>
      <c r="E160" s="1412" t="str">
        <f>Translations!$B$411</f>
        <v>From flue gas cleaning</v>
      </c>
      <c r="F160" s="1412"/>
      <c r="G160" s="1412"/>
      <c r="H160" s="43" t="str">
        <f>EUconst_tCO2pa</f>
        <v>t CO2 / year</v>
      </c>
      <c r="I160" s="293"/>
      <c r="J160" s="293"/>
      <c r="K160" s="293"/>
      <c r="L160" s="293"/>
      <c r="M160" s="293"/>
      <c r="N160" s="17"/>
      <c r="O160" s="8"/>
      <c r="X160" s="285" t="b">
        <f>X159</f>
        <v>0</v>
      </c>
    </row>
    <row r="161" spans="2:24" x14ac:dyDescent="0.25">
      <c r="B161" s="17"/>
      <c r="C161" s="17"/>
      <c r="D161" s="113" t="s">
        <v>209</v>
      </c>
      <c r="E161" s="1412" t="str">
        <f>Translations!$B$412</f>
        <v>Total emissions</v>
      </c>
      <c r="F161" s="1412"/>
      <c r="G161" s="1412"/>
      <c r="H161" s="43" t="str">
        <f>EUconst_tCO2pa</f>
        <v>t CO2 / year</v>
      </c>
      <c r="I161" s="163" t="str">
        <f>IF(COUNT(I159:I160)&gt;0,SUM(I159:I160),"")</f>
        <v/>
      </c>
      <c r="J161" s="163" t="str">
        <f>IF(COUNT(J159:J160)&gt;0,SUM(J159:J160),"")</f>
        <v/>
      </c>
      <c r="K161" s="163" t="str">
        <f>IF(COUNT(K159:K160)&gt;0,SUM(K159:K160),"")</f>
        <v/>
      </c>
      <c r="L161" s="163" t="str">
        <f>IF(COUNT(L159:L160)&gt;0,SUM(L159:L160),"")</f>
        <v/>
      </c>
      <c r="M161" s="163" t="str">
        <f>IF(COUNT(M159:M160)&gt;0,SUM(M159:M160),"")</f>
        <v/>
      </c>
      <c r="N161" s="17"/>
      <c r="O161" s="8"/>
      <c r="X161" s="815"/>
    </row>
    <row r="162" spans="2:24" ht="5.0999999999999996" customHeight="1" x14ac:dyDescent="0.25">
      <c r="B162" s="17"/>
      <c r="C162" s="17"/>
      <c r="D162" s="17"/>
      <c r="E162" s="17"/>
      <c r="F162" s="17"/>
      <c r="G162" s="17"/>
      <c r="H162" s="17"/>
      <c r="I162" s="17"/>
      <c r="J162" s="17"/>
      <c r="K162" s="17"/>
      <c r="L162" s="17"/>
      <c r="M162" s="17"/>
      <c r="N162" s="17"/>
      <c r="O162" s="8"/>
      <c r="X162" s="815"/>
    </row>
    <row r="163" spans="2:24" ht="12.75" customHeight="1" x14ac:dyDescent="0.25">
      <c r="B163" s="17"/>
      <c r="C163" s="17"/>
      <c r="D163" s="15" t="s">
        <v>202</v>
      </c>
      <c r="E163" s="1208" t="str">
        <f>Translations!$B$413</f>
        <v>Default efficiencies:</v>
      </c>
      <c r="F163" s="1208"/>
      <c r="G163" s="1208"/>
      <c r="H163" s="1208"/>
      <c r="I163" s="279" t="str">
        <f>Translations!$B$414</f>
        <v>Heat:</v>
      </c>
      <c r="J163" s="816">
        <v>0.55000000000000004</v>
      </c>
      <c r="K163" s="17"/>
      <c r="L163" s="279" t="str">
        <f>Translations!$B$415</f>
        <v>Electricity:</v>
      </c>
      <c r="M163" s="816">
        <v>0.25</v>
      </c>
      <c r="N163" s="276"/>
      <c r="O163" s="8"/>
      <c r="X163" s="815"/>
    </row>
    <row r="164" spans="2:24" ht="5.0999999999999996" customHeight="1" x14ac:dyDescent="0.25">
      <c r="B164" s="17"/>
      <c r="C164" s="17"/>
      <c r="D164" s="17"/>
      <c r="E164" s="17"/>
      <c r="F164" s="17"/>
      <c r="G164" s="17"/>
      <c r="H164" s="17"/>
      <c r="I164" s="17"/>
      <c r="J164" s="17"/>
      <c r="K164" s="17"/>
      <c r="L164" s="17"/>
      <c r="M164" s="17"/>
      <c r="N164" s="17"/>
      <c r="O164" s="8"/>
      <c r="X164" s="815"/>
    </row>
    <row r="165" spans="2:24" x14ac:dyDescent="0.25">
      <c r="B165" s="8"/>
      <c r="C165" s="8"/>
      <c r="D165" s="15" t="s">
        <v>199</v>
      </c>
      <c r="E165" s="1165" t="str">
        <f>Translations!$B$416</f>
        <v>Efficiencies for heat and electricity</v>
      </c>
      <c r="F165" s="1176"/>
      <c r="G165" s="1176"/>
      <c r="H165" s="1176"/>
      <c r="I165" s="1176"/>
      <c r="J165" s="1176"/>
      <c r="K165" s="1176"/>
      <c r="L165" s="1176"/>
      <c r="M165" s="1176"/>
      <c r="N165" s="1176"/>
      <c r="O165" s="8"/>
      <c r="P165" s="9"/>
      <c r="X165" s="815"/>
    </row>
    <row r="166" spans="2:24" x14ac:dyDescent="0.25">
      <c r="B166" s="17"/>
      <c r="C166" s="17"/>
      <c r="D166" s="17"/>
      <c r="E166" s="1259"/>
      <c r="F166" s="1212"/>
      <c r="G166" s="1212"/>
      <c r="H166" s="24" t="str">
        <f>EUconst_Unit</f>
        <v>Unit</v>
      </c>
      <c r="I166" s="128">
        <f>I$309</f>
        <v>2019</v>
      </c>
      <c r="J166" s="128">
        <f>J$309</f>
        <v>2020</v>
      </c>
      <c r="K166" s="128">
        <f>K$309</f>
        <v>2021</v>
      </c>
      <c r="L166" s="128">
        <f>L$309</f>
        <v>2022</v>
      </c>
      <c r="M166" s="128">
        <f>M$309</f>
        <v>2023</v>
      </c>
      <c r="N166" s="17"/>
      <c r="O166" s="8"/>
      <c r="X166" s="815"/>
    </row>
    <row r="167" spans="2:24" ht="12.75" customHeight="1" x14ac:dyDescent="0.25">
      <c r="B167" s="17"/>
      <c r="C167" s="17"/>
      <c r="D167" s="113" t="s">
        <v>206</v>
      </c>
      <c r="E167" s="1412" t="str">
        <f>Translations!$B$419</f>
        <v>Heat production</v>
      </c>
      <c r="F167" s="1412"/>
      <c r="G167" s="1412"/>
      <c r="H167" s="151" t="s">
        <v>214</v>
      </c>
      <c r="I167" s="422" t="str">
        <f>IF(AND(ISNUMBER(I146),ISNUMBER(I150)),I150/I146,IF(ISNUMBER(I161),$J163,""))</f>
        <v/>
      </c>
      <c r="J167" s="422" t="str">
        <f>IF(AND(ISNUMBER(J146),ISNUMBER(J150)),J150/J146,IF(ISNUMBER(J161),$J163,""))</f>
        <v/>
      </c>
      <c r="K167" s="422" t="str">
        <f>IF(AND(ISNUMBER(K146),ISNUMBER(K150)),K150/K146,IF(ISNUMBER(K161),$J163,""))</f>
        <v/>
      </c>
      <c r="L167" s="422" t="str">
        <f>IF(AND(ISNUMBER(L146),ISNUMBER(L150)),L150/L146,IF(ISNUMBER(L161),$J163,""))</f>
        <v/>
      </c>
      <c r="M167" s="422" t="str">
        <f>IF(AND(ISNUMBER(M146),ISNUMBER(M150)),M150/M146,IF(ISNUMBER(M161),$J163,""))</f>
        <v/>
      </c>
      <c r="N167" s="17"/>
      <c r="O167" s="8"/>
      <c r="X167" s="815"/>
    </row>
    <row r="168" spans="2:24" ht="12.75" customHeight="1" x14ac:dyDescent="0.25">
      <c r="B168" s="17"/>
      <c r="C168" s="17"/>
      <c r="D168" s="113" t="s">
        <v>208</v>
      </c>
      <c r="E168" s="1412" t="str">
        <f>Translations!$B$420</f>
        <v>Electricity production</v>
      </c>
      <c r="F168" s="1412"/>
      <c r="G168" s="1412"/>
      <c r="H168" s="151" t="s">
        <v>214</v>
      </c>
      <c r="I168" s="422" t="str">
        <f>IF(AND(ISNUMBER(I146),ISNUMBER(I155)),I155/I146,IF(ISNUMBER(I161),$M163,""))</f>
        <v/>
      </c>
      <c r="J168" s="422" t="str">
        <f>IF(AND(ISNUMBER(J146),ISNUMBER(J155)),J155/J146,IF(ISNUMBER(J161),$M163,""))</f>
        <v/>
      </c>
      <c r="K168" s="422" t="str">
        <f>IF(AND(ISNUMBER(K146),ISNUMBER(K155)),K155/K146,IF(ISNUMBER(K161),$M163,""))</f>
        <v/>
      </c>
      <c r="L168" s="422" t="str">
        <f>IF(AND(ISNUMBER(L146),ISNUMBER(L155)),L155/L146,IF(ISNUMBER(L161),$M163,""))</f>
        <v/>
      </c>
      <c r="M168" s="422" t="str">
        <f>IF(AND(ISNUMBER(M146),ISNUMBER(M155)),M155/M146,IF(ISNUMBER(M161),$M163,""))</f>
        <v/>
      </c>
      <c r="N168" s="17"/>
      <c r="O168" s="8"/>
      <c r="X168" s="815"/>
    </row>
    <row r="169" spans="2:24" ht="5.0999999999999996" customHeight="1" x14ac:dyDescent="0.25">
      <c r="B169" s="17"/>
      <c r="C169" s="17"/>
      <c r="D169" s="17"/>
      <c r="E169" s="17"/>
      <c r="F169" s="17"/>
      <c r="G169" s="17"/>
      <c r="H169" s="17"/>
      <c r="I169" s="17"/>
      <c r="J169" s="17"/>
      <c r="K169" s="17"/>
      <c r="L169" s="17"/>
      <c r="M169" s="17"/>
      <c r="N169" s="17"/>
      <c r="O169" s="8"/>
      <c r="X169" s="815"/>
    </row>
    <row r="170" spans="2:24" x14ac:dyDescent="0.25">
      <c r="B170" s="8"/>
      <c r="C170" s="8"/>
      <c r="D170" s="15" t="s">
        <v>212</v>
      </c>
      <c r="E170" s="1165" t="str">
        <f>Translations!$B$421</f>
        <v>Reference efficiencies</v>
      </c>
      <c r="F170" s="1176"/>
      <c r="G170" s="1176"/>
      <c r="H170" s="1176"/>
      <c r="I170" s="1176"/>
      <c r="J170" s="1176"/>
      <c r="K170" s="1176"/>
      <c r="L170" s="1176"/>
      <c r="M170" s="1176"/>
      <c r="N170" s="1176"/>
      <c r="O170" s="8"/>
      <c r="P170" s="9"/>
      <c r="X170" s="815"/>
    </row>
    <row r="171" spans="2:24" x14ac:dyDescent="0.25">
      <c r="B171" s="17"/>
      <c r="C171" s="17"/>
      <c r="D171" s="17"/>
      <c r="E171" s="1259"/>
      <c r="F171" s="1212"/>
      <c r="G171" s="1212"/>
      <c r="H171" s="24" t="str">
        <f>EUconst_Unit</f>
        <v>Unit</v>
      </c>
      <c r="I171" s="128">
        <f>I$309</f>
        <v>2019</v>
      </c>
      <c r="J171" s="128">
        <f>J$309</f>
        <v>2020</v>
      </c>
      <c r="K171" s="128">
        <f>K$309</f>
        <v>2021</v>
      </c>
      <c r="L171" s="128">
        <f>L$309</f>
        <v>2022</v>
      </c>
      <c r="M171" s="128">
        <f>M$309</f>
        <v>2023</v>
      </c>
      <c r="N171" s="17"/>
      <c r="O171" s="8"/>
      <c r="X171" s="815"/>
    </row>
    <row r="172" spans="2:24" ht="12.75" customHeight="1" x14ac:dyDescent="0.25">
      <c r="B172" s="17"/>
      <c r="C172" s="17"/>
      <c r="D172" s="113" t="s">
        <v>206</v>
      </c>
      <c r="E172" s="1412" t="str">
        <f>Translations!$B$419</f>
        <v>Heat production</v>
      </c>
      <c r="F172" s="1412"/>
      <c r="G172" s="1412"/>
      <c r="H172" s="151" t="s">
        <v>214</v>
      </c>
      <c r="I172" s="817"/>
      <c r="J172" s="817"/>
      <c r="K172" s="817"/>
      <c r="L172" s="817"/>
      <c r="M172" s="817"/>
      <c r="N172" s="17"/>
      <c r="O172" s="8"/>
      <c r="X172" s="285" t="b">
        <f>X160</f>
        <v>0</v>
      </c>
    </row>
    <row r="173" spans="2:24" ht="12.75" customHeight="1" thickBot="1" x14ac:dyDescent="0.3">
      <c r="B173" s="17"/>
      <c r="C173" s="17"/>
      <c r="D173" s="113" t="s">
        <v>208</v>
      </c>
      <c r="E173" s="1412" t="str">
        <f>Translations!$B$420</f>
        <v>Electricity production</v>
      </c>
      <c r="F173" s="1412"/>
      <c r="G173" s="1412"/>
      <c r="H173" s="151" t="s">
        <v>214</v>
      </c>
      <c r="I173" s="817"/>
      <c r="J173" s="817"/>
      <c r="K173" s="817"/>
      <c r="L173" s="817"/>
      <c r="M173" s="817"/>
      <c r="N173" s="17"/>
      <c r="O173" s="8"/>
      <c r="X173" s="286" t="b">
        <f>X172</f>
        <v>0</v>
      </c>
    </row>
    <row r="174" spans="2:24" ht="5.0999999999999996" customHeight="1" x14ac:dyDescent="0.25">
      <c r="B174" s="17"/>
      <c r="C174" s="17"/>
      <c r="D174" s="17"/>
      <c r="E174" s="17"/>
      <c r="F174" s="17"/>
      <c r="G174" s="17"/>
      <c r="H174" s="17"/>
      <c r="I174" s="17"/>
      <c r="J174" s="17"/>
      <c r="K174" s="17"/>
      <c r="L174" s="17"/>
      <c r="M174" s="17"/>
      <c r="N174" s="17"/>
      <c r="O174" s="8"/>
    </row>
    <row r="175" spans="2:24" x14ac:dyDescent="0.25">
      <c r="B175" s="8"/>
      <c r="C175" s="8"/>
      <c r="D175" s="15" t="s">
        <v>218</v>
      </c>
      <c r="E175" s="1165" t="str">
        <f>Translations!$B$426</f>
        <v>Emissions attributable to heat production from CHP</v>
      </c>
      <c r="F175" s="1176"/>
      <c r="G175" s="1176"/>
      <c r="H175" s="1176"/>
      <c r="I175" s="1176"/>
      <c r="J175" s="1176"/>
      <c r="K175" s="1176"/>
      <c r="L175" s="1176"/>
      <c r="M175" s="1176"/>
      <c r="N175" s="1176"/>
      <c r="O175" s="8"/>
      <c r="P175" s="9"/>
    </row>
    <row r="176" spans="2:24" x14ac:dyDescent="0.25">
      <c r="B176" s="17"/>
      <c r="C176" s="17"/>
      <c r="D176" s="17"/>
      <c r="E176" s="1259"/>
      <c r="F176" s="1212"/>
      <c r="G176" s="1212"/>
      <c r="H176" s="24" t="str">
        <f>EUconst_Unit</f>
        <v>Unit</v>
      </c>
      <c r="I176" s="128">
        <f>I$309</f>
        <v>2019</v>
      </c>
      <c r="J176" s="128">
        <f>J$309</f>
        <v>2020</v>
      </c>
      <c r="K176" s="128">
        <f>K$309</f>
        <v>2021</v>
      </c>
      <c r="L176" s="128">
        <f>L$309</f>
        <v>2022</v>
      </c>
      <c r="M176" s="128">
        <f>M$309</f>
        <v>2023</v>
      </c>
      <c r="N176" s="17"/>
      <c r="O176" s="8"/>
    </row>
    <row r="177" spans="2:24" x14ac:dyDescent="0.25">
      <c r="B177" s="17"/>
      <c r="C177" s="17"/>
      <c r="D177" s="113" t="s">
        <v>206</v>
      </c>
      <c r="E177" s="1412" t="str">
        <f>Translations!$B$430</f>
        <v>Emissions attributable to heat output</v>
      </c>
      <c r="F177" s="1412"/>
      <c r="G177" s="1412"/>
      <c r="H177" s="43" t="str">
        <f>EUconst_tCO2pa</f>
        <v>t CO2 / year</v>
      </c>
      <c r="I177" s="818" t="str">
        <f>IF(AND(ISNUMBER(I167),ISNUMBER(I168),ISNUMBER(I161)),I167/I172/(I167/I172+I168/I173)*I161,"")</f>
        <v/>
      </c>
      <c r="J177" s="818" t="str">
        <f>IF(AND(ISNUMBER(J167),ISNUMBER(J168),ISNUMBER(J161)),J167/J172/(J167/J172+J168/J173)*J161,"")</f>
        <v/>
      </c>
      <c r="K177" s="818" t="str">
        <f>IF(AND(ISNUMBER(K167),ISNUMBER(K168),ISNUMBER(K161)),K167/K172/(K167/K172+K168/K173)*K161,"")</f>
        <v/>
      </c>
      <c r="L177" s="818" t="str">
        <f>IF(AND(ISNUMBER(L167),ISNUMBER(L168),ISNUMBER(L161)),L167/L172/(L167/L172+L168/L173)*L161,"")</f>
        <v/>
      </c>
      <c r="M177" s="818" t="str">
        <f>IF(AND(ISNUMBER(M167),ISNUMBER(M168),ISNUMBER(M161)),M167/M172/(M167/M172+M168/M173)*M161,"")</f>
        <v/>
      </c>
      <c r="N177" s="17"/>
      <c r="O177" s="8"/>
    </row>
    <row r="178" spans="2:24" x14ac:dyDescent="0.25">
      <c r="B178" s="17"/>
      <c r="C178" s="17"/>
      <c r="D178" s="113" t="s">
        <v>208</v>
      </c>
      <c r="E178" s="1412" t="str">
        <f>Translations!$B$431</f>
        <v>Emission factor, heat</v>
      </c>
      <c r="F178" s="1412"/>
      <c r="G178" s="1412"/>
      <c r="H178" s="43" t="str">
        <f>EUconst_tCO2pTJ</f>
        <v>t CO2 / TJ</v>
      </c>
      <c r="I178" s="818" t="str">
        <f>IF(AND(ISNUMBER(I150),ISNUMBER(I177)),I177/I150,"")</f>
        <v/>
      </c>
      <c r="J178" s="818" t="str">
        <f>IF(AND(ISNUMBER(J150),ISNUMBER(J177)),J177/J150,"")</f>
        <v/>
      </c>
      <c r="K178" s="818" t="str">
        <f>IF(AND(ISNUMBER(K150),ISNUMBER(K177)),K177/K150,"")</f>
        <v/>
      </c>
      <c r="L178" s="818" t="str">
        <f>IF(AND(ISNUMBER(L150),ISNUMBER(L177)),L177/L150,"")</f>
        <v/>
      </c>
      <c r="M178" s="818" t="str">
        <f>IF(AND(ISNUMBER(M150),ISNUMBER(M177)),M177/M150,"")</f>
        <v/>
      </c>
      <c r="N178" s="17"/>
      <c r="O178" s="8"/>
    </row>
    <row r="179" spans="2:24" ht="5.0999999999999996" customHeight="1" x14ac:dyDescent="0.25">
      <c r="B179" s="17"/>
      <c r="C179" s="17"/>
      <c r="D179" s="17"/>
      <c r="E179" s="17"/>
      <c r="F179" s="17"/>
      <c r="G179" s="17"/>
      <c r="H179" s="17"/>
      <c r="I179" s="17"/>
      <c r="J179" s="17"/>
      <c r="K179" s="17"/>
      <c r="L179" s="17"/>
      <c r="M179" s="17"/>
      <c r="N179" s="17"/>
      <c r="O179" s="8"/>
      <c r="X179" s="815"/>
    </row>
    <row r="180" spans="2:24" x14ac:dyDescent="0.25">
      <c r="B180" s="8"/>
      <c r="C180" s="8"/>
      <c r="D180" s="15" t="s">
        <v>225</v>
      </c>
      <c r="E180" s="1165" t="str">
        <f>Translations!$B$432</f>
        <v>Fuel input attributable to heat and electricity production</v>
      </c>
      <c r="F180" s="1176"/>
      <c r="G180" s="1176"/>
      <c r="H180" s="1176"/>
      <c r="I180" s="1176"/>
      <c r="J180" s="1176"/>
      <c r="K180" s="1176"/>
      <c r="L180" s="1176"/>
      <c r="M180" s="1176"/>
      <c r="N180" s="1176"/>
      <c r="O180" s="8"/>
      <c r="P180" s="9"/>
      <c r="X180" s="815"/>
    </row>
    <row r="181" spans="2:24" x14ac:dyDescent="0.25">
      <c r="B181" s="17"/>
      <c r="C181" s="17"/>
      <c r="D181" s="17"/>
      <c r="E181" s="1259"/>
      <c r="F181" s="1212"/>
      <c r="G181" s="1212"/>
      <c r="H181" s="24" t="str">
        <f>EUconst_Unit</f>
        <v>Unit</v>
      </c>
      <c r="I181" s="128">
        <f>I$309</f>
        <v>2019</v>
      </c>
      <c r="J181" s="128">
        <f>J$309</f>
        <v>2020</v>
      </c>
      <c r="K181" s="128">
        <f>K$309</f>
        <v>2021</v>
      </c>
      <c r="L181" s="128">
        <f>L$309</f>
        <v>2022</v>
      </c>
      <c r="M181" s="128">
        <f>M$309</f>
        <v>2023</v>
      </c>
      <c r="N181" s="17"/>
      <c r="O181" s="8"/>
      <c r="X181" s="815"/>
    </row>
    <row r="182" spans="2:24" x14ac:dyDescent="0.25">
      <c r="B182" s="17"/>
      <c r="C182" s="17"/>
      <c r="D182" s="113" t="s">
        <v>206</v>
      </c>
      <c r="E182" s="1412" t="str">
        <f>Translations!$B$434</f>
        <v>Fuel input for heat</v>
      </c>
      <c r="F182" s="1412"/>
      <c r="G182" s="1412"/>
      <c r="H182" s="43" t="str">
        <f>EUconst_TJpa</f>
        <v>TJ / year</v>
      </c>
      <c r="I182" s="818" t="str">
        <f>IF(AND(ISNUMBER(I167),ISNUMBER(I168),ISNUMBER(I146)),I167/I172/(I167/I172+I168/I173)*I146,"")</f>
        <v/>
      </c>
      <c r="J182" s="818" t="str">
        <f>IF(AND(ISNUMBER(J167),ISNUMBER(J168),ISNUMBER(J146)),J167/J172/(J167/J172+J168/J173)*J146,"")</f>
        <v/>
      </c>
      <c r="K182" s="818" t="str">
        <f>IF(AND(ISNUMBER(K167),ISNUMBER(K168),ISNUMBER(K146)),K167/K172/(K167/K172+K168/K173)*K146,"")</f>
        <v/>
      </c>
      <c r="L182" s="818" t="str">
        <f>IF(AND(ISNUMBER(L167),ISNUMBER(L168),ISNUMBER(L146)),L167/L172/(L167/L172+L168/L173)*L146,"")</f>
        <v/>
      </c>
      <c r="M182" s="818" t="str">
        <f>IF(AND(ISNUMBER(M167),ISNUMBER(M168),ISNUMBER(M146)),M167/M172/(M167/M172+M168/M173)*M146,"")</f>
        <v/>
      </c>
      <c r="N182" s="17"/>
      <c r="O182" s="8"/>
      <c r="X182" s="815"/>
    </row>
    <row r="183" spans="2:24" x14ac:dyDescent="0.25">
      <c r="B183" s="17"/>
      <c r="C183" s="17"/>
      <c r="D183" s="113" t="s">
        <v>208</v>
      </c>
      <c r="E183" s="1412" t="str">
        <f>Translations!$B$435</f>
        <v>Fuel input for electricity</v>
      </c>
      <c r="F183" s="1412"/>
      <c r="G183" s="1412"/>
      <c r="H183" s="43" t="str">
        <f>EUconst_TJpa</f>
        <v>TJ / year</v>
      </c>
      <c r="I183" s="818" t="str">
        <f>IF(ISNUMBER(I182),I146-I182,"")</f>
        <v/>
      </c>
      <c r="J183" s="818" t="str">
        <f>IF(ISNUMBER(J182),J146-J182,"")</f>
        <v/>
      </c>
      <c r="K183" s="818" t="str">
        <f>IF(ISNUMBER(K182),K146-K182,"")</f>
        <v/>
      </c>
      <c r="L183" s="818" t="str">
        <f>IF(ISNUMBER(L182),L146-L182,"")</f>
        <v/>
      </c>
      <c r="M183" s="818" t="str">
        <f>IF(ISNUMBER(M182),M146-M182,"")</f>
        <v/>
      </c>
      <c r="N183" s="17"/>
      <c r="O183" s="8"/>
      <c r="X183" s="815"/>
    </row>
    <row r="184" spans="2:24" x14ac:dyDescent="0.25">
      <c r="B184" s="17"/>
      <c r="C184" s="17"/>
      <c r="D184" s="17"/>
      <c r="E184" s="31"/>
      <c r="F184" s="17"/>
      <c r="G184" s="17"/>
      <c r="H184" s="17"/>
      <c r="I184" s="17"/>
      <c r="J184" s="17"/>
      <c r="K184" s="17"/>
      <c r="L184" s="17"/>
      <c r="M184" s="17"/>
      <c r="N184" s="17"/>
      <c r="O184" s="8"/>
    </row>
    <row r="185" spans="2:24" ht="15.6" x14ac:dyDescent="0.3">
      <c r="B185" s="8"/>
      <c r="C185" s="13" t="s">
        <v>6</v>
      </c>
      <c r="D185" s="1175" t="str">
        <f>Translations!$B$436</f>
        <v>Waste gas tool</v>
      </c>
      <c r="E185" s="1175"/>
      <c r="F185" s="1175"/>
      <c r="G185" s="1175"/>
      <c r="H185" s="1175"/>
      <c r="I185" s="1175"/>
      <c r="J185" s="1175"/>
      <c r="K185" s="1175"/>
      <c r="L185" s="1175"/>
      <c r="M185" s="1175"/>
      <c r="N185" s="1175"/>
      <c r="O185" s="8"/>
      <c r="P185" s="9"/>
    </row>
    <row r="186" spans="2:24" ht="5.0999999999999996" customHeight="1" x14ac:dyDescent="0.25">
      <c r="B186" s="8"/>
      <c r="C186" s="8"/>
      <c r="D186" s="8"/>
      <c r="E186" s="8"/>
      <c r="F186" s="8"/>
      <c r="G186" s="8"/>
      <c r="H186" s="8"/>
      <c r="I186" s="8"/>
      <c r="J186" s="8"/>
      <c r="K186" s="8"/>
      <c r="L186" s="8"/>
      <c r="M186" s="8"/>
      <c r="N186" s="8"/>
      <c r="O186" s="8"/>
      <c r="P186" s="9"/>
    </row>
    <row r="187" spans="2:24" ht="12.75" customHeight="1" x14ac:dyDescent="0.25">
      <c r="B187" s="8"/>
      <c r="C187" s="8"/>
      <c r="D187" s="287"/>
      <c r="E187" s="1208" t="str">
        <f>Translations!$B$437</f>
        <v>Does the installation consume waste gases produced outside the boundaries of a product benchmark?</v>
      </c>
      <c r="F187" s="1208"/>
      <c r="G187" s="1208"/>
      <c r="H187" s="1208"/>
      <c r="I187" s="1208"/>
      <c r="J187" s="1208"/>
      <c r="K187" s="1208"/>
      <c r="L187" s="1433"/>
      <c r="M187" s="194"/>
      <c r="N187" s="8"/>
      <c r="O187" s="8"/>
      <c r="P187" s="9"/>
    </row>
    <row r="188" spans="2:24" ht="13.2" customHeight="1" x14ac:dyDescent="0.25">
      <c r="B188" s="8"/>
      <c r="C188" s="8"/>
      <c r="D188" s="17"/>
      <c r="E188" s="1223" t="s">
        <v>335</v>
      </c>
      <c r="F188" s="1176"/>
      <c r="G188" s="1176"/>
      <c r="H188" s="1176"/>
      <c r="I188" s="1176"/>
      <c r="J188" s="1176"/>
      <c r="K188" s="1176"/>
      <c r="L188" s="1176"/>
      <c r="M188" s="1176"/>
      <c r="N188" s="1176"/>
      <c r="O188" s="8"/>
      <c r="P188" s="9"/>
    </row>
    <row r="189" spans="2:24" x14ac:dyDescent="0.25">
      <c r="B189" s="8"/>
      <c r="C189" s="8"/>
      <c r="D189" s="17"/>
      <c r="E189" s="1223" t="str">
        <f>Translations!$B$439</f>
        <v>However, for waste gases a CO2 amount equivalent to natural gas used for the "technically usable energy content" is to be subtracted from the total process emissions.</v>
      </c>
      <c r="F189" s="1176"/>
      <c r="G189" s="1176"/>
      <c r="H189" s="1176"/>
      <c r="I189" s="1176"/>
      <c r="J189" s="1176"/>
      <c r="K189" s="1176"/>
      <c r="L189" s="1176"/>
      <c r="M189" s="1176"/>
      <c r="N189" s="1176"/>
      <c r="O189" s="8"/>
      <c r="P189" s="9"/>
    </row>
    <row r="190" spans="2:24" x14ac:dyDescent="0.25">
      <c r="B190" s="8"/>
      <c r="C190" s="8"/>
      <c r="D190" s="17"/>
      <c r="E190" s="1223" t="str">
        <f>Translations!$B$440</f>
        <v>The amount of process emissions without this subtraction is referred to as "uncorrected process emissions" below.</v>
      </c>
      <c r="F190" s="1176"/>
      <c r="G190" s="1176"/>
      <c r="H190" s="1176"/>
      <c r="I190" s="1176"/>
      <c r="J190" s="1176"/>
      <c r="K190" s="1176"/>
      <c r="L190" s="1176"/>
      <c r="M190" s="1176"/>
      <c r="N190" s="1176"/>
      <c r="O190" s="8"/>
      <c r="P190" s="9"/>
    </row>
    <row r="191" spans="2:24" x14ac:dyDescent="0.25">
      <c r="B191" s="8"/>
      <c r="C191" s="8"/>
      <c r="D191" s="17"/>
      <c r="E191" s="1223" t="str">
        <f>Translations!$B$441</f>
        <v>In order to determine the "technically usable energy content" the following information is needed:</v>
      </c>
      <c r="F191" s="1176"/>
      <c r="G191" s="1176"/>
      <c r="H191" s="1176"/>
      <c r="I191" s="1176"/>
      <c r="J191" s="1176"/>
      <c r="K191" s="1176"/>
      <c r="L191" s="1176"/>
      <c r="M191" s="1176"/>
      <c r="N191" s="1176"/>
      <c r="O191" s="8"/>
      <c r="P191" s="9"/>
    </row>
    <row r="192" spans="2:24" ht="25.5" customHeight="1" x14ac:dyDescent="0.25">
      <c r="B192" s="8"/>
      <c r="C192" s="8"/>
      <c r="D192" s="17"/>
      <c r="E192" s="630" t="s">
        <v>214</v>
      </c>
      <c r="F192" s="1314" t="str">
        <f>Translations!$B$442</f>
        <v>Amount of waste gases used for electricity production and for production of measurable or other heat outside of product benchmark sub-installations, or exported out of the installation;</v>
      </c>
      <c r="G192" s="1316"/>
      <c r="H192" s="1316"/>
      <c r="I192" s="1316"/>
      <c r="J192" s="1316"/>
      <c r="K192" s="1316"/>
      <c r="L192" s="1316"/>
      <c r="M192" s="1316"/>
      <c r="N192" s="1316"/>
      <c r="O192" s="8"/>
      <c r="P192" s="9"/>
    </row>
    <row r="193" spans="2:24" x14ac:dyDescent="0.25">
      <c r="B193" s="8"/>
      <c r="C193" s="8"/>
      <c r="D193" s="17"/>
      <c r="E193" s="630" t="s">
        <v>214</v>
      </c>
      <c r="F193" s="1223" t="str">
        <f>Translations!$B$443</f>
        <v>Optionally (for consistency checking) the process emissions associated with these waste gas amounts should be reported.</v>
      </c>
      <c r="G193" s="1176"/>
      <c r="H193" s="1176"/>
      <c r="I193" s="1176"/>
      <c r="J193" s="1176"/>
      <c r="K193" s="1176"/>
      <c r="L193" s="1176"/>
      <c r="M193" s="1176"/>
      <c r="N193" s="1176"/>
      <c r="O193" s="8"/>
      <c r="P193" s="9"/>
    </row>
    <row r="194" spans="2:24" x14ac:dyDescent="0.25">
      <c r="B194" s="8"/>
      <c r="C194" s="8"/>
      <c r="D194" s="17"/>
      <c r="E194" s="630" t="s">
        <v>214</v>
      </c>
      <c r="F194" s="1223" t="str">
        <f>Translations!$B$444</f>
        <v>Net calorific value of the waste gas;</v>
      </c>
      <c r="G194" s="1176"/>
      <c r="H194" s="1176"/>
      <c r="I194" s="1176"/>
      <c r="J194" s="1176"/>
      <c r="K194" s="1176"/>
      <c r="L194" s="1176"/>
      <c r="M194" s="1176"/>
      <c r="N194" s="1176"/>
      <c r="O194" s="8"/>
      <c r="P194" s="9"/>
    </row>
    <row r="195" spans="2:24" ht="25.5" customHeight="1" x14ac:dyDescent="0.25">
      <c r="B195" s="8"/>
      <c r="C195" s="8"/>
      <c r="D195" s="17"/>
      <c r="E195" s="630" t="s">
        <v>214</v>
      </c>
      <c r="F195" s="1314" t="str">
        <f>Translations!$B$445</f>
        <v>Assumptions for the different efficiency for the use of waste gas and natural gas. These assumptions are as follows: Efficiency of electricity production with natural gas is 52.5%, with waste gases 35%;</v>
      </c>
      <c r="G195" s="1316"/>
      <c r="H195" s="1316"/>
      <c r="I195" s="1316"/>
      <c r="J195" s="1316"/>
      <c r="K195" s="1316"/>
      <c r="L195" s="1316"/>
      <c r="M195" s="1316"/>
      <c r="N195" s="1316"/>
      <c r="O195" s="8"/>
      <c r="P195" s="9"/>
    </row>
    <row r="196" spans="2:24" x14ac:dyDescent="0.25">
      <c r="B196" s="8"/>
      <c r="C196" s="8"/>
      <c r="D196" s="17"/>
      <c r="E196" s="630" t="s">
        <v>214</v>
      </c>
      <c r="F196" s="1223" t="str">
        <f>Translations!$B$446</f>
        <v>Emission factor of natural gas: 56.1 t CO2/TJ.</v>
      </c>
      <c r="G196" s="1176"/>
      <c r="H196" s="1176"/>
      <c r="I196" s="1176"/>
      <c r="J196" s="1176"/>
      <c r="K196" s="1176"/>
      <c r="L196" s="1176"/>
      <c r="M196" s="1176"/>
      <c r="N196" s="1176"/>
      <c r="O196" s="8"/>
      <c r="P196" s="9"/>
    </row>
    <row r="197" spans="2:24" x14ac:dyDescent="0.25">
      <c r="B197" s="17"/>
      <c r="C197" s="17"/>
      <c r="D197" s="17"/>
      <c r="E197" s="1223" t="s">
        <v>336</v>
      </c>
      <c r="F197" s="1176"/>
      <c r="G197" s="1176"/>
      <c r="H197" s="1176"/>
      <c r="I197" s="1176"/>
      <c r="J197" s="1176"/>
      <c r="K197" s="1176"/>
      <c r="L197" s="1176"/>
      <c r="M197" s="1176"/>
      <c r="N197" s="1176"/>
      <c r="O197" s="8"/>
      <c r="X197" s="815"/>
    </row>
    <row r="198" spans="2:24" ht="5.0999999999999996" customHeight="1" x14ac:dyDescent="0.25">
      <c r="B198" s="8"/>
      <c r="C198" s="8"/>
      <c r="D198" s="8"/>
      <c r="E198" s="8"/>
      <c r="F198" s="8"/>
      <c r="G198" s="8"/>
      <c r="H198" s="8"/>
      <c r="I198" s="8"/>
      <c r="J198" s="8"/>
      <c r="K198" s="8"/>
      <c r="L198" s="8"/>
      <c r="M198" s="8"/>
      <c r="N198" s="8"/>
      <c r="O198" s="8"/>
      <c r="P198" s="9"/>
    </row>
    <row r="199" spans="2:24" ht="15" customHeight="1" x14ac:dyDescent="0.25">
      <c r="B199" s="8"/>
      <c r="C199" s="19">
        <v>1</v>
      </c>
      <c r="D199" s="1234" t="str">
        <f>Translations!$B$448</f>
        <v>Tool for calculating the amount of process emissions if waste gases are produced outside product benchmarks</v>
      </c>
      <c r="E199" s="1176"/>
      <c r="F199" s="1176"/>
      <c r="G199" s="1176"/>
      <c r="H199" s="1176"/>
      <c r="I199" s="1176"/>
      <c r="J199" s="1176"/>
      <c r="K199" s="1176"/>
      <c r="L199" s="1176"/>
      <c r="M199" s="1176"/>
      <c r="N199" s="1176"/>
      <c r="O199" s="8"/>
      <c r="P199" s="9"/>
      <c r="X199" s="145" t="s">
        <v>330</v>
      </c>
    </row>
    <row r="200" spans="2:24" ht="5.0999999999999996" customHeight="1" thickBot="1" x14ac:dyDescent="0.3">
      <c r="B200" s="8"/>
      <c r="C200" s="8"/>
      <c r="D200" s="8"/>
      <c r="E200" s="8"/>
      <c r="F200" s="8"/>
      <c r="G200" s="8"/>
      <c r="H200" s="8"/>
      <c r="I200" s="8"/>
      <c r="J200" s="8"/>
      <c r="K200" s="8"/>
      <c r="L200" s="8"/>
      <c r="M200" s="8"/>
      <c r="N200" s="8"/>
      <c r="O200" s="8"/>
      <c r="P200" s="9"/>
    </row>
    <row r="201" spans="2:24" ht="13.8" x14ac:dyDescent="0.25">
      <c r="B201" s="8"/>
      <c r="C201" s="8"/>
      <c r="D201" s="15" t="s">
        <v>190</v>
      </c>
      <c r="E201" s="1165" t="str">
        <f>Translations!$B$449</f>
        <v>This section relates to the process emissions sub-installation of this type:</v>
      </c>
      <c r="F201" s="1165"/>
      <c r="G201" s="1165"/>
      <c r="H201" s="1165"/>
      <c r="I201" s="1165"/>
      <c r="J201" s="1165"/>
      <c r="K201" s="1425"/>
      <c r="L201" s="1420"/>
      <c r="M201" s="1421"/>
      <c r="N201" s="1422"/>
      <c r="O201" s="8"/>
      <c r="P201" s="9"/>
      <c r="X201" s="284" t="b">
        <f>AND(M187&lt;&gt;"",M187=FALSE)</f>
        <v>0</v>
      </c>
    </row>
    <row r="202" spans="2:24" x14ac:dyDescent="0.25">
      <c r="B202" s="17"/>
      <c r="C202" s="17"/>
      <c r="D202" s="17"/>
      <c r="E202" s="1223" t="str">
        <f>Translations!$B$450</f>
        <v>Please select here to which of the two process emission sub-installations the data in this tool is related.</v>
      </c>
      <c r="F202" s="1176"/>
      <c r="G202" s="1176"/>
      <c r="H202" s="1176"/>
      <c r="I202" s="1176"/>
      <c r="J202" s="1176"/>
      <c r="K202" s="1176"/>
      <c r="L202" s="1176"/>
      <c r="M202" s="1176"/>
      <c r="N202" s="1176"/>
      <c r="O202" s="8"/>
      <c r="X202" s="815"/>
    </row>
    <row r="203" spans="2:24" x14ac:dyDescent="0.25">
      <c r="B203" s="17"/>
      <c r="C203" s="17"/>
      <c r="D203" s="17"/>
      <c r="E203" s="1223" t="str">
        <f>Translations!$B$451</f>
        <v>The production, not the use of the waste gas is relevant for determining the correct sub-installation.</v>
      </c>
      <c r="F203" s="1176"/>
      <c r="G203" s="1176"/>
      <c r="H203" s="1176"/>
      <c r="I203" s="1176"/>
      <c r="J203" s="1176"/>
      <c r="K203" s="1176"/>
      <c r="L203" s="1176"/>
      <c r="M203" s="1176"/>
      <c r="N203" s="1176"/>
      <c r="O203" s="8"/>
      <c r="X203" s="815"/>
    </row>
    <row r="204" spans="2:24" ht="5.0999999999999996" customHeight="1" x14ac:dyDescent="0.25">
      <c r="B204" s="8"/>
      <c r="C204" s="8"/>
      <c r="D204" s="8"/>
      <c r="E204" s="8"/>
      <c r="F204" s="8"/>
      <c r="G204" s="8"/>
      <c r="H204" s="8"/>
      <c r="I204" s="8"/>
      <c r="J204" s="8"/>
      <c r="K204" s="8"/>
      <c r="L204" s="8"/>
      <c r="M204" s="8"/>
      <c r="N204" s="8"/>
      <c r="O204" s="8"/>
      <c r="P204" s="9"/>
      <c r="X204" s="815"/>
    </row>
    <row r="205" spans="2:24" ht="13.8" x14ac:dyDescent="0.25">
      <c r="B205" s="8"/>
      <c r="C205" s="8"/>
      <c r="D205" s="15" t="s">
        <v>192</v>
      </c>
      <c r="E205" s="1165" t="str">
        <f>Translations!$B$452</f>
        <v>Please confirm if waste gases are relevant for this sub-installation:</v>
      </c>
      <c r="F205" s="1165"/>
      <c r="G205" s="1165"/>
      <c r="H205" s="1165"/>
      <c r="I205" s="1165"/>
      <c r="J205" s="1165"/>
      <c r="K205" s="1425"/>
      <c r="L205" s="1417"/>
      <c r="M205" s="1418"/>
      <c r="N205" s="1419"/>
      <c r="O205" s="8"/>
      <c r="P205" s="9"/>
      <c r="X205" s="285" t="b">
        <f>X201</f>
        <v>0</v>
      </c>
    </row>
    <row r="206" spans="2:24" ht="5.0999999999999996" customHeight="1" x14ac:dyDescent="0.25">
      <c r="B206" s="8"/>
      <c r="C206" s="8"/>
      <c r="D206" s="8"/>
      <c r="E206" s="8"/>
      <c r="F206" s="8"/>
      <c r="G206" s="8"/>
      <c r="H206" s="8"/>
      <c r="I206" s="8"/>
      <c r="J206" s="8"/>
      <c r="K206" s="8"/>
      <c r="L206" s="8"/>
      <c r="M206" s="8"/>
      <c r="N206" s="8"/>
      <c r="O206" s="8"/>
      <c r="P206" s="9"/>
      <c r="X206" s="815"/>
    </row>
    <row r="207" spans="2:24" x14ac:dyDescent="0.25">
      <c r="B207" s="8"/>
      <c r="C207" s="8"/>
      <c r="D207" s="15" t="s">
        <v>195</v>
      </c>
      <c r="E207" s="1165" t="str">
        <f>Translations!$B$453</f>
        <v>Type of waste gas:</v>
      </c>
      <c r="F207" s="1176"/>
      <c r="G207" s="1260"/>
      <c r="H207" s="1364"/>
      <c r="I207" s="1423"/>
      <c r="J207" s="1423"/>
      <c r="K207" s="1423"/>
      <c r="L207" s="1423"/>
      <c r="M207" s="1423"/>
      <c r="N207" s="1424"/>
      <c r="O207" s="8"/>
      <c r="P207" s="9"/>
      <c r="X207" s="285" t="b">
        <f>X205</f>
        <v>0</v>
      </c>
    </row>
    <row r="208" spans="2:24" x14ac:dyDescent="0.25">
      <c r="B208" s="17"/>
      <c r="C208" s="17"/>
      <c r="D208" s="17"/>
      <c r="E208" s="1223" t="str">
        <f>Translations!$B$454</f>
        <v>Please describe the waste gas and the process from which it is produced. Above enter a name for the gas stream, below give a short process description.</v>
      </c>
      <c r="F208" s="1176"/>
      <c r="G208" s="1176"/>
      <c r="H208" s="1176"/>
      <c r="I208" s="1176"/>
      <c r="J208" s="1176"/>
      <c r="K208" s="1176"/>
      <c r="L208" s="1176"/>
      <c r="M208" s="1176"/>
      <c r="N208" s="1176"/>
      <c r="O208" s="8"/>
      <c r="X208" s="815"/>
    </row>
    <row r="209" spans="2:24" x14ac:dyDescent="0.25">
      <c r="B209" s="17"/>
      <c r="C209" s="17"/>
      <c r="D209" s="17"/>
      <c r="E209" s="1211" t="str">
        <f>Translations!$B$455</f>
        <v>If several different waste gases are relevant in your installation, please submit details in separate files using this tool for more complex cases.</v>
      </c>
      <c r="F209" s="1212"/>
      <c r="G209" s="1212"/>
      <c r="H209" s="1212"/>
      <c r="I209" s="1212"/>
      <c r="J209" s="1212"/>
      <c r="K209" s="1212"/>
      <c r="L209" s="1212"/>
      <c r="M209" s="1212"/>
      <c r="N209" s="1212"/>
      <c r="O209" s="8"/>
      <c r="X209" s="815"/>
    </row>
    <row r="210" spans="2:24" x14ac:dyDescent="0.25">
      <c r="B210" s="8"/>
      <c r="C210" s="8"/>
      <c r="D210" s="15"/>
      <c r="E210" s="1426"/>
      <c r="F210" s="1427"/>
      <c r="G210" s="1427"/>
      <c r="H210" s="1427"/>
      <c r="I210" s="1427"/>
      <c r="J210" s="1427"/>
      <c r="K210" s="1427"/>
      <c r="L210" s="1427"/>
      <c r="M210" s="1427"/>
      <c r="N210" s="1428"/>
      <c r="O210" s="8"/>
      <c r="P210" s="9"/>
      <c r="X210" s="285" t="b">
        <f>X207</f>
        <v>0</v>
      </c>
    </row>
    <row r="211" spans="2:24" x14ac:dyDescent="0.25">
      <c r="B211" s="8"/>
      <c r="C211" s="8"/>
      <c r="D211" s="15"/>
      <c r="E211" s="1429"/>
      <c r="F211" s="1430"/>
      <c r="G211" s="1430"/>
      <c r="H211" s="1430"/>
      <c r="I211" s="1430"/>
      <c r="J211" s="1430"/>
      <c r="K211" s="1430"/>
      <c r="L211" s="1430"/>
      <c r="M211" s="1430"/>
      <c r="N211" s="1431"/>
      <c r="O211" s="8"/>
      <c r="P211" s="9"/>
      <c r="X211" s="285" t="b">
        <f>X210</f>
        <v>0</v>
      </c>
    </row>
    <row r="212" spans="2:24" ht="5.0999999999999996" customHeight="1" x14ac:dyDescent="0.25">
      <c r="B212" s="8"/>
      <c r="C212" s="8"/>
      <c r="D212" s="8"/>
      <c r="E212" s="8"/>
      <c r="F212" s="8"/>
      <c r="G212" s="8"/>
      <c r="H212" s="8"/>
      <c r="I212" s="8"/>
      <c r="J212" s="8"/>
      <c r="K212" s="8"/>
      <c r="L212" s="8"/>
      <c r="M212" s="8"/>
      <c r="N212" s="8"/>
      <c r="O212" s="8"/>
      <c r="P212" s="9"/>
      <c r="X212" s="815"/>
    </row>
    <row r="213" spans="2:24" x14ac:dyDescent="0.25">
      <c r="B213" s="8"/>
      <c r="C213" s="8"/>
      <c r="D213" s="15" t="s">
        <v>197</v>
      </c>
      <c r="E213" s="1165" t="str">
        <f>Translations!$B$456</f>
        <v>Total amount of process emissions before subtracting an equivalent for the technically usable energy content:</v>
      </c>
      <c r="F213" s="1176"/>
      <c r="G213" s="1176"/>
      <c r="H213" s="1176"/>
      <c r="I213" s="1176"/>
      <c r="J213" s="1176"/>
      <c r="K213" s="1176"/>
      <c r="L213" s="1176"/>
      <c r="M213" s="1176"/>
      <c r="N213" s="1176"/>
      <c r="O213" s="8"/>
      <c r="P213" s="9"/>
      <c r="X213" s="815"/>
    </row>
    <row r="214" spans="2:24" x14ac:dyDescent="0.25">
      <c r="B214" s="8"/>
      <c r="C214" s="8"/>
      <c r="D214" s="17"/>
      <c r="E214" s="1223" t="str">
        <f>Translations!$B$457</f>
        <v>This amount must be consistent with the carbon leakage status selected under point (a) above.</v>
      </c>
      <c r="F214" s="1176"/>
      <c r="G214" s="1176"/>
      <c r="H214" s="1176"/>
      <c r="I214" s="1176"/>
      <c r="J214" s="1176"/>
      <c r="K214" s="1176"/>
      <c r="L214" s="1176"/>
      <c r="M214" s="1176"/>
      <c r="N214" s="1176"/>
      <c r="O214" s="8"/>
      <c r="P214" s="9"/>
      <c r="X214" s="815"/>
    </row>
    <row r="215" spans="2:24" x14ac:dyDescent="0.25">
      <c r="B215" s="17"/>
      <c r="C215" s="17"/>
      <c r="D215" s="15"/>
      <c r="E215" s="22"/>
      <c r="F215" s="78"/>
      <c r="G215" s="78"/>
      <c r="H215" s="24" t="str">
        <f>EUconst_Unit</f>
        <v>Unit</v>
      </c>
      <c r="I215" s="128">
        <f>I$309</f>
        <v>2019</v>
      </c>
      <c r="J215" s="128">
        <f>J$309</f>
        <v>2020</v>
      </c>
      <c r="K215" s="128">
        <f>K$309</f>
        <v>2021</v>
      </c>
      <c r="L215" s="128">
        <f>L$309</f>
        <v>2022</v>
      </c>
      <c r="M215" s="128">
        <f>M$309</f>
        <v>2023</v>
      </c>
      <c r="N215" s="8"/>
      <c r="O215" s="8"/>
      <c r="X215" s="815"/>
    </row>
    <row r="216" spans="2:24" x14ac:dyDescent="0.25">
      <c r="B216" s="17"/>
      <c r="C216" s="17"/>
      <c r="D216" s="17"/>
      <c r="E216" s="1412" t="str">
        <f>Translations!$B$458</f>
        <v>Uncorrected process emissions</v>
      </c>
      <c r="F216" s="1412"/>
      <c r="G216" s="1412"/>
      <c r="H216" s="43" t="str">
        <f>EUconst_tCO2epa</f>
        <v>t CO2e/year</v>
      </c>
      <c r="I216" s="293"/>
      <c r="J216" s="293"/>
      <c r="K216" s="293"/>
      <c r="L216" s="293"/>
      <c r="M216" s="293"/>
      <c r="N216" s="8"/>
      <c r="O216" s="8"/>
      <c r="X216" s="285" t="b">
        <f>X211</f>
        <v>0</v>
      </c>
    </row>
    <row r="217" spans="2:24" ht="5.0999999999999996" customHeight="1" x14ac:dyDescent="0.25">
      <c r="B217" s="8"/>
      <c r="C217" s="8"/>
      <c r="D217" s="8"/>
      <c r="E217" s="8"/>
      <c r="F217" s="8"/>
      <c r="G217" s="8"/>
      <c r="H217" s="8"/>
      <c r="I217" s="8"/>
      <c r="J217" s="8"/>
      <c r="K217" s="8"/>
      <c r="L217" s="8"/>
      <c r="M217" s="8"/>
      <c r="N217" s="8"/>
      <c r="O217" s="8"/>
      <c r="P217" s="9"/>
      <c r="X217" s="815"/>
    </row>
    <row r="218" spans="2:24" x14ac:dyDescent="0.25">
      <c r="B218" s="8"/>
      <c r="C218" s="8"/>
      <c r="D218" s="15" t="s">
        <v>202</v>
      </c>
      <c r="E218" s="1165" t="str">
        <f>Translations!$B$459</f>
        <v>Estimation of waste gas emissions</v>
      </c>
      <c r="F218" s="1176"/>
      <c r="G218" s="1176"/>
      <c r="H218" s="1176"/>
      <c r="I218" s="1176"/>
      <c r="J218" s="1176"/>
      <c r="K218" s="1176"/>
      <c r="L218" s="1176"/>
      <c r="M218" s="1176"/>
      <c r="N218" s="1176"/>
      <c r="O218" s="8"/>
      <c r="P218" s="9"/>
      <c r="X218" s="815"/>
    </row>
    <row r="219" spans="2:24" x14ac:dyDescent="0.25">
      <c r="B219" s="8"/>
      <c r="C219" s="8"/>
      <c r="D219" s="17"/>
      <c r="E219" s="1223" t="str">
        <f>Translations!$B$460</f>
        <v>Optionally, and for the purpose of consistency checks only, please provide an estimation of the quantity of emissions relating to the waste gas used or exported.</v>
      </c>
      <c r="F219" s="1176"/>
      <c r="G219" s="1176"/>
      <c r="H219" s="1176"/>
      <c r="I219" s="1176"/>
      <c r="J219" s="1176"/>
      <c r="K219" s="1176"/>
      <c r="L219" s="1176"/>
      <c r="M219" s="1176"/>
      <c r="N219" s="1176"/>
      <c r="O219" s="8"/>
      <c r="P219" s="9"/>
      <c r="X219" s="815"/>
    </row>
    <row r="220" spans="2:24" x14ac:dyDescent="0.25">
      <c r="B220" s="8"/>
      <c r="C220" s="8"/>
      <c r="D220" s="17"/>
      <c r="E220" s="1223" t="str">
        <f>Translations!$B$461</f>
        <v>This amount must be consistent with the amount of waste gas under point (f) below.</v>
      </c>
      <c r="F220" s="1176"/>
      <c r="G220" s="1176"/>
      <c r="H220" s="1176"/>
      <c r="I220" s="1176"/>
      <c r="J220" s="1176"/>
      <c r="K220" s="1176"/>
      <c r="L220" s="1176"/>
      <c r="M220" s="1176"/>
      <c r="N220" s="1176"/>
      <c r="O220" s="8"/>
      <c r="P220" s="9"/>
      <c r="X220" s="815"/>
    </row>
    <row r="221" spans="2:24" x14ac:dyDescent="0.25">
      <c r="B221" s="17"/>
      <c r="C221" s="17"/>
      <c r="D221" s="15"/>
      <c r="E221" s="1259" t="str">
        <f>Translations!$B$462</f>
        <v>Emissions from waste gases</v>
      </c>
      <c r="F221" s="1212"/>
      <c r="G221" s="1212"/>
      <c r="H221" s="24" t="str">
        <f>EUconst_Unit</f>
        <v>Unit</v>
      </c>
      <c r="I221" s="128">
        <f>I$309</f>
        <v>2019</v>
      </c>
      <c r="J221" s="128">
        <f>J$309</f>
        <v>2020</v>
      </c>
      <c r="K221" s="128">
        <f>K$309</f>
        <v>2021</v>
      </c>
      <c r="L221" s="128">
        <f>L$309</f>
        <v>2022</v>
      </c>
      <c r="M221" s="128">
        <f>M$309</f>
        <v>2023</v>
      </c>
      <c r="N221" s="8"/>
      <c r="O221" s="8"/>
      <c r="X221" s="815"/>
    </row>
    <row r="222" spans="2:24" x14ac:dyDescent="0.25">
      <c r="B222" s="17"/>
      <c r="C222" s="17"/>
      <c r="D222" s="17"/>
      <c r="E222" s="1412" t="str">
        <f>Translations!$B$463</f>
        <v>outside product benchmarks</v>
      </c>
      <c r="F222" s="1412"/>
      <c r="G222" s="1412"/>
      <c r="H222" s="43" t="str">
        <f>EUconst_tCO2epa</f>
        <v>t CO2e/year</v>
      </c>
      <c r="I222" s="1065"/>
      <c r="J222" s="1065"/>
      <c r="K222" s="1065"/>
      <c r="L222" s="1065"/>
      <c r="M222" s="1065"/>
      <c r="N222" s="8"/>
      <c r="O222" s="8"/>
      <c r="X222" s="285" t="b">
        <f>X216</f>
        <v>0</v>
      </c>
    </row>
    <row r="223" spans="2:24" ht="5.0999999999999996" customHeight="1" x14ac:dyDescent="0.25">
      <c r="B223" s="8"/>
      <c r="C223" s="8"/>
      <c r="D223" s="8"/>
      <c r="E223" s="8"/>
      <c r="F223" s="8"/>
      <c r="G223" s="8"/>
      <c r="H223" s="8"/>
      <c r="I223" s="8"/>
      <c r="J223" s="8"/>
      <c r="K223" s="8"/>
      <c r="L223" s="8"/>
      <c r="M223" s="8"/>
      <c r="N223" s="8"/>
      <c r="O223" s="8"/>
      <c r="P223" s="9"/>
      <c r="X223" s="815"/>
    </row>
    <row r="224" spans="2:24" x14ac:dyDescent="0.25">
      <c r="B224" s="8"/>
      <c r="C224" s="8"/>
      <c r="D224" s="15" t="s">
        <v>199</v>
      </c>
      <c r="E224" s="1165" t="str">
        <f>Translations!$B$464</f>
        <v>Amount of waste gas produced outside product benchmark sub-installations, including for exports:</v>
      </c>
      <c r="F224" s="1176"/>
      <c r="G224" s="1176"/>
      <c r="H224" s="1176"/>
      <c r="I224" s="1176"/>
      <c r="J224" s="1176"/>
      <c r="K224" s="1176"/>
      <c r="L224" s="1176"/>
      <c r="M224" s="1176"/>
      <c r="N224" s="1176"/>
      <c r="O224" s="8"/>
      <c r="P224" s="9"/>
      <c r="X224" s="815"/>
    </row>
    <row r="225" spans="2:24" ht="12.75" customHeight="1" x14ac:dyDescent="0.25">
      <c r="B225" s="8"/>
      <c r="C225" s="8"/>
      <c r="D225" s="17"/>
      <c r="E225" s="1223" t="str">
        <f>Translations!$B$457</f>
        <v>This amount must be consistent with the carbon leakage status selected under point (a) above.</v>
      </c>
      <c r="F225" s="1176"/>
      <c r="G225" s="1176"/>
      <c r="H225" s="1176"/>
      <c r="I225" s="1176"/>
      <c r="J225" s="1176"/>
      <c r="K225" s="1176"/>
      <c r="L225" s="1176"/>
      <c r="M225" s="1176"/>
      <c r="N225" s="1176"/>
      <c r="O225" s="8"/>
      <c r="P225" s="9"/>
      <c r="X225" s="815"/>
    </row>
    <row r="226" spans="2:24" x14ac:dyDescent="0.25">
      <c r="B226" s="8"/>
      <c r="C226" s="8"/>
      <c r="D226" s="17"/>
      <c r="E226" s="1223" t="str">
        <f>Translations!$B$465</f>
        <v>Only waste gas which is used for the production of heat or electricity is relevant. If the waste gas is flared, only the amount relating to safety flaring is relevant.</v>
      </c>
      <c r="F226" s="1176"/>
      <c r="G226" s="1176"/>
      <c r="H226" s="1176"/>
      <c r="I226" s="1176"/>
      <c r="J226" s="1176"/>
      <c r="K226" s="1176"/>
      <c r="L226" s="1176"/>
      <c r="M226" s="1176"/>
      <c r="N226" s="1176"/>
      <c r="O226" s="8"/>
      <c r="P226" s="9"/>
      <c r="X226" s="815"/>
    </row>
    <row r="227" spans="2:24" x14ac:dyDescent="0.25">
      <c r="B227" s="8"/>
      <c r="C227" s="8"/>
      <c r="D227" s="17"/>
      <c r="E227" s="1223" t="str">
        <f>Translations!$B$466</f>
        <v>You may choose to report either as tonnes or as 1000 Nm3 (cubic meters under standard conditions). The units must be consistent with those for the NCV below.</v>
      </c>
      <c r="F227" s="1176"/>
      <c r="G227" s="1176"/>
      <c r="H227" s="1176"/>
      <c r="I227" s="1176"/>
      <c r="J227" s="1176"/>
      <c r="K227" s="1176"/>
      <c r="L227" s="1176"/>
      <c r="M227" s="1176"/>
      <c r="N227" s="1176"/>
      <c r="O227" s="8"/>
      <c r="P227" s="9"/>
      <c r="X227" s="815"/>
    </row>
    <row r="228" spans="2:24" x14ac:dyDescent="0.25">
      <c r="B228" s="17"/>
      <c r="C228" s="17"/>
      <c r="D228" s="15"/>
      <c r="E228" s="1259" t="str">
        <f>Translations!$B$467</f>
        <v>Amount of waste gas per year</v>
      </c>
      <c r="F228" s="1212"/>
      <c r="G228" s="1212"/>
      <c r="H228" s="24" t="str">
        <f>EUconst_Unit</f>
        <v>Unit</v>
      </c>
      <c r="I228" s="128">
        <f>I$309</f>
        <v>2019</v>
      </c>
      <c r="J228" s="128">
        <f>J$309</f>
        <v>2020</v>
      </c>
      <c r="K228" s="128">
        <f>K$309</f>
        <v>2021</v>
      </c>
      <c r="L228" s="128">
        <f>L$309</f>
        <v>2022</v>
      </c>
      <c r="M228" s="128">
        <f>M$309</f>
        <v>2023</v>
      </c>
      <c r="N228" s="17"/>
      <c r="O228" s="8"/>
      <c r="X228" s="815"/>
    </row>
    <row r="229" spans="2:24" x14ac:dyDescent="0.25">
      <c r="B229" s="17"/>
      <c r="C229" s="17"/>
      <c r="D229" s="17"/>
      <c r="E229" s="1412" t="str">
        <f>Translations!$B$463</f>
        <v>outside product benchmarks</v>
      </c>
      <c r="F229" s="1412"/>
      <c r="G229" s="1412"/>
      <c r="H229" s="819"/>
      <c r="I229" s="293"/>
      <c r="J229" s="293"/>
      <c r="K229" s="293"/>
      <c r="L229" s="293"/>
      <c r="M229" s="293"/>
      <c r="N229" s="17"/>
      <c r="O229" s="8"/>
      <c r="X229" s="285" t="b">
        <f>X222</f>
        <v>0</v>
      </c>
    </row>
    <row r="230" spans="2:24" ht="5.0999999999999996" customHeight="1" x14ac:dyDescent="0.25">
      <c r="B230" s="8"/>
      <c r="C230" s="8"/>
      <c r="D230" s="8"/>
      <c r="E230" s="8"/>
      <c r="F230" s="8"/>
      <c r="G230" s="8"/>
      <c r="H230" s="8"/>
      <c r="I230" s="8"/>
      <c r="J230" s="8"/>
      <c r="K230" s="8"/>
      <c r="L230" s="8"/>
      <c r="M230" s="8"/>
      <c r="N230" s="8"/>
      <c r="O230" s="8"/>
      <c r="P230" s="9"/>
      <c r="X230" s="815"/>
    </row>
    <row r="231" spans="2:24" x14ac:dyDescent="0.25">
      <c r="B231" s="8"/>
      <c r="C231" s="8"/>
      <c r="D231" s="15" t="s">
        <v>212</v>
      </c>
      <c r="E231" s="1165" t="str">
        <f>Translations!$B$468</f>
        <v>Net calorific value of the waste gas</v>
      </c>
      <c r="F231" s="1176"/>
      <c r="G231" s="1176"/>
      <c r="H231" s="1176"/>
      <c r="I231" s="1176"/>
      <c r="J231" s="1176"/>
      <c r="K231" s="1176"/>
      <c r="L231" s="1176"/>
      <c r="M231" s="1176"/>
      <c r="N231" s="1176"/>
      <c r="O231" s="8"/>
      <c r="P231" s="9"/>
      <c r="X231" s="815"/>
    </row>
    <row r="232" spans="2:24" x14ac:dyDescent="0.25">
      <c r="B232" s="8"/>
      <c r="C232" s="8"/>
      <c r="D232" s="17"/>
      <c r="E232" s="1223" t="str">
        <f>Translations!$B$469</f>
        <v>You may choose to report either as GJ/t or as GJ/1000 Nm3. The units must be consistent with those for the amounts above.</v>
      </c>
      <c r="F232" s="1176"/>
      <c r="G232" s="1176"/>
      <c r="H232" s="1176"/>
      <c r="I232" s="1176"/>
      <c r="J232" s="1176"/>
      <c r="K232" s="1176"/>
      <c r="L232" s="1176"/>
      <c r="M232" s="1176"/>
      <c r="N232" s="1176"/>
      <c r="O232" s="8"/>
      <c r="P232" s="9"/>
      <c r="X232" s="815"/>
    </row>
    <row r="233" spans="2:24" x14ac:dyDescent="0.25">
      <c r="B233" s="17"/>
      <c r="C233" s="17"/>
      <c r="D233" s="15"/>
      <c r="E233" s="78"/>
      <c r="F233" s="78"/>
      <c r="G233" s="78"/>
      <c r="H233" s="24" t="str">
        <f>EUconst_Unit</f>
        <v>Unit</v>
      </c>
      <c r="I233" s="128">
        <f>I$309</f>
        <v>2019</v>
      </c>
      <c r="J233" s="128">
        <f>J$309</f>
        <v>2020</v>
      </c>
      <c r="K233" s="128">
        <f>K$309</f>
        <v>2021</v>
      </c>
      <c r="L233" s="128">
        <f>L$309</f>
        <v>2022</v>
      </c>
      <c r="M233" s="128">
        <f>M$309</f>
        <v>2023</v>
      </c>
      <c r="N233" s="17"/>
      <c r="O233" s="8"/>
      <c r="S233" s="28">
        <f>I233</f>
        <v>2019</v>
      </c>
      <c r="T233" s="28">
        <f>J233</f>
        <v>2020</v>
      </c>
      <c r="U233" s="28">
        <f>K233</f>
        <v>2021</v>
      </c>
      <c r="V233" s="28">
        <f>L233</f>
        <v>2022</v>
      </c>
      <c r="W233" s="28">
        <f>M233</f>
        <v>2023</v>
      </c>
      <c r="X233" s="815"/>
    </row>
    <row r="234" spans="2:24" x14ac:dyDescent="0.25">
      <c r="B234" s="17"/>
      <c r="C234" s="17"/>
      <c r="D234" s="17"/>
      <c r="E234" s="1412" t="str">
        <f>Translations!$B$470</f>
        <v>Net calorific value</v>
      </c>
      <c r="F234" s="1412"/>
      <c r="G234" s="1412"/>
      <c r="H234" s="820" t="str">
        <f>IF(ISBLANK(H229),EUconst_GJperUnit,INDEX(EUconst_GJperTorKNm3,MATCH(H229,EUconst_TonnesOrkNm3pa,0)))</f>
        <v>GJ / Unit</v>
      </c>
      <c r="I234" s="293"/>
      <c r="J234" s="293"/>
      <c r="K234" s="293"/>
      <c r="L234" s="293"/>
      <c r="M234" s="293"/>
      <c r="N234" s="17"/>
      <c r="O234" s="8"/>
      <c r="P234" s="626" t="str">
        <f>EUconst_CNTR_WGProduced &amp; C199</f>
        <v>WasteGasProd_1</v>
      </c>
      <c r="R234" s="416" t="s">
        <v>337</v>
      </c>
      <c r="S234" s="63" t="str">
        <f>IF(COUNT(I229,I234)&gt;0,I229*I234/1000,"")</f>
        <v/>
      </c>
      <c r="T234" s="63" t="str">
        <f>IF(COUNT(J229,J234)&gt;0,J229*J234/1000,"")</f>
        <v/>
      </c>
      <c r="U234" s="63" t="str">
        <f>IF(COUNT(K229,K234)&gt;0,K229*K234/1000,"")</f>
        <v/>
      </c>
      <c r="V234" s="63" t="str">
        <f>IF(COUNT(L229,L234)&gt;0,L229*L234/1000,"")</f>
        <v/>
      </c>
      <c r="W234" s="392" t="str">
        <f>IF(COUNT(M229,M234)&gt;0,M229*M234/1000,"")</f>
        <v/>
      </c>
      <c r="X234" s="285" t="b">
        <f>X229</f>
        <v>0</v>
      </c>
    </row>
    <row r="235" spans="2:24" ht="5.0999999999999996" customHeight="1" x14ac:dyDescent="0.25">
      <c r="B235" s="8"/>
      <c r="C235" s="8"/>
      <c r="D235" s="8"/>
      <c r="E235" s="8"/>
      <c r="F235" s="8"/>
      <c r="G235" s="8"/>
      <c r="H235" s="8"/>
      <c r="I235" s="8"/>
      <c r="J235" s="8"/>
      <c r="K235" s="8"/>
      <c r="L235" s="8"/>
      <c r="M235" s="8"/>
      <c r="N235" s="8"/>
      <c r="O235" s="8"/>
      <c r="P235" s="9"/>
      <c r="X235" s="815"/>
    </row>
    <row r="236" spans="2:24" x14ac:dyDescent="0.25">
      <c r="B236" s="8"/>
      <c r="C236" s="8"/>
      <c r="D236" s="15" t="s">
        <v>218</v>
      </c>
      <c r="E236" s="1165" t="str">
        <f>Translations!$B$471</f>
        <v>Necessary assumptions:</v>
      </c>
      <c r="F236" s="1176"/>
      <c r="G236" s="1176"/>
      <c r="H236" s="1176"/>
      <c r="I236" s="1176"/>
      <c r="J236" s="1176"/>
      <c r="K236" s="1176"/>
      <c r="L236" s="1176"/>
      <c r="M236" s="1176"/>
      <c r="N236" s="1176"/>
      <c r="O236" s="8"/>
      <c r="P236" s="9"/>
      <c r="X236" s="815"/>
    </row>
    <row r="237" spans="2:24" x14ac:dyDescent="0.25">
      <c r="B237" s="17"/>
      <c r="C237" s="17"/>
      <c r="D237" s="17"/>
      <c r="E237" s="1414" t="str">
        <f>Translations!$B$472</f>
        <v>Reference efficiency for production of electricity:</v>
      </c>
      <c r="F237" s="1414"/>
      <c r="G237" s="1414"/>
      <c r="H237" s="1414"/>
      <c r="I237" s="821"/>
      <c r="J237" s="821" t="str">
        <f>Translations!$B$473</f>
        <v>using natural gas:</v>
      </c>
      <c r="K237" s="1066">
        <v>0.52500000000000002</v>
      </c>
      <c r="L237" s="822"/>
      <c r="M237" s="821" t="str">
        <f>Translations!$B$474</f>
        <v>using waste gas:</v>
      </c>
      <c r="N237" s="1066">
        <v>0.35</v>
      </c>
      <c r="O237" s="8"/>
      <c r="X237" s="815"/>
    </row>
    <row r="238" spans="2:24" x14ac:dyDescent="0.25">
      <c r="B238" s="17"/>
      <c r="C238" s="17"/>
      <c r="D238" s="17"/>
      <c r="E238" s="1415" t="str">
        <f>Translations!$B$475</f>
        <v>Emissions factor for natural gas:</v>
      </c>
      <c r="F238" s="1415"/>
      <c r="G238" s="1416"/>
      <c r="H238" s="370">
        <f>EUconst_NGEFvalue</f>
        <v>56.1</v>
      </c>
      <c r="I238" s="822" t="str">
        <f>EUconst_tCO2pTJ</f>
        <v>t CO2 / TJ</v>
      </c>
      <c r="J238" s="17"/>
      <c r="K238" s="17"/>
      <c r="L238" s="17"/>
      <c r="M238" s="17"/>
      <c r="N238" s="17"/>
      <c r="O238" s="8"/>
      <c r="X238" s="815"/>
    </row>
    <row r="239" spans="2:24" ht="5.0999999999999996" customHeight="1" x14ac:dyDescent="0.25">
      <c r="B239" s="8"/>
      <c r="C239" s="8"/>
      <c r="D239" s="8"/>
      <c r="E239" s="8"/>
      <c r="F239" s="8"/>
      <c r="G239" s="8"/>
      <c r="H239" s="8"/>
      <c r="I239" s="8"/>
      <c r="J239" s="8"/>
      <c r="K239" s="8"/>
      <c r="L239" s="8"/>
      <c r="M239" s="8"/>
      <c r="N239" s="8"/>
      <c r="O239" s="8"/>
      <c r="P239" s="9"/>
      <c r="X239" s="815"/>
    </row>
    <row r="240" spans="2:24" x14ac:dyDescent="0.25">
      <c r="B240" s="8"/>
      <c r="C240" s="8"/>
      <c r="D240" s="15" t="s">
        <v>225</v>
      </c>
      <c r="E240" s="1165" t="str">
        <f>Translations!$B$476</f>
        <v>Emissions to be subtracted for taking into account the technically usable energy content:</v>
      </c>
      <c r="F240" s="1176"/>
      <c r="G240" s="1176"/>
      <c r="H240" s="1176"/>
      <c r="I240" s="1176"/>
      <c r="J240" s="1176"/>
      <c r="K240" s="1176"/>
      <c r="L240" s="1176"/>
      <c r="M240" s="1176"/>
      <c r="N240" s="1176"/>
      <c r="O240" s="8"/>
      <c r="P240" s="9"/>
      <c r="X240" s="815"/>
    </row>
    <row r="241" spans="2:24" x14ac:dyDescent="0.25">
      <c r="B241" s="8"/>
      <c r="C241" s="8"/>
      <c r="D241" s="17"/>
      <c r="E241" s="1223" t="s">
        <v>338</v>
      </c>
      <c r="F241" s="1176"/>
      <c r="G241" s="1176"/>
      <c r="H241" s="1176"/>
      <c r="I241" s="1176"/>
      <c r="J241" s="1176"/>
      <c r="K241" s="1176"/>
      <c r="L241" s="1176"/>
      <c r="M241" s="1176"/>
      <c r="N241" s="1176"/>
      <c r="O241" s="8"/>
      <c r="P241" s="9"/>
      <c r="X241" s="815"/>
    </row>
    <row r="242" spans="2:24" x14ac:dyDescent="0.25">
      <c r="B242" s="17"/>
      <c r="C242" s="17"/>
      <c r="D242" s="15"/>
      <c r="E242" s="1259" t="str">
        <f>Translations!$B$478</f>
        <v>Deduction for waste gases</v>
      </c>
      <c r="F242" s="1212"/>
      <c r="G242" s="1212"/>
      <c r="H242" s="24" t="str">
        <f>EUconst_Unit</f>
        <v>Unit</v>
      </c>
      <c r="I242" s="128">
        <f>I$309</f>
        <v>2019</v>
      </c>
      <c r="J242" s="128">
        <f>J$309</f>
        <v>2020</v>
      </c>
      <c r="K242" s="128">
        <f>K$309</f>
        <v>2021</v>
      </c>
      <c r="L242" s="128">
        <f>L$309</f>
        <v>2022</v>
      </c>
      <c r="M242" s="128">
        <f>M$309</f>
        <v>2023</v>
      </c>
      <c r="N242" s="17"/>
      <c r="O242" s="8"/>
      <c r="X242" s="815"/>
    </row>
    <row r="243" spans="2:24" x14ac:dyDescent="0.25">
      <c r="B243" s="17"/>
      <c r="C243" s="17"/>
      <c r="D243" s="17"/>
      <c r="E243" s="1412" t="str">
        <f>Translations!$B$463</f>
        <v>outside product benchmarks</v>
      </c>
      <c r="F243" s="1412"/>
      <c r="G243" s="1412"/>
      <c r="H243" s="43" t="str">
        <f>EUconst_tCO2pa</f>
        <v>t CO2 / year</v>
      </c>
      <c r="I243" s="818" t="str">
        <f>IF(AND(ISNUMBER(I229),ISNUMBER(I234)),(I229*I234/1000)*$H238*$N237/$K237,"")</f>
        <v/>
      </c>
      <c r="J243" s="818" t="str">
        <f>IF(AND(ISNUMBER(J229),ISNUMBER(J234)),(J229*J234/1000)*$H238*$N237/$K237,"")</f>
        <v/>
      </c>
      <c r="K243" s="818" t="str">
        <f>IF(AND(ISNUMBER(K229),ISNUMBER(K234)),(K229*K234/1000)*$H238*$N237/$K237,"")</f>
        <v/>
      </c>
      <c r="L243" s="818" t="str">
        <f>IF(AND(ISNUMBER(L229),ISNUMBER(L234)),(L229*L234/1000)*$H238*$N237/$K237,"")</f>
        <v/>
      </c>
      <c r="M243" s="818" t="str">
        <f>IF(AND(ISNUMBER(M229),ISNUMBER(M234)),(M229*M234/1000)*$H238*$N237/$K237,"")</f>
        <v/>
      </c>
      <c r="N243" s="17"/>
      <c r="O243" s="8"/>
      <c r="X243" s="815"/>
    </row>
    <row r="244" spans="2:24" x14ac:dyDescent="0.25">
      <c r="B244" s="17"/>
      <c r="C244" s="17"/>
      <c r="D244" s="17"/>
      <c r="E244" s="17"/>
      <c r="F244" s="17"/>
      <c r="G244" s="17"/>
      <c r="H244" s="17"/>
      <c r="I244" s="17"/>
      <c r="J244" s="17"/>
      <c r="K244" s="17"/>
      <c r="L244" s="17"/>
      <c r="M244" s="17"/>
      <c r="N244" s="17"/>
      <c r="O244" s="8"/>
      <c r="X244" s="815"/>
    </row>
    <row r="245" spans="2:24" x14ac:dyDescent="0.25">
      <c r="B245" s="8"/>
      <c r="C245" s="8"/>
      <c r="D245" s="15" t="s">
        <v>339</v>
      </c>
      <c r="E245" s="1165" t="str">
        <f>Translations!$B$479</f>
        <v>Process emissions calculated taking into account the correction for waste gases (=d-i)</v>
      </c>
      <c r="F245" s="1176"/>
      <c r="G245" s="1176"/>
      <c r="H245" s="1176"/>
      <c r="I245" s="1176"/>
      <c r="J245" s="1176"/>
      <c r="K245" s="1176"/>
      <c r="L245" s="1176"/>
      <c r="M245" s="1176"/>
      <c r="N245" s="1176"/>
      <c r="O245" s="8"/>
      <c r="P245" s="9"/>
      <c r="X245" s="815"/>
    </row>
    <row r="246" spans="2:24" x14ac:dyDescent="0.25">
      <c r="B246" s="8"/>
      <c r="C246" s="8"/>
      <c r="D246" s="17"/>
      <c r="E246" s="1378" t="str">
        <f>Translations!$B$480</f>
        <v>This is the final result of this tool. The values displayed here should be entered in sheet G for the relevant process emissions sub-installation.</v>
      </c>
      <c r="F246" s="1168"/>
      <c r="G246" s="1168"/>
      <c r="H246" s="1168"/>
      <c r="I246" s="1168"/>
      <c r="J246" s="1168"/>
      <c r="K246" s="1168"/>
      <c r="L246" s="1168"/>
      <c r="M246" s="1168"/>
      <c r="N246" s="1168"/>
      <c r="O246" s="8"/>
      <c r="P246" s="9"/>
      <c r="X246" s="815"/>
    </row>
    <row r="247" spans="2:24" x14ac:dyDescent="0.25">
      <c r="B247" s="8"/>
      <c r="C247" s="8"/>
      <c r="D247" s="17"/>
      <c r="E247" s="1223" t="str">
        <f>Translations!$B$429</f>
        <v>Calculation results can only be considered correct if complete and consistent data is reported in sections above.</v>
      </c>
      <c r="F247" s="1176"/>
      <c r="G247" s="1176"/>
      <c r="H247" s="1176"/>
      <c r="I247" s="1176"/>
      <c r="J247" s="1176"/>
      <c r="K247" s="1176"/>
      <c r="L247" s="1176"/>
      <c r="M247" s="1176"/>
      <c r="N247" s="1176"/>
      <c r="O247" s="8"/>
      <c r="P247" s="9"/>
      <c r="X247" s="815"/>
    </row>
    <row r="248" spans="2:24" x14ac:dyDescent="0.25">
      <c r="B248" s="8"/>
      <c r="C248" s="8"/>
      <c r="D248" s="17"/>
      <c r="E248" s="1223" t="str">
        <f>Translations!$B$481</f>
        <v>In case the result is negative, it is set to zero.</v>
      </c>
      <c r="F248" s="1176"/>
      <c r="G248" s="1176"/>
      <c r="H248" s="1176"/>
      <c r="I248" s="1176"/>
      <c r="J248" s="1176"/>
      <c r="K248" s="1176"/>
      <c r="L248" s="1176"/>
      <c r="M248" s="1176"/>
      <c r="N248" s="1176"/>
      <c r="O248" s="8"/>
      <c r="P248" s="9"/>
      <c r="X248" s="815"/>
    </row>
    <row r="249" spans="2:24" x14ac:dyDescent="0.25">
      <c r="B249" s="17"/>
      <c r="C249" s="17"/>
      <c r="D249" s="15"/>
      <c r="E249" s="78"/>
      <c r="F249" s="78"/>
      <c r="G249" s="78"/>
      <c r="H249" s="24" t="str">
        <f>EUconst_Unit</f>
        <v>Unit</v>
      </c>
      <c r="I249" s="128">
        <f>I$309</f>
        <v>2019</v>
      </c>
      <c r="J249" s="128">
        <f>J$309</f>
        <v>2020</v>
      </c>
      <c r="K249" s="128">
        <f>K$309</f>
        <v>2021</v>
      </c>
      <c r="L249" s="128">
        <f>L$309</f>
        <v>2022</v>
      </c>
      <c r="M249" s="128">
        <f>M$309</f>
        <v>2023</v>
      </c>
      <c r="N249" s="17"/>
      <c r="O249" s="8"/>
      <c r="X249" s="815"/>
    </row>
    <row r="250" spans="2:24" x14ac:dyDescent="0.25">
      <c r="B250" s="17"/>
      <c r="C250" s="17"/>
      <c r="D250" s="17"/>
      <c r="E250" s="1412" t="str">
        <f>Translations!$B$482</f>
        <v>Result of waste gas tool:</v>
      </c>
      <c r="F250" s="1412"/>
      <c r="G250" s="1412"/>
      <c r="H250" s="217" t="str">
        <f>EUconst_tCO2pa</f>
        <v>t CO2 / year</v>
      </c>
      <c r="I250" s="818" t="str">
        <f>IF(ISNUMBER(I243),IF((IF(ISNUMBER(I216),I216,0)-SUM(I243))&lt;0,0,IF(ISNUMBER(I216),I216,0)-SUM(I243)),"")</f>
        <v/>
      </c>
      <c r="J250" s="818" t="str">
        <f>IF(ISNUMBER(J243),IF((IF(ISNUMBER(J216),J216,0)-SUM(J243))&lt;0,0,IF(ISNUMBER(J216),J216,0)-SUM(J243)),"")</f>
        <v/>
      </c>
      <c r="K250" s="818" t="str">
        <f>IF(ISNUMBER(K243),IF((IF(ISNUMBER(K216),K216,0)-SUM(K243))&lt;0,0,IF(ISNUMBER(K216),K216,0)-SUM(K243)),"")</f>
        <v/>
      </c>
      <c r="L250" s="818" t="str">
        <f>IF(ISNUMBER(L243),IF((IF(ISNUMBER(L216),L216,0)-SUM(L243))&lt;0,0,IF(ISNUMBER(L216),L216,0)-SUM(L243)),"")</f>
        <v/>
      </c>
      <c r="M250" s="818" t="str">
        <f>IF(ISNUMBER(M243),IF((IF(ISNUMBER(M216),M216,0)-SUM(M243))&lt;0,0,IF(ISNUMBER(M216),M216,0)-SUM(M243)),"")</f>
        <v/>
      </c>
      <c r="N250" s="17"/>
      <c r="O250" s="8"/>
      <c r="X250" s="815"/>
    </row>
    <row r="251" spans="2:24" x14ac:dyDescent="0.25">
      <c r="B251" s="17"/>
      <c r="C251" s="17"/>
      <c r="D251" s="17"/>
      <c r="E251" s="17"/>
      <c r="F251" s="17"/>
      <c r="G251" s="17"/>
      <c r="H251" s="17"/>
      <c r="I251" s="17"/>
      <c r="J251" s="17"/>
      <c r="K251" s="17"/>
      <c r="L251" s="17"/>
      <c r="M251" s="17"/>
      <c r="N251" s="17"/>
      <c r="O251" s="8"/>
      <c r="X251" s="815"/>
    </row>
    <row r="252" spans="2:24" ht="5.0999999999999996" customHeight="1" x14ac:dyDescent="0.25">
      <c r="B252" s="8"/>
      <c r="C252" s="8"/>
      <c r="D252" s="8"/>
      <c r="E252" s="8"/>
      <c r="F252" s="8"/>
      <c r="G252" s="8"/>
      <c r="H252" s="8"/>
      <c r="I252" s="8"/>
      <c r="J252" s="8"/>
      <c r="K252" s="8"/>
      <c r="L252" s="8"/>
      <c r="M252" s="8"/>
      <c r="N252" s="8"/>
      <c r="O252" s="8"/>
      <c r="P252" s="9"/>
      <c r="X252" s="815"/>
    </row>
    <row r="253" spans="2:24" ht="13.8" x14ac:dyDescent="0.25">
      <c r="B253" s="8"/>
      <c r="C253" s="19">
        <v>2</v>
      </c>
      <c r="D253" s="1234" t="str">
        <f>Translations!$B$448</f>
        <v>Tool for calculating the amount of process emissions if waste gases are produced outside product benchmarks</v>
      </c>
      <c r="E253" s="1176"/>
      <c r="F253" s="1176"/>
      <c r="G253" s="1176"/>
      <c r="H253" s="1176"/>
      <c r="I253" s="1176"/>
      <c r="J253" s="1176"/>
      <c r="K253" s="1176"/>
      <c r="L253" s="1176"/>
      <c r="M253" s="1176"/>
      <c r="N253" s="1176"/>
      <c r="O253" s="8"/>
      <c r="P253" s="9"/>
      <c r="X253" s="815"/>
    </row>
    <row r="254" spans="2:24" ht="5.0999999999999996" customHeight="1" x14ac:dyDescent="0.25">
      <c r="B254" s="8"/>
      <c r="C254" s="8"/>
      <c r="D254" s="8"/>
      <c r="E254" s="8"/>
      <c r="F254" s="8"/>
      <c r="G254" s="8"/>
      <c r="H254" s="8"/>
      <c r="I254" s="8"/>
      <c r="J254" s="8"/>
      <c r="K254" s="8"/>
      <c r="L254" s="8"/>
      <c r="M254" s="8"/>
      <c r="N254" s="8"/>
      <c r="O254" s="8"/>
      <c r="P254" s="9"/>
      <c r="X254" s="815"/>
    </row>
    <row r="255" spans="2:24" ht="14.4" customHeight="1" x14ac:dyDescent="0.25">
      <c r="B255" s="17"/>
      <c r="C255" s="17"/>
      <c r="D255" s="17"/>
      <c r="E255" s="1432" t="s">
        <v>340</v>
      </c>
      <c r="F255" s="1432"/>
      <c r="G255" s="1432"/>
      <c r="H255" s="1432"/>
      <c r="I255" s="1432"/>
      <c r="J255" s="1432"/>
      <c r="K255" s="1432"/>
      <c r="L255" s="1432"/>
      <c r="M255" s="1432"/>
      <c r="N255" s="1432"/>
      <c r="O255" s="8"/>
      <c r="P255" s="145" t="s">
        <v>334</v>
      </c>
      <c r="Q255" s="372" t="str">
        <f>"#"&amp;ADDRESS(ROW(C199),COLUMN(C199))</f>
        <v>#$C$199</v>
      </c>
      <c r="X255" s="815"/>
    </row>
    <row r="256" spans="2:24" ht="5.0999999999999996" customHeight="1" x14ac:dyDescent="0.25">
      <c r="B256" s="8"/>
      <c r="C256" s="8"/>
      <c r="D256" s="8"/>
      <c r="E256" s="8"/>
      <c r="F256" s="8"/>
      <c r="G256" s="8"/>
      <c r="H256" s="8"/>
      <c r="I256" s="8"/>
      <c r="J256" s="8"/>
      <c r="K256" s="8"/>
      <c r="L256" s="8"/>
      <c r="M256" s="8"/>
      <c r="N256" s="8"/>
      <c r="O256" s="8"/>
      <c r="P256" s="9"/>
      <c r="X256" s="815"/>
    </row>
    <row r="257" spans="2:24" ht="13.8" x14ac:dyDescent="0.25">
      <c r="B257" s="8"/>
      <c r="C257" s="8"/>
      <c r="D257" s="15" t="s">
        <v>190</v>
      </c>
      <c r="E257" s="1165" t="str">
        <f>Translations!$B$449</f>
        <v>This section relates to the process emissions sub-installation of this type:</v>
      </c>
      <c r="F257" s="1165"/>
      <c r="G257" s="1165"/>
      <c r="H257" s="1165"/>
      <c r="I257" s="1165"/>
      <c r="J257" s="1165"/>
      <c r="K257" s="1425"/>
      <c r="L257" s="1420"/>
      <c r="M257" s="1421"/>
      <c r="N257" s="1422"/>
      <c r="O257" s="8"/>
      <c r="P257" s="9"/>
      <c r="X257" s="285" t="b">
        <f>X234</f>
        <v>0</v>
      </c>
    </row>
    <row r="258" spans="2:24" ht="5.0999999999999996" customHeight="1" x14ac:dyDescent="0.25">
      <c r="B258" s="8"/>
      <c r="C258" s="8"/>
      <c r="D258" s="8"/>
      <c r="E258" s="8"/>
      <c r="F258" s="8"/>
      <c r="G258" s="8"/>
      <c r="H258" s="8"/>
      <c r="I258" s="8"/>
      <c r="J258" s="8"/>
      <c r="K258" s="8"/>
      <c r="L258" s="8"/>
      <c r="M258" s="8"/>
      <c r="N258" s="8"/>
      <c r="O258" s="8"/>
      <c r="P258" s="9"/>
      <c r="X258" s="815"/>
    </row>
    <row r="259" spans="2:24" ht="13.8" x14ac:dyDescent="0.25">
      <c r="B259" s="8"/>
      <c r="C259" s="8"/>
      <c r="D259" s="15" t="s">
        <v>192</v>
      </c>
      <c r="E259" s="1165" t="str">
        <f>Translations!$B$452</f>
        <v>Please confirm if waste gases are relevant for this sub-installation:</v>
      </c>
      <c r="F259" s="1165"/>
      <c r="G259" s="1165"/>
      <c r="H259" s="1165"/>
      <c r="I259" s="1165"/>
      <c r="J259" s="1165"/>
      <c r="K259" s="1425"/>
      <c r="L259" s="1417"/>
      <c r="M259" s="1418"/>
      <c r="N259" s="1419"/>
      <c r="O259" s="8"/>
      <c r="P259" s="9"/>
      <c r="X259" s="285" t="b">
        <f>X257</f>
        <v>0</v>
      </c>
    </row>
    <row r="260" spans="2:24" ht="5.0999999999999996" customHeight="1" x14ac:dyDescent="0.25">
      <c r="B260" s="8"/>
      <c r="C260" s="8"/>
      <c r="D260" s="8"/>
      <c r="E260" s="8"/>
      <c r="F260" s="8"/>
      <c r="G260" s="8"/>
      <c r="H260" s="8"/>
      <c r="I260" s="8"/>
      <c r="J260" s="8"/>
      <c r="K260" s="8"/>
      <c r="L260" s="8"/>
      <c r="M260" s="8"/>
      <c r="N260" s="8"/>
      <c r="O260" s="8"/>
      <c r="P260" s="9"/>
      <c r="X260" s="815"/>
    </row>
    <row r="261" spans="2:24" x14ac:dyDescent="0.25">
      <c r="B261" s="8"/>
      <c r="C261" s="8"/>
      <c r="D261" s="15" t="s">
        <v>195</v>
      </c>
      <c r="E261" s="1165" t="str">
        <f>Translations!$B$453</f>
        <v>Type of waste gas:</v>
      </c>
      <c r="F261" s="1176"/>
      <c r="G261" s="1260"/>
      <c r="H261" s="1364"/>
      <c r="I261" s="1423"/>
      <c r="J261" s="1423"/>
      <c r="K261" s="1423"/>
      <c r="L261" s="1423"/>
      <c r="M261" s="1423"/>
      <c r="N261" s="1424"/>
      <c r="O261" s="8"/>
      <c r="P261" s="9"/>
      <c r="X261" s="285" t="b">
        <f>X259</f>
        <v>0</v>
      </c>
    </row>
    <row r="262" spans="2:24" ht="5.0999999999999996" customHeight="1" x14ac:dyDescent="0.25">
      <c r="B262" s="8"/>
      <c r="C262" s="8"/>
      <c r="D262" s="8"/>
      <c r="E262" s="8"/>
      <c r="F262" s="8"/>
      <c r="G262" s="8"/>
      <c r="H262" s="8"/>
      <c r="I262" s="8"/>
      <c r="J262" s="8"/>
      <c r="K262" s="8"/>
      <c r="L262" s="8"/>
      <c r="M262" s="8"/>
      <c r="N262" s="8"/>
      <c r="O262" s="8"/>
      <c r="P262" s="9"/>
      <c r="X262" s="815"/>
    </row>
    <row r="263" spans="2:24" x14ac:dyDescent="0.25">
      <c r="B263" s="8"/>
      <c r="C263" s="8"/>
      <c r="D263" s="15"/>
      <c r="E263" s="1426"/>
      <c r="F263" s="1427"/>
      <c r="G263" s="1427"/>
      <c r="H263" s="1427"/>
      <c r="I263" s="1427"/>
      <c r="J263" s="1427"/>
      <c r="K263" s="1427"/>
      <c r="L263" s="1427"/>
      <c r="M263" s="1427"/>
      <c r="N263" s="1428"/>
      <c r="O263" s="8"/>
      <c r="P263" s="9"/>
      <c r="X263" s="285" t="b">
        <f>X261</f>
        <v>0</v>
      </c>
    </row>
    <row r="264" spans="2:24" x14ac:dyDescent="0.25">
      <c r="B264" s="8"/>
      <c r="C264" s="8"/>
      <c r="D264" s="15"/>
      <c r="E264" s="1429"/>
      <c r="F264" s="1430"/>
      <c r="G264" s="1430"/>
      <c r="H264" s="1430"/>
      <c r="I264" s="1430"/>
      <c r="J264" s="1430"/>
      <c r="K264" s="1430"/>
      <c r="L264" s="1430"/>
      <c r="M264" s="1430"/>
      <c r="N264" s="1431"/>
      <c r="O264" s="8"/>
      <c r="P264" s="9"/>
      <c r="X264" s="285" t="b">
        <f>X263</f>
        <v>0</v>
      </c>
    </row>
    <row r="265" spans="2:24" ht="5.0999999999999996" customHeight="1" x14ac:dyDescent="0.25">
      <c r="B265" s="8"/>
      <c r="C265" s="8"/>
      <c r="D265" s="8"/>
      <c r="E265" s="8"/>
      <c r="F265" s="8"/>
      <c r="G265" s="8"/>
      <c r="H265" s="8"/>
      <c r="I265" s="8"/>
      <c r="J265" s="8"/>
      <c r="K265" s="8"/>
      <c r="L265" s="8"/>
      <c r="M265" s="8"/>
      <c r="N265" s="8"/>
      <c r="O265" s="8"/>
      <c r="P265" s="9"/>
      <c r="X265" s="815"/>
    </row>
    <row r="266" spans="2:24" x14ac:dyDescent="0.25">
      <c r="B266" s="8"/>
      <c r="C266" s="8"/>
      <c r="D266" s="15" t="s">
        <v>197</v>
      </c>
      <c r="E266" s="1165" t="str">
        <f>Translations!$B$456</f>
        <v>Total amount of process emissions before subtracting an equivalent for the technically usable energy content:</v>
      </c>
      <c r="F266" s="1176"/>
      <c r="G266" s="1176"/>
      <c r="H266" s="1176"/>
      <c r="I266" s="1176"/>
      <c r="J266" s="1176"/>
      <c r="K266" s="1176"/>
      <c r="L266" s="1176"/>
      <c r="M266" s="1176"/>
      <c r="N266" s="1176"/>
      <c r="O266" s="8"/>
      <c r="P266" s="9"/>
      <c r="X266" s="815"/>
    </row>
    <row r="267" spans="2:24" ht="5.0999999999999996" customHeight="1" x14ac:dyDescent="0.25">
      <c r="B267" s="8"/>
      <c r="C267" s="8"/>
      <c r="D267" s="8"/>
      <c r="E267" s="8"/>
      <c r="F267" s="8"/>
      <c r="G267" s="8"/>
      <c r="H267" s="8"/>
      <c r="I267" s="8"/>
      <c r="J267" s="8"/>
      <c r="K267" s="8"/>
      <c r="L267" s="8"/>
      <c r="M267" s="8"/>
      <c r="N267" s="8"/>
      <c r="O267" s="8"/>
      <c r="P267" s="9"/>
      <c r="X267" s="815"/>
    </row>
    <row r="268" spans="2:24" x14ac:dyDescent="0.25">
      <c r="B268" s="17"/>
      <c r="C268" s="17"/>
      <c r="D268" s="15"/>
      <c r="E268" s="22"/>
      <c r="F268" s="78"/>
      <c r="G268" s="78"/>
      <c r="H268" s="24" t="str">
        <f>EUconst_Unit</f>
        <v>Unit</v>
      </c>
      <c r="I268" s="128">
        <f>I$309</f>
        <v>2019</v>
      </c>
      <c r="J268" s="128">
        <f>J$309</f>
        <v>2020</v>
      </c>
      <c r="K268" s="128">
        <f>K$309</f>
        <v>2021</v>
      </c>
      <c r="L268" s="128">
        <f>L$309</f>
        <v>2022</v>
      </c>
      <c r="M268" s="128">
        <f>M$309</f>
        <v>2023</v>
      </c>
      <c r="N268" s="8"/>
      <c r="O268" s="8"/>
      <c r="X268" s="815"/>
    </row>
    <row r="269" spans="2:24" x14ac:dyDescent="0.25">
      <c r="B269" s="17"/>
      <c r="C269" s="17"/>
      <c r="D269" s="17"/>
      <c r="E269" s="1412" t="str">
        <f>Translations!$B$458</f>
        <v>Uncorrected process emissions</v>
      </c>
      <c r="F269" s="1412"/>
      <c r="G269" s="1412"/>
      <c r="H269" s="43" t="str">
        <f>EUconst_tCO2epa</f>
        <v>t CO2e/year</v>
      </c>
      <c r="I269" s="293"/>
      <c r="J269" s="293"/>
      <c r="K269" s="293"/>
      <c r="L269" s="293"/>
      <c r="M269" s="293"/>
      <c r="N269" s="8"/>
      <c r="O269" s="8"/>
      <c r="X269" s="285" t="b">
        <f>X264</f>
        <v>0</v>
      </c>
    </row>
    <row r="270" spans="2:24" ht="5.0999999999999996" customHeight="1" x14ac:dyDescent="0.25">
      <c r="B270" s="8"/>
      <c r="C270" s="8"/>
      <c r="D270" s="8"/>
      <c r="E270" s="8"/>
      <c r="F270" s="8"/>
      <c r="G270" s="8"/>
      <c r="H270" s="8"/>
      <c r="I270" s="8"/>
      <c r="J270" s="8"/>
      <c r="K270" s="8"/>
      <c r="L270" s="8"/>
      <c r="M270" s="8"/>
      <c r="N270" s="8"/>
      <c r="O270" s="8"/>
      <c r="P270" s="9"/>
      <c r="X270" s="815"/>
    </row>
    <row r="271" spans="2:24" x14ac:dyDescent="0.25">
      <c r="B271" s="8"/>
      <c r="C271" s="8"/>
      <c r="D271" s="15" t="s">
        <v>202</v>
      </c>
      <c r="E271" s="1165" t="str">
        <f>Translations!$B$459</f>
        <v>Estimation of waste gas emissions</v>
      </c>
      <c r="F271" s="1176"/>
      <c r="G271" s="1176"/>
      <c r="H271" s="1176"/>
      <c r="I271" s="1176"/>
      <c r="J271" s="1176"/>
      <c r="K271" s="1176"/>
      <c r="L271" s="1176"/>
      <c r="M271" s="1176"/>
      <c r="N271" s="1176"/>
      <c r="O271" s="8"/>
      <c r="P271" s="9"/>
      <c r="X271" s="815"/>
    </row>
    <row r="272" spans="2:24" ht="5.0999999999999996" customHeight="1" x14ac:dyDescent="0.25">
      <c r="B272" s="8"/>
      <c r="C272" s="8"/>
      <c r="D272" s="8"/>
      <c r="E272" s="8"/>
      <c r="F272" s="8"/>
      <c r="G272" s="8"/>
      <c r="H272" s="8"/>
      <c r="I272" s="8"/>
      <c r="J272" s="8"/>
      <c r="K272" s="8"/>
      <c r="L272" s="8"/>
      <c r="M272" s="8"/>
      <c r="N272" s="8"/>
      <c r="O272" s="8"/>
      <c r="P272" s="9"/>
      <c r="X272" s="815"/>
    </row>
    <row r="273" spans="2:24" x14ac:dyDescent="0.25">
      <c r="B273" s="17"/>
      <c r="C273" s="17"/>
      <c r="D273" s="15"/>
      <c r="E273" s="1259" t="str">
        <f>Translations!$B$462</f>
        <v>Emissions from waste gases</v>
      </c>
      <c r="F273" s="1212"/>
      <c r="G273" s="1212"/>
      <c r="H273" s="24" t="str">
        <f>EUconst_Unit</f>
        <v>Unit</v>
      </c>
      <c r="I273" s="128">
        <f>I$309</f>
        <v>2019</v>
      </c>
      <c r="J273" s="128">
        <f>J$309</f>
        <v>2020</v>
      </c>
      <c r="K273" s="128">
        <f>K$309</f>
        <v>2021</v>
      </c>
      <c r="L273" s="128">
        <f>L$309</f>
        <v>2022</v>
      </c>
      <c r="M273" s="128">
        <f>M$309</f>
        <v>2023</v>
      </c>
      <c r="N273" s="8"/>
      <c r="O273" s="8"/>
      <c r="X273" s="815"/>
    </row>
    <row r="274" spans="2:24" x14ac:dyDescent="0.25">
      <c r="B274" s="17"/>
      <c r="C274" s="17"/>
      <c r="D274" s="17"/>
      <c r="E274" s="1412" t="str">
        <f>Translations!$B$463</f>
        <v>outside product benchmarks</v>
      </c>
      <c r="F274" s="1412"/>
      <c r="G274" s="1412"/>
      <c r="H274" s="43" t="str">
        <f>EUconst_tCO2epa</f>
        <v>t CO2e/year</v>
      </c>
      <c r="I274" s="1065"/>
      <c r="J274" s="1065"/>
      <c r="K274" s="1065"/>
      <c r="L274" s="1065"/>
      <c r="M274" s="1065"/>
      <c r="N274" s="8"/>
      <c r="O274" s="8"/>
      <c r="X274" s="285" t="b">
        <f>X269</f>
        <v>0</v>
      </c>
    </row>
    <row r="275" spans="2:24" ht="5.0999999999999996" customHeight="1" x14ac:dyDescent="0.25">
      <c r="B275" s="8"/>
      <c r="C275" s="8"/>
      <c r="D275" s="8"/>
      <c r="E275" s="8"/>
      <c r="F275" s="8"/>
      <c r="G275" s="8"/>
      <c r="H275" s="8"/>
      <c r="I275" s="8"/>
      <c r="J275" s="8"/>
      <c r="K275" s="8"/>
      <c r="L275" s="8"/>
      <c r="M275" s="8"/>
      <c r="N275" s="8"/>
      <c r="O275" s="8"/>
      <c r="P275" s="9"/>
      <c r="X275" s="815"/>
    </row>
    <row r="276" spans="2:24" x14ac:dyDescent="0.25">
      <c r="B276" s="8"/>
      <c r="C276" s="8"/>
      <c r="D276" s="15" t="s">
        <v>199</v>
      </c>
      <c r="E276" s="1165" t="str">
        <f>Translations!$B$464</f>
        <v>Amount of waste gas produced outside product benchmark sub-installations, including for exports:</v>
      </c>
      <c r="F276" s="1176"/>
      <c r="G276" s="1176"/>
      <c r="H276" s="1176"/>
      <c r="I276" s="1176"/>
      <c r="J276" s="1176"/>
      <c r="K276" s="1176"/>
      <c r="L276" s="1176"/>
      <c r="M276" s="1176"/>
      <c r="N276" s="1176"/>
      <c r="O276" s="8"/>
      <c r="P276" s="9"/>
      <c r="X276" s="815"/>
    </row>
    <row r="277" spans="2:24" ht="5.0999999999999996" customHeight="1" x14ac:dyDescent="0.25">
      <c r="B277" s="8"/>
      <c r="C277" s="8"/>
      <c r="D277" s="8"/>
      <c r="E277" s="8"/>
      <c r="F277" s="8"/>
      <c r="G277" s="8"/>
      <c r="H277" s="8"/>
      <c r="I277" s="8"/>
      <c r="J277" s="8"/>
      <c r="K277" s="8"/>
      <c r="L277" s="8"/>
      <c r="M277" s="8"/>
      <c r="N277" s="8"/>
      <c r="O277" s="8"/>
      <c r="P277" s="9"/>
      <c r="X277" s="815"/>
    </row>
    <row r="278" spans="2:24" x14ac:dyDescent="0.25">
      <c r="B278" s="17"/>
      <c r="C278" s="17"/>
      <c r="D278" s="15"/>
      <c r="E278" s="1259" t="str">
        <f>Translations!$B$467</f>
        <v>Amount of waste gas per year</v>
      </c>
      <c r="F278" s="1212"/>
      <c r="G278" s="1212"/>
      <c r="H278" s="24" t="str">
        <f>EUconst_Unit</f>
        <v>Unit</v>
      </c>
      <c r="I278" s="128">
        <f>I$309</f>
        <v>2019</v>
      </c>
      <c r="J278" s="128">
        <f>J$309</f>
        <v>2020</v>
      </c>
      <c r="K278" s="128">
        <f>K$309</f>
        <v>2021</v>
      </c>
      <c r="L278" s="128">
        <f>L$309</f>
        <v>2022</v>
      </c>
      <c r="M278" s="128">
        <f>M$309</f>
        <v>2023</v>
      </c>
      <c r="N278" s="8"/>
      <c r="O278" s="8"/>
      <c r="X278" s="815"/>
    </row>
    <row r="279" spans="2:24" x14ac:dyDescent="0.25">
      <c r="B279" s="17"/>
      <c r="C279" s="17"/>
      <c r="D279" s="17"/>
      <c r="E279" s="1412" t="str">
        <f>Translations!$B$463</f>
        <v>outside product benchmarks</v>
      </c>
      <c r="F279" s="1412"/>
      <c r="G279" s="1412"/>
      <c r="H279" s="819"/>
      <c r="I279" s="293"/>
      <c r="J279" s="293"/>
      <c r="K279" s="293"/>
      <c r="L279" s="293"/>
      <c r="M279" s="293"/>
      <c r="N279" s="8"/>
      <c r="O279" s="8"/>
      <c r="X279" s="285" t="b">
        <f>X274</f>
        <v>0</v>
      </c>
    </row>
    <row r="280" spans="2:24" ht="5.0999999999999996" customHeight="1" x14ac:dyDescent="0.25">
      <c r="B280" s="8"/>
      <c r="C280" s="8"/>
      <c r="D280" s="8"/>
      <c r="E280" s="8"/>
      <c r="F280" s="8"/>
      <c r="G280" s="8"/>
      <c r="H280" s="8"/>
      <c r="I280" s="8"/>
      <c r="J280" s="8"/>
      <c r="K280" s="8"/>
      <c r="L280" s="8"/>
      <c r="M280" s="8"/>
      <c r="N280" s="8"/>
      <c r="O280" s="8"/>
      <c r="P280" s="9"/>
      <c r="X280" s="815"/>
    </row>
    <row r="281" spans="2:24" x14ac:dyDescent="0.25">
      <c r="B281" s="8"/>
      <c r="C281" s="8"/>
      <c r="D281" s="15" t="s">
        <v>212</v>
      </c>
      <c r="E281" s="1165" t="str">
        <f>Translations!$B$468</f>
        <v>Net calorific value of the waste gas</v>
      </c>
      <c r="F281" s="1176"/>
      <c r="G281" s="1176"/>
      <c r="H281" s="1176"/>
      <c r="I281" s="1176"/>
      <c r="J281" s="1176"/>
      <c r="K281" s="1176"/>
      <c r="L281" s="1176"/>
      <c r="M281" s="1176"/>
      <c r="N281" s="1176"/>
      <c r="O281" s="8"/>
      <c r="P281" s="9"/>
      <c r="X281" s="815"/>
    </row>
    <row r="282" spans="2:24" x14ac:dyDescent="0.25">
      <c r="B282" s="17"/>
      <c r="C282" s="17"/>
      <c r="D282" s="15"/>
      <c r="E282" s="78"/>
      <c r="F282" s="78"/>
      <c r="G282" s="78"/>
      <c r="H282" s="24" t="str">
        <f>EUconst_Unit</f>
        <v>Unit</v>
      </c>
      <c r="I282" s="128">
        <f>I$309</f>
        <v>2019</v>
      </c>
      <c r="J282" s="128">
        <f>J$309</f>
        <v>2020</v>
      </c>
      <c r="K282" s="128">
        <f>K$309</f>
        <v>2021</v>
      </c>
      <c r="L282" s="128">
        <f>L$309</f>
        <v>2022</v>
      </c>
      <c r="M282" s="128">
        <f>M$309</f>
        <v>2023</v>
      </c>
      <c r="N282" s="8"/>
      <c r="O282" s="8"/>
      <c r="S282" s="28">
        <f>I282</f>
        <v>2019</v>
      </c>
      <c r="T282" s="28">
        <f>J282</f>
        <v>2020</v>
      </c>
      <c r="U282" s="28">
        <f>K282</f>
        <v>2021</v>
      </c>
      <c r="V282" s="28">
        <f>L282</f>
        <v>2022</v>
      </c>
      <c r="W282" s="28">
        <f>M282</f>
        <v>2023</v>
      </c>
      <c r="X282" s="815"/>
    </row>
    <row r="283" spans="2:24" ht="13.8" thickBot="1" x14ac:dyDescent="0.3">
      <c r="B283" s="17"/>
      <c r="C283" s="17"/>
      <c r="D283" s="17"/>
      <c r="E283" s="1412" t="str">
        <f>Translations!$B$470</f>
        <v>Net calorific value</v>
      </c>
      <c r="F283" s="1412"/>
      <c r="G283" s="1412"/>
      <c r="H283" s="820" t="str">
        <f>IF(ISBLANK(H279),EUconst_GJperUnit,INDEX(EUconst_GJperTorKNm3,MATCH(H279,EUconst_TonnesOrkNm3pa,0)))</f>
        <v>GJ / Unit</v>
      </c>
      <c r="I283" s="293"/>
      <c r="J283" s="293"/>
      <c r="K283" s="293"/>
      <c r="L283" s="293"/>
      <c r="M283" s="293"/>
      <c r="N283" s="8"/>
      <c r="O283" s="8"/>
      <c r="P283" s="626" t="str">
        <f>EUconst_CNTR_WGProduced &amp; C253</f>
        <v>WasteGasProd_2</v>
      </c>
      <c r="R283" s="416" t="s">
        <v>337</v>
      </c>
      <c r="S283" s="63" t="str">
        <f>IF(COUNT(I279,I283)&gt;0,I279*I283/1000,"")</f>
        <v/>
      </c>
      <c r="T283" s="63" t="str">
        <f>IF(COUNT(J279,J283)&gt;0,J279*J283/1000,"")</f>
        <v/>
      </c>
      <c r="U283" s="63" t="str">
        <f>IF(COUNT(K279,K283)&gt;0,K279*K283/1000,"")</f>
        <v/>
      </c>
      <c r="V283" s="63" t="str">
        <f>IF(COUNT(L279,L283)&gt;0,L279*L283/1000,"")</f>
        <v/>
      </c>
      <c r="W283" s="392" t="str">
        <f>IF(COUNT(M279,M283)&gt;0,M279*M283/1000,"")</f>
        <v/>
      </c>
      <c r="X283" s="286" t="b">
        <f>X279</f>
        <v>0</v>
      </c>
    </row>
    <row r="284" spans="2:24" ht="5.0999999999999996" customHeight="1" x14ac:dyDescent="0.25">
      <c r="B284" s="8"/>
      <c r="C284" s="8"/>
      <c r="D284" s="8"/>
      <c r="E284" s="8"/>
      <c r="F284" s="8"/>
      <c r="G284" s="8"/>
      <c r="H284" s="8"/>
      <c r="I284" s="8"/>
      <c r="J284" s="8"/>
      <c r="K284" s="8"/>
      <c r="L284" s="8"/>
      <c r="M284" s="8"/>
      <c r="N284" s="8"/>
      <c r="O284" s="8"/>
      <c r="P284" s="9"/>
    </row>
    <row r="285" spans="2:24" x14ac:dyDescent="0.25">
      <c r="B285" s="8"/>
      <c r="C285" s="8"/>
      <c r="D285" s="15" t="s">
        <v>218</v>
      </c>
      <c r="E285" s="1165" t="str">
        <f>Translations!$B$471</f>
        <v>Necessary assumptions:</v>
      </c>
      <c r="F285" s="1176"/>
      <c r="G285" s="1176"/>
      <c r="H285" s="1176"/>
      <c r="I285" s="1176"/>
      <c r="J285" s="1176"/>
      <c r="K285" s="1176"/>
      <c r="L285" s="1176"/>
      <c r="M285" s="1176"/>
      <c r="N285" s="1176"/>
      <c r="O285" s="8"/>
      <c r="P285" s="9"/>
    </row>
    <row r="286" spans="2:24" ht="5.0999999999999996" customHeight="1" x14ac:dyDescent="0.25">
      <c r="B286" s="8"/>
      <c r="C286" s="8"/>
      <c r="D286" s="8"/>
      <c r="E286" s="8"/>
      <c r="F286" s="8"/>
      <c r="G286" s="8"/>
      <c r="H286" s="8"/>
      <c r="I286" s="8"/>
      <c r="J286" s="8"/>
      <c r="K286" s="8"/>
      <c r="L286" s="8"/>
      <c r="M286" s="8"/>
      <c r="N286" s="8"/>
      <c r="O286" s="8"/>
      <c r="P286" s="9"/>
    </row>
    <row r="287" spans="2:24" x14ac:dyDescent="0.25">
      <c r="B287" s="17"/>
      <c r="C287" s="17"/>
      <c r="D287" s="17"/>
      <c r="E287" s="1414" t="str">
        <f>Translations!$B$472</f>
        <v>Reference efficiency for production of electricity:</v>
      </c>
      <c r="F287" s="1414"/>
      <c r="G287" s="1414"/>
      <c r="H287" s="1414"/>
      <c r="I287" s="821"/>
      <c r="J287" s="821" t="str">
        <f>Translations!$B$473</f>
        <v>using natural gas:</v>
      </c>
      <c r="K287" s="1066">
        <v>0.52500000000000002</v>
      </c>
      <c r="L287" s="822"/>
      <c r="M287" s="821" t="str">
        <f>Translations!$B$474</f>
        <v>using waste gas:</v>
      </c>
      <c r="N287" s="1066">
        <v>0.35</v>
      </c>
      <c r="O287" s="8"/>
    </row>
    <row r="288" spans="2:24" x14ac:dyDescent="0.25">
      <c r="B288" s="17"/>
      <c r="C288" s="17"/>
      <c r="D288" s="17"/>
      <c r="E288" s="1415" t="str">
        <f>Translations!$B$475</f>
        <v>Emissions factor for natural gas:</v>
      </c>
      <c r="F288" s="1415"/>
      <c r="G288" s="1416"/>
      <c r="H288" s="370">
        <f>EUconst_NGEFvalue</f>
        <v>56.1</v>
      </c>
      <c r="I288" s="822" t="str">
        <f>EUconst_tCO2pTJ</f>
        <v>t CO2 / TJ</v>
      </c>
      <c r="J288" s="17"/>
      <c r="K288" s="17"/>
      <c r="L288" s="17"/>
      <c r="M288" s="17"/>
      <c r="N288" s="17"/>
      <c r="O288" s="8"/>
    </row>
    <row r="289" spans="1:24" ht="5.0999999999999996" customHeight="1" x14ac:dyDescent="0.25">
      <c r="B289" s="8"/>
      <c r="C289" s="8"/>
      <c r="D289" s="8"/>
      <c r="E289" s="8"/>
      <c r="F289" s="8"/>
      <c r="G289" s="8"/>
      <c r="H289" s="8"/>
      <c r="I289" s="8"/>
      <c r="J289" s="8"/>
      <c r="K289" s="8"/>
      <c r="L289" s="8"/>
      <c r="M289" s="8"/>
      <c r="N289" s="8"/>
      <c r="O289" s="8"/>
      <c r="P289" s="9"/>
    </row>
    <row r="290" spans="1:24" x14ac:dyDescent="0.25">
      <c r="B290" s="8"/>
      <c r="C290" s="8"/>
      <c r="D290" s="15" t="s">
        <v>225</v>
      </c>
      <c r="E290" s="1165" t="str">
        <f>Translations!$B$476</f>
        <v>Emissions to be subtracted for taking into account the technically usable energy content:</v>
      </c>
      <c r="F290" s="1176"/>
      <c r="G290" s="1176"/>
      <c r="H290" s="1176"/>
      <c r="I290" s="1176"/>
      <c r="J290" s="1176"/>
      <c r="K290" s="1176"/>
      <c r="L290" s="1176"/>
      <c r="M290" s="1176"/>
      <c r="N290" s="1176"/>
      <c r="O290" s="8"/>
      <c r="P290" s="9"/>
    </row>
    <row r="291" spans="1:24" ht="5.0999999999999996" customHeight="1" x14ac:dyDescent="0.25">
      <c r="B291" s="8"/>
      <c r="C291" s="8"/>
      <c r="D291" s="8"/>
      <c r="E291" s="8"/>
      <c r="F291" s="8"/>
      <c r="G291" s="8"/>
      <c r="H291" s="8"/>
      <c r="I291" s="8"/>
      <c r="J291" s="8"/>
      <c r="K291" s="8"/>
      <c r="L291" s="8"/>
      <c r="M291" s="8"/>
      <c r="N291" s="8"/>
      <c r="O291" s="8"/>
      <c r="P291" s="9"/>
    </row>
    <row r="292" spans="1:24" x14ac:dyDescent="0.25">
      <c r="B292" s="17"/>
      <c r="C292" s="17"/>
      <c r="D292" s="15"/>
      <c r="E292" s="1259" t="str">
        <f>Translations!$B$478</f>
        <v>Deduction for waste gases</v>
      </c>
      <c r="F292" s="1212"/>
      <c r="G292" s="1212"/>
      <c r="H292" s="24" t="str">
        <f>EUconst_Unit</f>
        <v>Unit</v>
      </c>
      <c r="I292" s="128">
        <f>I$309</f>
        <v>2019</v>
      </c>
      <c r="J292" s="128">
        <f>J$309</f>
        <v>2020</v>
      </c>
      <c r="K292" s="128">
        <f>K$309</f>
        <v>2021</v>
      </c>
      <c r="L292" s="128">
        <f>L$309</f>
        <v>2022</v>
      </c>
      <c r="M292" s="128">
        <f>M$309</f>
        <v>2023</v>
      </c>
      <c r="N292" s="8"/>
      <c r="O292" s="8"/>
    </row>
    <row r="293" spans="1:24" x14ac:dyDescent="0.25">
      <c r="B293" s="17"/>
      <c r="C293" s="17"/>
      <c r="D293" s="17"/>
      <c r="E293" s="1412" t="str">
        <f>Translations!$B$463</f>
        <v>outside product benchmarks</v>
      </c>
      <c r="F293" s="1412"/>
      <c r="G293" s="1412"/>
      <c r="H293" s="43" t="str">
        <f>EUconst_tCO2pa</f>
        <v>t CO2 / year</v>
      </c>
      <c r="I293" s="818" t="str">
        <f>IF(AND(ISNUMBER(I279),ISNUMBER(I283)),(I279*I283/1000)*$H288*$N287/$K287,"")</f>
        <v/>
      </c>
      <c r="J293" s="818" t="str">
        <f>IF(AND(ISNUMBER(J279),ISNUMBER(J283)),(J279*J283/1000)*$H288*$N287/$K287,"")</f>
        <v/>
      </c>
      <c r="K293" s="818" t="str">
        <f>IF(AND(ISNUMBER(K279),ISNUMBER(K283)),(K279*K283/1000)*$H288*$N287/$K287,"")</f>
        <v/>
      </c>
      <c r="L293" s="818" t="str">
        <f>IF(AND(ISNUMBER(L279),ISNUMBER(L283)),(L279*L283/1000)*$H288*$N287/$K287,"")</f>
        <v/>
      </c>
      <c r="M293" s="818" t="str">
        <f>IF(AND(ISNUMBER(M279),ISNUMBER(M283)),(M279*M283/1000)*$H288*$N287/$K287,"")</f>
        <v/>
      </c>
      <c r="N293" s="8"/>
      <c r="O293" s="8"/>
    </row>
    <row r="294" spans="1:24" ht="5.0999999999999996" customHeight="1" x14ac:dyDescent="0.25">
      <c r="B294" s="8"/>
      <c r="C294" s="8"/>
      <c r="D294" s="8"/>
      <c r="E294" s="8"/>
      <c r="F294" s="8"/>
      <c r="G294" s="8"/>
      <c r="H294" s="8"/>
      <c r="I294" s="8"/>
      <c r="J294" s="8"/>
      <c r="K294" s="8"/>
      <c r="L294" s="8"/>
      <c r="M294" s="8"/>
      <c r="N294" s="8"/>
      <c r="O294" s="8"/>
      <c r="P294" s="9"/>
    </row>
    <row r="295" spans="1:24" x14ac:dyDescent="0.25">
      <c r="B295" s="8"/>
      <c r="C295" s="8"/>
      <c r="D295" s="15" t="s">
        <v>339</v>
      </c>
      <c r="E295" s="1165" t="str">
        <f>Translations!$B$479</f>
        <v>Process emissions calculated taking into account the correction for waste gases (=d-i)</v>
      </c>
      <c r="F295" s="1176"/>
      <c r="G295" s="1176"/>
      <c r="H295" s="1176"/>
      <c r="I295" s="1176"/>
      <c r="J295" s="1176"/>
      <c r="K295" s="1176"/>
      <c r="L295" s="1176"/>
      <c r="M295" s="1176"/>
      <c r="N295" s="1176"/>
      <c r="O295" s="8"/>
      <c r="P295" s="9"/>
    </row>
    <row r="296" spans="1:24" ht="5.0999999999999996" customHeight="1" x14ac:dyDescent="0.25">
      <c r="B296" s="8"/>
      <c r="C296" s="8"/>
      <c r="D296" s="8"/>
      <c r="E296" s="8"/>
      <c r="F296" s="8"/>
      <c r="G296" s="8"/>
      <c r="H296" s="8"/>
      <c r="I296" s="8"/>
      <c r="J296" s="8"/>
      <c r="K296" s="8"/>
      <c r="L296" s="8"/>
      <c r="M296" s="8"/>
      <c r="N296" s="8"/>
      <c r="O296" s="8"/>
      <c r="P296" s="9"/>
    </row>
    <row r="297" spans="1:24" x14ac:dyDescent="0.25">
      <c r="B297" s="17"/>
      <c r="C297" s="17"/>
      <c r="D297" s="15"/>
      <c r="E297" s="78"/>
      <c r="F297" s="78"/>
      <c r="G297" s="78"/>
      <c r="H297" s="24" t="str">
        <f>EUconst_Unit</f>
        <v>Unit</v>
      </c>
      <c r="I297" s="128">
        <f>I$309</f>
        <v>2019</v>
      </c>
      <c r="J297" s="128">
        <f>J$309</f>
        <v>2020</v>
      </c>
      <c r="K297" s="128">
        <f>K$309</f>
        <v>2021</v>
      </c>
      <c r="L297" s="128">
        <f>L$309</f>
        <v>2022</v>
      </c>
      <c r="M297" s="128">
        <f>M$309</f>
        <v>2023</v>
      </c>
      <c r="N297" s="8"/>
      <c r="O297" s="8"/>
    </row>
    <row r="298" spans="1:24" x14ac:dyDescent="0.25">
      <c r="B298" s="17"/>
      <c r="C298" s="17"/>
      <c r="D298" s="17"/>
      <c r="E298" s="1412" t="str">
        <f>Translations!$B$482</f>
        <v>Result of waste gas tool:</v>
      </c>
      <c r="F298" s="1412"/>
      <c r="G298" s="1412"/>
      <c r="H298" s="217" t="str">
        <f>EUconst_tCO2pa</f>
        <v>t CO2 / year</v>
      </c>
      <c r="I298" s="818" t="str">
        <f>IF(ISNUMBER(I293),IF((IF(ISNUMBER(I269),I269,0)-SUM(I293))&lt;0,0,IF(ISNUMBER(I269),I269,0)-SUM(I293)),"")</f>
        <v/>
      </c>
      <c r="J298" s="818" t="str">
        <f>IF(ISNUMBER(J293),IF((IF(ISNUMBER(J269),J269,0)-SUM(J293))&lt;0,0,IF(ISNUMBER(J269),J269,0)-SUM(J293)),"")</f>
        <v/>
      </c>
      <c r="K298" s="818" t="str">
        <f>IF(ISNUMBER(K293),IF((IF(ISNUMBER(K269),K269,0)-SUM(K293))&lt;0,0,IF(ISNUMBER(K269),K269,0)-SUM(K293)),"")</f>
        <v/>
      </c>
      <c r="L298" s="818" t="str">
        <f>IF(ISNUMBER(L293),IF((IF(ISNUMBER(L269),L269,0)-SUM(L293))&lt;0,0,IF(ISNUMBER(L269),L269,0)-SUM(L293)),"")</f>
        <v/>
      </c>
      <c r="M298" s="818" t="str">
        <f>IF(ISNUMBER(M293),IF((IF(ISNUMBER(M269),M269,0)-SUM(M293))&lt;0,0,IF(ISNUMBER(M269),M269,0)-SUM(M293)),"")</f>
        <v/>
      </c>
      <c r="N298" s="8"/>
      <c r="O298" s="8"/>
    </row>
    <row r="299" spans="1:24" x14ac:dyDescent="0.25">
      <c r="B299" s="17"/>
      <c r="C299" s="17"/>
      <c r="D299" s="17"/>
      <c r="E299" s="17"/>
      <c r="F299" s="17"/>
      <c r="G299" s="17"/>
      <c r="H299" s="17"/>
      <c r="I299" s="17"/>
      <c r="J299" s="17"/>
      <c r="K299" s="17"/>
      <c r="L299" s="17"/>
      <c r="M299" s="17"/>
      <c r="N299" s="17"/>
      <c r="O299" s="8"/>
    </row>
    <row r="300" spans="1:24" x14ac:dyDescent="0.25">
      <c r="B300" s="17"/>
      <c r="C300" s="17"/>
      <c r="D300" s="1413" t="str">
        <f>Translations!$B$73</f>
        <v xml:space="preserve">&lt;&lt;&lt; Click here to proceed to next sheet &gt;&gt;&gt; </v>
      </c>
      <c r="E300" s="1413"/>
      <c r="F300" s="1413"/>
      <c r="G300" s="1413"/>
      <c r="H300" s="1413"/>
      <c r="I300" s="1413"/>
      <c r="J300" s="1413"/>
      <c r="K300" s="1413"/>
      <c r="L300" s="1413"/>
      <c r="M300" s="1413"/>
      <c r="N300" s="1413"/>
      <c r="O300" s="8"/>
    </row>
    <row r="301" spans="1:24" x14ac:dyDescent="0.25">
      <c r="B301" s="17"/>
      <c r="C301" s="17"/>
      <c r="D301" s="17"/>
      <c r="E301" s="17"/>
      <c r="F301" s="17"/>
      <c r="G301" s="17"/>
      <c r="H301" s="17"/>
      <c r="I301" s="17"/>
      <c r="J301" s="17"/>
      <c r="K301" s="17"/>
      <c r="L301" s="17"/>
      <c r="M301" s="17"/>
      <c r="N301" s="17"/>
      <c r="O301" s="8"/>
    </row>
    <row r="302" spans="1:24" hidden="1" x14ac:dyDescent="0.25">
      <c r="A302" s="145" t="s">
        <v>187</v>
      </c>
      <c r="B302" s="145" t="s">
        <v>287</v>
      </c>
      <c r="C302" s="145" t="s">
        <v>287</v>
      </c>
      <c r="D302" s="145" t="s">
        <v>287</v>
      </c>
      <c r="E302" s="145" t="s">
        <v>287</v>
      </c>
      <c r="F302" s="145" t="s">
        <v>287</v>
      </c>
      <c r="G302" s="145" t="s">
        <v>287</v>
      </c>
      <c r="H302" s="145" t="s">
        <v>287</v>
      </c>
      <c r="I302" s="145" t="s">
        <v>287</v>
      </c>
      <c r="J302" s="145" t="s">
        <v>287</v>
      </c>
      <c r="K302" s="145" t="s">
        <v>287</v>
      </c>
      <c r="L302" s="145" t="s">
        <v>287</v>
      </c>
      <c r="M302" s="145" t="s">
        <v>287</v>
      </c>
      <c r="N302" s="145" t="s">
        <v>287</v>
      </c>
      <c r="O302" s="145" t="s">
        <v>287</v>
      </c>
      <c r="P302" s="145" t="s">
        <v>287</v>
      </c>
      <c r="Q302" s="145" t="s">
        <v>287</v>
      </c>
      <c r="R302" s="145" t="s">
        <v>287</v>
      </c>
      <c r="S302" s="145" t="s">
        <v>287</v>
      </c>
      <c r="T302" s="145" t="s">
        <v>287</v>
      </c>
      <c r="U302" s="145" t="s">
        <v>287</v>
      </c>
      <c r="V302" s="145" t="s">
        <v>287</v>
      </c>
      <c r="W302" s="145" t="s">
        <v>287</v>
      </c>
      <c r="X302" s="145" t="s">
        <v>287</v>
      </c>
    </row>
    <row r="303" spans="1:24" hidden="1" x14ac:dyDescent="0.25">
      <c r="A303" s="145" t="s">
        <v>187</v>
      </c>
    </row>
    <row r="304" spans="1:24" hidden="1" x14ac:dyDescent="0.25">
      <c r="A304" s="145" t="s">
        <v>187</v>
      </c>
      <c r="B304" s="145"/>
      <c r="C304" s="145"/>
      <c r="D304" s="28" t="s">
        <v>288</v>
      </c>
      <c r="E304" s="145"/>
      <c r="F304" s="145"/>
      <c r="G304" s="145"/>
      <c r="H304" s="145"/>
      <c r="I304" s="145"/>
      <c r="J304" s="145"/>
      <c r="K304" s="145"/>
      <c r="L304" s="145"/>
      <c r="M304" s="145"/>
      <c r="N304" s="145"/>
      <c r="O304" s="145"/>
    </row>
    <row r="305" spans="1:15" ht="13.8" hidden="1" thickBot="1" x14ac:dyDescent="0.3">
      <c r="A305" s="145" t="s">
        <v>187</v>
      </c>
    </row>
    <row r="306" spans="1:15" hidden="1" x14ac:dyDescent="0.25">
      <c r="A306" s="145" t="s">
        <v>187</v>
      </c>
      <c r="E306" s="55" t="s">
        <v>290</v>
      </c>
      <c r="F306" s="690"/>
      <c r="G306" s="690"/>
      <c r="H306" s="690"/>
      <c r="I306" s="690"/>
      <c r="J306" s="690"/>
      <c r="K306" s="690"/>
      <c r="L306" s="690"/>
      <c r="M306" s="690"/>
      <c r="N306" s="691"/>
    </row>
    <row r="307" spans="1:15" hidden="1" x14ac:dyDescent="0.25">
      <c r="A307" s="145" t="s">
        <v>187</v>
      </c>
      <c r="E307" s="49" t="s">
        <v>291</v>
      </c>
      <c r="F307" s="47"/>
      <c r="G307" s="47"/>
      <c r="H307" s="47"/>
      <c r="I307" s="48">
        <v>1</v>
      </c>
      <c r="J307" s="48">
        <v>2</v>
      </c>
      <c r="K307" s="48">
        <v>3</v>
      </c>
      <c r="L307" s="48">
        <v>4</v>
      </c>
      <c r="M307" s="48">
        <v>5</v>
      </c>
      <c r="N307" s="50"/>
    </row>
    <row r="308" spans="1:15" hidden="1" x14ac:dyDescent="0.25">
      <c r="A308" s="145" t="s">
        <v>187</v>
      </c>
      <c r="E308" s="49" t="s">
        <v>292</v>
      </c>
      <c r="F308" s="47"/>
      <c r="G308" s="47"/>
      <c r="H308" s="47"/>
      <c r="I308" s="48">
        <f>INDEX(EUconst_ReportingYears,I307)</f>
        <v>2014</v>
      </c>
      <c r="J308" s="48">
        <f>INDEX(EUconst_ReportingYears,J307)</f>
        <v>2015</v>
      </c>
      <c r="K308" s="48">
        <f>INDEX(EUconst_ReportingYears,K307)</f>
        <v>2016</v>
      </c>
      <c r="L308" s="48">
        <f>INDEX(EUconst_ReportingYears,L307)</f>
        <v>2017</v>
      </c>
      <c r="M308" s="48">
        <f>INDEX(EUconst_ReportingYears,M307)</f>
        <v>2018</v>
      </c>
      <c r="N308" s="50"/>
    </row>
    <row r="309" spans="1:15" hidden="1" x14ac:dyDescent="0.25">
      <c r="A309" s="145" t="s">
        <v>187</v>
      </c>
      <c r="E309" s="49" t="s">
        <v>293</v>
      </c>
      <c r="F309" s="47"/>
      <c r="G309" s="47"/>
      <c r="H309" s="47"/>
      <c r="I309" s="48">
        <f>IF(CNTR_BaselinePeriod=EUconst_NA,I308,INDEX(EUconst_ReportingYears,I307)+(CNTR_BaselinePeriod-1)*5)</f>
        <v>2019</v>
      </c>
      <c r="J309" s="48">
        <f>IF(CNTR_BaselinePeriod=EUconst_NA,J308,INDEX(EUconst_ReportingYears,J307)+(CNTR_BaselinePeriod-1)*5)</f>
        <v>2020</v>
      </c>
      <c r="K309" s="48">
        <f>IF(CNTR_BaselinePeriod=EUconst_NA,K308,INDEX(EUconst_ReportingYears,K307)+(CNTR_BaselinePeriod-1)*5)</f>
        <v>2021</v>
      </c>
      <c r="L309" s="48">
        <f>IF(CNTR_BaselinePeriod=EUconst_NA,L308,INDEX(EUconst_ReportingYears,L307)+(CNTR_BaselinePeriod-1)*5)</f>
        <v>2022</v>
      </c>
      <c r="M309" s="48">
        <f>IF(CNTR_BaselinePeriod=EUconst_NA,M308,INDEX(EUconst_ReportingYears,M307)+(CNTR_BaselinePeriod-1)*5)</f>
        <v>2023</v>
      </c>
      <c r="N309" s="50"/>
      <c r="O309" s="17"/>
    </row>
    <row r="310" spans="1:15" hidden="1" x14ac:dyDescent="0.25">
      <c r="A310" s="145" t="s">
        <v>187</v>
      </c>
      <c r="E310" s="49" t="s">
        <v>294</v>
      </c>
      <c r="F310" s="47"/>
      <c r="G310" s="47"/>
      <c r="H310" s="47"/>
      <c r="I310" s="48">
        <v>1</v>
      </c>
      <c r="J310" s="48">
        <v>1</v>
      </c>
      <c r="K310" s="48">
        <v>1</v>
      </c>
      <c r="L310" s="48">
        <v>1</v>
      </c>
      <c r="M310" s="48">
        <v>1</v>
      </c>
      <c r="N310" s="50"/>
    </row>
    <row r="311" spans="1:15" hidden="1" x14ac:dyDescent="0.25">
      <c r="A311" s="145" t="s">
        <v>187</v>
      </c>
      <c r="E311" s="49" t="s">
        <v>341</v>
      </c>
      <c r="F311" s="47"/>
      <c r="G311" s="47"/>
      <c r="H311" s="47"/>
      <c r="I311" s="47" t="b">
        <f>(I310=CNTR_BaselinePeriod)</f>
        <v>0</v>
      </c>
      <c r="J311" s="47" t="b">
        <f>(J310=CNTR_BaselinePeriod)</f>
        <v>0</v>
      </c>
      <c r="K311" s="47" t="b">
        <f>(K310=CNTR_BaselinePeriod)</f>
        <v>0</v>
      </c>
      <c r="L311" s="47" t="b">
        <f>(L310=CNTR_BaselinePeriod)</f>
        <v>0</v>
      </c>
      <c r="M311" s="47" t="b">
        <f>(M310=CNTR_BaselinePeriod)</f>
        <v>0</v>
      </c>
      <c r="N311" s="51"/>
    </row>
    <row r="312" spans="1:15" ht="13.8" hidden="1" thickBot="1" x14ac:dyDescent="0.3">
      <c r="A312" s="145" t="s">
        <v>187</v>
      </c>
      <c r="E312" s="52" t="s">
        <v>296</v>
      </c>
      <c r="F312" s="53"/>
      <c r="G312" s="53"/>
      <c r="H312" s="53"/>
      <c r="I312" s="53">
        <f>INDEX(CNTR_BaslineYearRelevant,I307)</f>
        <v>0</v>
      </c>
      <c r="J312" s="53">
        <f>INDEX(CNTR_BaslineYearRelevant,J307)</f>
        <v>0</v>
      </c>
      <c r="K312" s="53">
        <f>INDEX(CNTR_BaslineYearRelevant,K307)</f>
        <v>0</v>
      </c>
      <c r="L312" s="53">
        <f>INDEX(CNTR_BaslineYearRelevant,L307)</f>
        <v>0</v>
      </c>
      <c r="M312" s="53">
        <f>INDEX(CNTR_BaslineYearRelevant,M307)</f>
        <v>0</v>
      </c>
      <c r="N312" s="54"/>
    </row>
    <row r="313" spans="1:15" hidden="1" x14ac:dyDescent="0.25">
      <c r="A313" s="145" t="s">
        <v>187</v>
      </c>
    </row>
    <row r="314" spans="1:15" ht="13.8" hidden="1" thickBot="1" x14ac:dyDescent="0.3">
      <c r="A314" s="145" t="s">
        <v>187</v>
      </c>
      <c r="E314" s="220" t="s">
        <v>342</v>
      </c>
    </row>
    <row r="315" spans="1:15" hidden="1" x14ac:dyDescent="0.25">
      <c r="A315" s="145" t="s">
        <v>187</v>
      </c>
      <c r="D315" s="220">
        <v>6</v>
      </c>
      <c r="E315" s="39" t="str">
        <f>INDEX(EUconst_FallBackListNames,D315)</f>
        <v>Process emissions sub-installation, CL</v>
      </c>
      <c r="F315" s="38"/>
      <c r="G315" s="38"/>
      <c r="H315" s="60" t="str">
        <f>EUconst_tCO2epa</f>
        <v>t CO2e/year</v>
      </c>
      <c r="I315" s="35" t="str">
        <f>IF(ISNUMBER(K_Summary!I108),INDEX(K_Summary!I$92:I$130,MATCH(EUconst_CNTR_HAL&amp;$E315,K_Summary!$P$92:$P$130,0)),"")</f>
        <v/>
      </c>
      <c r="J315" s="35" t="str">
        <f>IF(ISNUMBER(K_Summary!J108),INDEX(K_Summary!J$92:J$130,MATCH(EUconst_CNTR_HAL&amp;$E315,K_Summary!$P$92:$P$130,0)),"")</f>
        <v/>
      </c>
      <c r="K315" s="35" t="str">
        <f>IF(ISNUMBER(K_Summary!K108),INDEX(K_Summary!K$92:K$130,MATCH(EUconst_CNTR_HAL&amp;$E315,K_Summary!$P$92:$P$130,0)),"")</f>
        <v/>
      </c>
      <c r="L315" s="35" t="str">
        <f>IF(ISNUMBER(K_Summary!L108),INDEX(K_Summary!L$92:L$130,MATCH(EUconst_CNTR_HAL&amp;$E315,K_Summary!$P$92:$P$130,0)),"")</f>
        <v/>
      </c>
      <c r="M315" s="34" t="str">
        <f>IF(ISNUMBER(K_Summary!M108),INDEX(K_Summary!M$92:M$130,MATCH(EUconst_CNTR_HAL&amp;$E315,K_Summary!$P$92:$P$130,0)),"")</f>
        <v/>
      </c>
    </row>
    <row r="316" spans="1:15" ht="13.8" hidden="1" thickBot="1" x14ac:dyDescent="0.3">
      <c r="A316" s="145" t="s">
        <v>187</v>
      </c>
      <c r="D316" s="220">
        <v>7</v>
      </c>
      <c r="E316" s="37" t="str">
        <f>INDEX(EUconst_FallBackListNames,D316)</f>
        <v>Process emissions sub-installation, non-CL</v>
      </c>
      <c r="F316" s="36"/>
      <c r="G316" s="36"/>
      <c r="H316" s="61" t="str">
        <f>EUconst_tCO2epa</f>
        <v>t CO2e/year</v>
      </c>
      <c r="I316" s="33" t="str">
        <f>IF(ISNUMBER(K_Summary!I109),INDEX(K_Summary!I$92:I$130,MATCH(EUconst_CNTR_HAL&amp;$E316,K_Summary!$P$92:$P$130,0)),"")</f>
        <v/>
      </c>
      <c r="J316" s="33" t="str">
        <f>IF(ISNUMBER(K_Summary!J109),INDEX(K_Summary!J$92:J$130,MATCH(EUconst_CNTR_HAL&amp;$E316,K_Summary!$P$92:$P$130,0)),"")</f>
        <v/>
      </c>
      <c r="K316" s="33" t="str">
        <f>IF(ISNUMBER(K_Summary!K109),INDEX(K_Summary!K$92:K$130,MATCH(EUconst_CNTR_HAL&amp;$E316,K_Summary!$P$92:$P$130,0)),"")</f>
        <v/>
      </c>
      <c r="L316" s="33" t="str">
        <f>IF(ISNUMBER(K_Summary!L109),INDEX(K_Summary!L$92:L$130,MATCH(EUconst_CNTR_HAL&amp;$E316,K_Summary!$P$92:$P$130,0)),"")</f>
        <v/>
      </c>
      <c r="M316" s="32" t="str">
        <f>IF(ISNUMBER(K_Summary!M109),INDEX(K_Summary!M$92:M$130,MATCH(EUconst_CNTR_HAL&amp;$E316,K_Summary!$P$92:$P$130,0)),"")</f>
        <v/>
      </c>
    </row>
    <row r="317" spans="1:15" hidden="1" x14ac:dyDescent="0.25">
      <c r="A317" s="145" t="s">
        <v>187</v>
      </c>
    </row>
  </sheetData>
  <sheetProtection algorithmName="SHA-512" hashValue="DCRRqKltpxsGZWRdFef2m8RfciYlRNDa4MMayZDnxaE5tbCkpGfpQw2Of2yQzuGbq0k37/JFDH/T9JknxbXeUg==" saltValue="kM0YOYpBphjS8SQ7eS3zAg==" spinCount="100000" sheet="1" objects="1" scenarios="1" formatColumns="0" formatRows="0"/>
  <mergeCells count="238">
    <mergeCell ref="E153:G153"/>
    <mergeCell ref="F31:N31"/>
    <mergeCell ref="F30:N30"/>
    <mergeCell ref="F29:N29"/>
    <mergeCell ref="E71:N71"/>
    <mergeCell ref="E76:L76"/>
    <mergeCell ref="E57:G57"/>
    <mergeCell ref="E65:G65"/>
    <mergeCell ref="D74:N74"/>
    <mergeCell ref="F33:N33"/>
    <mergeCell ref="F34:N34"/>
    <mergeCell ref="E66:G66"/>
    <mergeCell ref="D68:N68"/>
    <mergeCell ref="D61:N61"/>
    <mergeCell ref="D63:N63"/>
    <mergeCell ref="E88:G88"/>
    <mergeCell ref="E91:N91"/>
    <mergeCell ref="E117:N117"/>
    <mergeCell ref="E118:N118"/>
    <mergeCell ref="E104:G104"/>
    <mergeCell ref="E102:N102"/>
    <mergeCell ref="E95:N95"/>
    <mergeCell ref="E103:G103"/>
    <mergeCell ref="E114:G114"/>
    <mergeCell ref="E97:G97"/>
    <mergeCell ref="E112:N112"/>
    <mergeCell ref="E110:N110"/>
    <mergeCell ref="E111:N111"/>
    <mergeCell ref="E113:G113"/>
    <mergeCell ref="E98:G98"/>
    <mergeCell ref="E92:G92"/>
    <mergeCell ref="E87:G87"/>
    <mergeCell ref="E93:G93"/>
    <mergeCell ref="E19:G19"/>
    <mergeCell ref="E38:G38"/>
    <mergeCell ref="E20:G20"/>
    <mergeCell ref="E40:G40"/>
    <mergeCell ref="E55:G55"/>
    <mergeCell ref="E48:N48"/>
    <mergeCell ref="D47:N47"/>
    <mergeCell ref="E21:G21"/>
    <mergeCell ref="D83:N83"/>
    <mergeCell ref="E24:G24"/>
    <mergeCell ref="E37:G37"/>
    <mergeCell ref="E27:N27"/>
    <mergeCell ref="E41:G41"/>
    <mergeCell ref="E42:G42"/>
    <mergeCell ref="E56:G56"/>
    <mergeCell ref="D26:N26"/>
    <mergeCell ref="E49:N49"/>
    <mergeCell ref="E28:N28"/>
    <mergeCell ref="F32:N32"/>
    <mergeCell ref="E80:N80"/>
    <mergeCell ref="E72:M72"/>
    <mergeCell ref="E70:N70"/>
    <mergeCell ref="E58:G58"/>
    <mergeCell ref="E59:G59"/>
    <mergeCell ref="E14:N14"/>
    <mergeCell ref="M2:N2"/>
    <mergeCell ref="K3:L3"/>
    <mergeCell ref="M3:N3"/>
    <mergeCell ref="E3:F3"/>
    <mergeCell ref="G3:H3"/>
    <mergeCell ref="D6:N6"/>
    <mergeCell ref="D13:N13"/>
    <mergeCell ref="D8:N8"/>
    <mergeCell ref="B2:D4"/>
    <mergeCell ref="G2:H2"/>
    <mergeCell ref="K2:L2"/>
    <mergeCell ref="I2:J2"/>
    <mergeCell ref="D10:N10"/>
    <mergeCell ref="M4:N4"/>
    <mergeCell ref="I3:J3"/>
    <mergeCell ref="D300:N300"/>
    <mergeCell ref="E4:F4"/>
    <mergeCell ref="G4:H4"/>
    <mergeCell ref="I4:J4"/>
    <mergeCell ref="K4:L4"/>
    <mergeCell ref="E36:G36"/>
    <mergeCell ref="E54:G54"/>
    <mergeCell ref="E44:G44"/>
    <mergeCell ref="E50:N50"/>
    <mergeCell ref="E39:G39"/>
    <mergeCell ref="D11:N11"/>
    <mergeCell ref="E43:G43"/>
    <mergeCell ref="E51:G51"/>
    <mergeCell ref="E53:G53"/>
    <mergeCell ref="E23:G23"/>
    <mergeCell ref="E52:G52"/>
    <mergeCell ref="E18:G18"/>
    <mergeCell ref="E16:G16"/>
    <mergeCell ref="E17:G17"/>
    <mergeCell ref="E22:G22"/>
    <mergeCell ref="E78:N78"/>
    <mergeCell ref="E122:G122"/>
    <mergeCell ref="E90:N90"/>
    <mergeCell ref="E101:N101"/>
    <mergeCell ref="E190:N190"/>
    <mergeCell ref="E105:G105"/>
    <mergeCell ref="E106:G106"/>
    <mergeCell ref="E188:N188"/>
    <mergeCell ref="D140:N140"/>
    <mergeCell ref="E189:N189"/>
    <mergeCell ref="E155:G155"/>
    <mergeCell ref="E127:N127"/>
    <mergeCell ref="E129:N129"/>
    <mergeCell ref="E128:N128"/>
    <mergeCell ref="E136:G136"/>
    <mergeCell ref="E137:G137"/>
    <mergeCell ref="E138:G138"/>
    <mergeCell ref="E144:N144"/>
    <mergeCell ref="E149:G149"/>
    <mergeCell ref="E145:G145"/>
    <mergeCell ref="E146:G146"/>
    <mergeCell ref="E181:G181"/>
    <mergeCell ref="E182:G182"/>
    <mergeCell ref="E148:N148"/>
    <mergeCell ref="E187:L187"/>
    <mergeCell ref="E120:N120"/>
    <mergeCell ref="E119:N119"/>
    <mergeCell ref="E154:G154"/>
    <mergeCell ref="E202:N202"/>
    <mergeCell ref="H207:N207"/>
    <mergeCell ref="E210:N211"/>
    <mergeCell ref="L205:N205"/>
    <mergeCell ref="E197:N197"/>
    <mergeCell ref="E191:N191"/>
    <mergeCell ref="F193:N193"/>
    <mergeCell ref="F194:N194"/>
    <mergeCell ref="F196:N196"/>
    <mergeCell ref="E201:K201"/>
    <mergeCell ref="F195:N195"/>
    <mergeCell ref="F192:N192"/>
    <mergeCell ref="L201:N201"/>
    <mergeCell ref="D199:N199"/>
    <mergeCell ref="E214:N214"/>
    <mergeCell ref="E216:G216"/>
    <mergeCell ref="E203:N203"/>
    <mergeCell ref="E205:K205"/>
    <mergeCell ref="E207:G207"/>
    <mergeCell ref="E208:N208"/>
    <mergeCell ref="E209:N209"/>
    <mergeCell ref="E213:N213"/>
    <mergeCell ref="E222:G222"/>
    <mergeCell ref="E218:N218"/>
    <mergeCell ref="E219:N219"/>
    <mergeCell ref="E220:N220"/>
    <mergeCell ref="E221:G221"/>
    <mergeCell ref="E246:N246"/>
    <mergeCell ref="E247:N247"/>
    <mergeCell ref="E248:N248"/>
    <mergeCell ref="E250:G250"/>
    <mergeCell ref="D253:N253"/>
    <mergeCell ref="E285:N285"/>
    <mergeCell ref="E224:N224"/>
    <mergeCell ref="E225:N225"/>
    <mergeCell ref="E226:N226"/>
    <mergeCell ref="E236:N236"/>
    <mergeCell ref="E237:H237"/>
    <mergeCell ref="E227:N227"/>
    <mergeCell ref="E228:G228"/>
    <mergeCell ref="E229:G229"/>
    <mergeCell ref="E231:N231"/>
    <mergeCell ref="E232:N232"/>
    <mergeCell ref="E234:G234"/>
    <mergeCell ref="E245:N245"/>
    <mergeCell ref="E287:H287"/>
    <mergeCell ref="E288:G288"/>
    <mergeCell ref="E238:G238"/>
    <mergeCell ref="E276:N276"/>
    <mergeCell ref="E278:G278"/>
    <mergeCell ref="E279:G279"/>
    <mergeCell ref="E281:N281"/>
    <mergeCell ref="E269:G269"/>
    <mergeCell ref="E271:N271"/>
    <mergeCell ref="L259:N259"/>
    <mergeCell ref="L257:N257"/>
    <mergeCell ref="H261:N261"/>
    <mergeCell ref="E273:G273"/>
    <mergeCell ref="E274:G274"/>
    <mergeCell ref="E257:K257"/>
    <mergeCell ref="E259:K259"/>
    <mergeCell ref="E261:G261"/>
    <mergeCell ref="E266:N266"/>
    <mergeCell ref="E263:N264"/>
    <mergeCell ref="E240:N240"/>
    <mergeCell ref="E241:N241"/>
    <mergeCell ref="E242:G242"/>
    <mergeCell ref="E255:N255"/>
    <mergeCell ref="E243:G243"/>
    <mergeCell ref="E298:G298"/>
    <mergeCell ref="E290:N290"/>
    <mergeCell ref="E292:G292"/>
    <mergeCell ref="E293:G293"/>
    <mergeCell ref="E295:N295"/>
    <mergeCell ref="E283:G283"/>
    <mergeCell ref="E108:H108"/>
    <mergeCell ref="E77:N77"/>
    <mergeCell ref="E79:N79"/>
    <mergeCell ref="E81:N81"/>
    <mergeCell ref="E85:N85"/>
    <mergeCell ref="E131:G131"/>
    <mergeCell ref="E130:G130"/>
    <mergeCell ref="E96:N96"/>
    <mergeCell ref="E99:G99"/>
    <mergeCell ref="E86:N86"/>
    <mergeCell ref="E115:G115"/>
    <mergeCell ref="E124:G124"/>
    <mergeCell ref="E126:N126"/>
    <mergeCell ref="E123:G123"/>
    <mergeCell ref="E132:G132"/>
    <mergeCell ref="E142:N142"/>
    <mergeCell ref="E134:N134"/>
    <mergeCell ref="E135:N135"/>
    <mergeCell ref="D185:N185"/>
    <mergeCell ref="E157:N157"/>
    <mergeCell ref="E158:G158"/>
    <mergeCell ref="E159:G159"/>
    <mergeCell ref="E121:N121"/>
    <mergeCell ref="E183:G183"/>
    <mergeCell ref="E180:N180"/>
    <mergeCell ref="E168:G168"/>
    <mergeCell ref="E170:N170"/>
    <mergeCell ref="E171:G171"/>
    <mergeCell ref="E163:H163"/>
    <mergeCell ref="E165:N165"/>
    <mergeCell ref="E161:G161"/>
    <mergeCell ref="E173:G173"/>
    <mergeCell ref="E167:G167"/>
    <mergeCell ref="E160:G160"/>
    <mergeCell ref="E176:G176"/>
    <mergeCell ref="E177:G177"/>
    <mergeCell ref="E178:G178"/>
    <mergeCell ref="E172:G172"/>
    <mergeCell ref="E175:N175"/>
    <mergeCell ref="E166:G166"/>
    <mergeCell ref="E150:G150"/>
    <mergeCell ref="E152:N152"/>
  </mergeCells>
  <phoneticPr fontId="31" type="noConversion"/>
  <conditionalFormatting sqref="I37:M40 I42:M42 I44:M44">
    <cfRule type="expression" dxfId="251" priority="15" stopIfTrue="1">
      <formula>(MSconst_AllowInstEmmisionTotals=FALSE)</formula>
    </cfRule>
  </conditionalFormatting>
  <conditionalFormatting sqref="I52:M56 I59:M59">
    <cfRule type="expression" dxfId="250" priority="29" stopIfTrue="1">
      <formula>AND(ISNUMBER(I17),ISNUMBER(I37))</formula>
    </cfRule>
  </conditionalFormatting>
  <conditionalFormatting sqref="I57:M57">
    <cfRule type="expression" dxfId="249" priority="192" stopIfTrue="1">
      <formula>AND(ISNUMBER(I21),ISNUMBER(I41))</formula>
    </cfRule>
  </conditionalFormatting>
  <conditionalFormatting sqref="I88:M88 I93:M93 I104:M105 I123:M124">
    <cfRule type="expression" dxfId="248" priority="12" stopIfTrue="1">
      <formula>$X88</formula>
    </cfRule>
  </conditionalFormatting>
  <conditionalFormatting sqref="I98:M99">
    <cfRule type="expression" dxfId="247" priority="4" stopIfTrue="1">
      <formula>$X98</formula>
    </cfRule>
  </conditionalFormatting>
  <conditionalFormatting sqref="I106:M106">
    <cfRule type="expression" dxfId="246" priority="18" stopIfTrue="1">
      <formula>AND(NOT(MSconst_RequireAllYears),NOT(INDEX(CNTR_BaselineHighlight,I$309-2004)))</formula>
    </cfRule>
  </conditionalFormatting>
  <conditionalFormatting sqref="I146:M146 I150:M150 I159:M160">
    <cfRule type="expression" dxfId="245" priority="10" stopIfTrue="1">
      <formula>$X146</formula>
    </cfRule>
  </conditionalFormatting>
  <conditionalFormatting sqref="I154:M155">
    <cfRule type="expression" dxfId="244" priority="1" stopIfTrue="1">
      <formula>$X154</formula>
    </cfRule>
  </conditionalFormatting>
  <conditionalFormatting sqref="I161:M161">
    <cfRule type="expression" dxfId="243" priority="11" stopIfTrue="1">
      <formula>AND(NOT(MSconst_RequireAllYears),NOT(INDEX(CNTR_BaselineHighlight,I$309-2004)))</formula>
    </cfRule>
  </conditionalFormatting>
  <conditionalFormatting sqref="I172:M173">
    <cfRule type="expression" dxfId="242" priority="5" stopIfTrue="1">
      <formula>$X172</formula>
    </cfRule>
  </conditionalFormatting>
  <conditionalFormatting sqref="L201:N201 L205:N205 H207:N207 E210:N211 I216:M216 I222:M222 I229:M229 I234:M234 L257:N257 L259:N259 H261:N261 E263:N264 I269:M269 I274:M274 I279:M279 I283:M283">
    <cfRule type="expression" dxfId="241" priority="9" stopIfTrue="1">
      <formula>$X201</formula>
    </cfRule>
  </conditionalFormatting>
  <dataValidations count="7">
    <dataValidation type="list" allowBlank="1" showInputMessage="1" showErrorMessage="1" sqref="H279 H229" xr:uid="{C7DF8337-62C1-4DAA-B755-8040D03BC136}">
      <formula1>EUconst_TonnesOrkNm3pa</formula1>
    </dataValidation>
    <dataValidation type="list" allowBlank="1" showInputMessage="1" showErrorMessage="1" sqref="L259:N259 L205:N205" xr:uid="{E38FACBC-A404-4595-8890-7F273ADDCB51}">
      <formula1>EUconst_RelevantNotRelevant</formula1>
    </dataValidation>
    <dataValidation type="list" allowBlank="1" showInputMessage="1" showErrorMessage="1" sqref="L201:N201 L257:N257" xr:uid="{F38C6A3D-DFB2-4C07-94C8-D9116BAA87E4}">
      <formula1>EUconst_CLnonCL</formula1>
    </dataValidation>
    <dataValidation type="list" allowBlank="1" showInputMessage="1" showErrorMessage="1" sqref="M76 M187" xr:uid="{A130E70A-A54E-4DAA-AD64-7836E1EB2ACC}">
      <formula1>Euconst_TrueFalse</formula1>
    </dataValidation>
    <dataValidation type="decimal" allowBlank="1" showInputMessage="1" showErrorMessage="1" errorTitle="0 &lt; value &lt; 1" error="Values should be between 0 and 1" sqref="I123:M124 I172:M173" xr:uid="{72508B61-0FD4-4DD6-B134-91244151A9A3}">
      <formula1>0</formula1>
      <formula2>1</formula2>
    </dataValidation>
    <dataValidation type="decimal" operator="lessThanOrEqual" allowBlank="1" showInputMessage="1" showErrorMessage="1" errorTitle="Data error!" error="Exported amounts should be reported as negative values." sqref="I42:M42" xr:uid="{69310284-281F-4F4A-B314-E20CECB08938}">
      <formula1>0</formula1>
    </dataValidation>
    <dataValidation type="decimal" operator="lessThanOrEqual" allowBlank="1" showInputMessage="1" showErrorMessage="1" sqref="I57:M57" xr:uid="{D862668B-4631-434C-8FB4-EDD0BCA4CBE6}">
      <formula1>0</formula1>
    </dataValidation>
  </dataValidations>
  <hyperlinks>
    <hyperlink ref="G2:H2" location="JUMP_TOC_Home" display="Table of contents" xr:uid="{B4562502-8255-4751-BE4F-F1DE1497D251}"/>
    <hyperlink ref="M2:N2" location="JUMP_K_I" display="Summary" xr:uid="{3CE7A563-0C9E-497C-9F84-B07486EBC1AA}"/>
    <hyperlink ref="I2:J2" location="A_InstallationData!C6" display="A_InstallationData!C6" xr:uid="{BF61448F-16F8-45C0-A827-0CCC79C5ECB8}"/>
    <hyperlink ref="E3:F3" location="JUMP_D_Top" display="Top of sheet" xr:uid="{D36D5212-AB1C-4ED3-880F-2E24674E06A4}"/>
    <hyperlink ref="E4:F4" location="JUMP_D_Bottom" display="End of sheet" xr:uid="{4C2BE974-1065-4103-8C62-5A2FF652BB40}"/>
    <hyperlink ref="K2:L2" location="JUMP_E_Top" display="Next sheet" xr:uid="{07E6FA36-A734-489A-90CE-305E8F17FEB4}"/>
    <hyperlink ref="D300:N300" location="JUMP_E_Top" display="&lt;&lt;&lt; Click here to proceed to next sheet &gt;&gt;&gt; " xr:uid="{8F5789FE-005F-4CDD-9D9C-F38850247474}"/>
    <hyperlink ref="G3:H3" location="JUMP_D_I" display="Emissions and Energy Input" xr:uid="{84C901B9-C405-4D38-B72F-DBDA41251818}"/>
    <hyperlink ref="I3:J3" location="JUMP_D_II" display="Emissions Attribution" xr:uid="{C16A0D4D-77CE-422E-A568-AE60B1CD2961}"/>
    <hyperlink ref="G4:H4" location="JUMP_D_IV" display="JUMP_D_IV" xr:uid="{D02355FA-16E9-4868-A937-0E8EE0059E12}"/>
    <hyperlink ref="I4:J4" location="JUMP_D_IV2" display="JUMP_D_IV2" xr:uid="{C326A950-6AF1-4D95-A45C-34C63082BC2E}"/>
    <hyperlink ref="D11:N11" location="JUMP_B_I" display="JUMP_B_I" xr:uid="{2E942B8F-DF62-4E2C-A3F3-2A7632B3F620}"/>
    <hyperlink ref="E120" r:id="rId1" xr:uid="{6344020B-E5FF-4335-A512-3A8E7234F244}"/>
    <hyperlink ref="K3:L3" location="JUMP_D_III" display="Cogeneration (1)" xr:uid="{681DB26A-6390-45EA-8BFA-4D5437C849CC}"/>
    <hyperlink ref="M3:N3" location="JUMP_D_III2" display="Cogeneration (2)" xr:uid="{78A6AFE4-F485-4957-936B-0DBA3624F72E}"/>
    <hyperlink ref="E72:M72" location="JUMP_K_III2" display="JUMP_K_III2" xr:uid="{0698B6A8-3546-47DB-A38A-310733E2386E}"/>
    <hyperlink ref="E255:N255" location="D_Emissions!D199" display="This tool is to be filled in if the installation includes two CHPs. In this case this tool is for the second CHP and should be filled in according to instructions provided in paragraph D.III.1. If more CHPs are relevant, a separate template might be used to provide relevant information." xr:uid="{A166DE80-0E94-4B2F-B8AF-B22BC1D30091}"/>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4E66-4D10-4E2C-BE9F-E62833C16C72}">
  <sheetPr codeName="Tabelle7">
    <tabColor indexed="52"/>
    <pageSetUpPr fitToPage="1"/>
  </sheetPr>
  <dimension ref="A1:S423"/>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4.6640625" style="150" hidden="1" customWidth="1"/>
    <col min="2" max="2" width="2.6640625" style="220" customWidth="1"/>
    <col min="3" max="4" width="4.6640625" style="220" customWidth="1"/>
    <col min="5" max="14" width="12.6640625" style="220" customWidth="1"/>
    <col min="15" max="15" width="10.6640625" style="220" customWidth="1"/>
    <col min="16" max="16" width="12.6640625" style="150" hidden="1" customWidth="1"/>
    <col min="17" max="19" width="11.44140625" style="150" hidden="1" customWidth="1"/>
    <col min="20" max="16384" width="11.44140625" style="276" hidden="1"/>
  </cols>
  <sheetData>
    <row r="1" spans="1:19" s="145" customFormat="1" ht="13.8" hidden="1" thickBot="1" x14ac:dyDescent="0.3">
      <c r="A1" s="150" t="s">
        <v>187</v>
      </c>
      <c r="P1" s="150" t="s">
        <v>187</v>
      </c>
      <c r="Q1" s="150" t="s">
        <v>187</v>
      </c>
      <c r="R1" s="150" t="s">
        <v>187</v>
      </c>
      <c r="S1" s="150" t="s">
        <v>187</v>
      </c>
    </row>
    <row r="2" spans="1:19" ht="13.8" thickBot="1" x14ac:dyDescent="0.3">
      <c r="B2" s="1282" t="str">
        <f>Translations!$B$483</f>
        <v>E.
Energy flows</v>
      </c>
      <c r="C2" s="1283"/>
      <c r="D2" s="1284"/>
      <c r="E2" s="318" t="str">
        <f>Translations!$B$2</f>
        <v>Navigation area:</v>
      </c>
      <c r="F2" s="752"/>
      <c r="G2" s="1291" t="str">
        <f>Translations!$B$18</f>
        <v>Table of contents</v>
      </c>
      <c r="H2" s="1147"/>
      <c r="I2" s="1147" t="str">
        <f>Translations!$B$19</f>
        <v>Previous sheet</v>
      </c>
      <c r="J2" s="1147"/>
      <c r="K2" s="1147" t="str">
        <f>Translations!$B$3</f>
        <v>Next sheet</v>
      </c>
      <c r="L2" s="1147"/>
      <c r="M2" s="1147" t="str">
        <f>Translations!$B$4</f>
        <v>Summary</v>
      </c>
      <c r="N2" s="1147"/>
      <c r="O2" s="8"/>
      <c r="P2" s="190"/>
    </row>
    <row r="3" spans="1:19" ht="13.5" customHeight="1" thickBot="1" x14ac:dyDescent="0.3">
      <c r="B3" s="1285"/>
      <c r="C3" s="1286"/>
      <c r="D3" s="1287"/>
      <c r="E3" s="1147" t="str">
        <f>Translations!$B$5</f>
        <v>Top of sheet</v>
      </c>
      <c r="F3" s="1276"/>
      <c r="G3" s="1468" t="str">
        <f>Translations!$B$484</f>
        <v>Attribution of Fuels</v>
      </c>
      <c r="H3" s="1469"/>
      <c r="I3" s="1469" t="str">
        <f>Translations!$B$249</f>
        <v>Measurable heat</v>
      </c>
      <c r="J3" s="1469"/>
      <c r="K3" s="1469" t="str">
        <f>Translations!$B$485</f>
        <v>Heat (final result)</v>
      </c>
      <c r="L3" s="1469"/>
      <c r="M3" s="1469" t="str">
        <f>Translations!$B$486</f>
        <v>Waste gases</v>
      </c>
      <c r="N3" s="1469"/>
      <c r="O3" s="8"/>
      <c r="P3" s="190"/>
    </row>
    <row r="4" spans="1:19" ht="13.5" customHeight="1" thickBot="1" x14ac:dyDescent="0.3">
      <c r="B4" s="1288"/>
      <c r="C4" s="1289"/>
      <c r="D4" s="1290"/>
      <c r="E4" s="1147" t="str">
        <f>Translations!$B$6</f>
        <v>End of sheet</v>
      </c>
      <c r="F4" s="1147"/>
      <c r="G4" s="1292" t="str">
        <f>Translations!$B$487</f>
        <v>Electricity</v>
      </c>
      <c r="H4" s="1279"/>
      <c r="I4" s="1279"/>
      <c r="J4" s="1279"/>
      <c r="K4" s="1279"/>
      <c r="L4" s="1279"/>
      <c r="M4" s="1467"/>
      <c r="N4" s="1467"/>
      <c r="O4" s="8"/>
      <c r="P4" s="190"/>
    </row>
    <row r="5" spans="1:19" x14ac:dyDescent="0.25">
      <c r="B5" s="8"/>
      <c r="C5" s="6"/>
      <c r="D5" s="8"/>
      <c r="E5" s="8"/>
      <c r="F5" s="202"/>
      <c r="G5" s="202"/>
      <c r="H5" s="202"/>
      <c r="I5" s="8"/>
      <c r="J5" s="8"/>
      <c r="K5" s="8"/>
      <c r="L5" s="8"/>
      <c r="M5" s="8"/>
      <c r="N5" s="8"/>
      <c r="O5" s="8"/>
      <c r="P5" s="190"/>
    </row>
    <row r="6" spans="1:19" ht="23.25" customHeight="1" x14ac:dyDescent="0.25">
      <c r="B6" s="8"/>
      <c r="C6" s="10" t="s">
        <v>8</v>
      </c>
      <c r="D6" s="1207" t="str">
        <f>Translations!$B$488</f>
        <v>Sheet "EnergyFlows" - DATA ON ENERGY INPUT, MEASURABLE HEAT AND ELECTRICITY</v>
      </c>
      <c r="E6" s="1176"/>
      <c r="F6" s="1176"/>
      <c r="G6" s="1176"/>
      <c r="H6" s="1176"/>
      <c r="I6" s="1176"/>
      <c r="J6" s="1176"/>
      <c r="K6" s="1176"/>
      <c r="L6" s="1176"/>
      <c r="M6" s="1176"/>
      <c r="N6" s="1176"/>
      <c r="O6" s="8"/>
      <c r="P6" s="248" t="s">
        <v>188</v>
      </c>
      <c r="Q6" s="248" t="s">
        <v>188</v>
      </c>
      <c r="R6" s="248" t="s">
        <v>188</v>
      </c>
      <c r="S6" s="248" t="s">
        <v>188</v>
      </c>
    </row>
    <row r="7" spans="1:19" x14ac:dyDescent="0.25">
      <c r="B7" s="8"/>
      <c r="C7" s="8"/>
      <c r="D7" s="8"/>
      <c r="E7" s="8"/>
      <c r="F7" s="8"/>
      <c r="G7" s="8"/>
      <c r="H7" s="8"/>
      <c r="I7" s="8"/>
      <c r="J7" s="8"/>
      <c r="K7" s="8"/>
      <c r="L7" s="8"/>
      <c r="M7" s="8"/>
      <c r="N7" s="8"/>
      <c r="O7" s="8"/>
      <c r="P7" s="249" t="s">
        <v>189</v>
      </c>
      <c r="Q7" s="249" t="s">
        <v>189</v>
      </c>
      <c r="R7" s="249" t="s">
        <v>189</v>
      </c>
      <c r="S7" s="249" t="s">
        <v>189</v>
      </c>
    </row>
    <row r="8" spans="1:19" ht="15.6" x14ac:dyDescent="0.3">
      <c r="B8" s="8"/>
      <c r="C8" s="13" t="s">
        <v>3</v>
      </c>
      <c r="D8" s="1175" t="str">
        <f>Translations!$B$489</f>
        <v>Energy input from fuels</v>
      </c>
      <c r="E8" s="1175"/>
      <c r="F8" s="1175"/>
      <c r="G8" s="1175"/>
      <c r="H8" s="1175"/>
      <c r="I8" s="1175"/>
      <c r="J8" s="1175"/>
      <c r="K8" s="1175"/>
      <c r="L8" s="1175"/>
      <c r="M8" s="1175"/>
      <c r="N8" s="1175"/>
      <c r="O8" s="8"/>
      <c r="P8" s="190"/>
    </row>
    <row r="9" spans="1:19" ht="5.0999999999999996" customHeight="1" x14ac:dyDescent="0.25">
      <c r="B9" s="8"/>
      <c r="C9" s="8"/>
      <c r="D9" s="8"/>
      <c r="E9" s="8"/>
      <c r="F9" s="8"/>
      <c r="G9" s="8"/>
      <c r="H9" s="8"/>
      <c r="I9" s="8"/>
      <c r="J9" s="8"/>
      <c r="K9" s="8"/>
      <c r="L9" s="8"/>
      <c r="M9" s="8"/>
      <c r="N9" s="8"/>
      <c r="O9" s="8"/>
      <c r="P9" s="190"/>
    </row>
    <row r="10" spans="1:19" ht="13.8" x14ac:dyDescent="0.25">
      <c r="B10" s="8"/>
      <c r="C10" s="19">
        <v>1</v>
      </c>
      <c r="D10" s="1234" t="str">
        <f>Translations!$B$490</f>
        <v>Overview and split into use categories</v>
      </c>
      <c r="E10" s="1176"/>
      <c r="F10" s="1176"/>
      <c r="G10" s="1176"/>
      <c r="H10" s="1176"/>
      <c r="I10" s="1176"/>
      <c r="J10" s="1176"/>
      <c r="K10" s="1176"/>
      <c r="L10" s="1176"/>
      <c r="M10" s="1176"/>
      <c r="N10" s="1176"/>
      <c r="O10" s="8"/>
      <c r="P10" s="190"/>
    </row>
    <row r="11" spans="1:19" ht="5.0999999999999996" customHeight="1" x14ac:dyDescent="0.25">
      <c r="B11" s="8"/>
      <c r="C11" s="8"/>
      <c r="D11" s="8"/>
      <c r="E11" s="8"/>
      <c r="F11" s="8"/>
      <c r="G11" s="8"/>
      <c r="H11" s="8"/>
      <c r="I11" s="8"/>
      <c r="J11" s="8"/>
      <c r="K11" s="8"/>
      <c r="L11" s="8"/>
      <c r="M11" s="8"/>
      <c r="N11" s="8"/>
      <c r="O11" s="8"/>
      <c r="P11" s="190"/>
    </row>
    <row r="12" spans="1:19" ht="5.0999999999999996" customHeight="1" x14ac:dyDescent="0.25">
      <c r="B12" s="8"/>
      <c r="C12" s="8"/>
      <c r="D12" s="8"/>
      <c r="E12" s="8"/>
      <c r="F12" s="8"/>
      <c r="G12" s="8"/>
      <c r="H12" s="8"/>
      <c r="I12" s="8"/>
      <c r="J12" s="8"/>
      <c r="K12" s="8"/>
      <c r="L12" s="8"/>
      <c r="M12" s="8"/>
      <c r="N12" s="8"/>
      <c r="O12" s="8"/>
      <c r="P12" s="190"/>
    </row>
    <row r="13" spans="1:19" x14ac:dyDescent="0.25">
      <c r="B13" s="8"/>
      <c r="C13" s="8"/>
      <c r="D13" s="15" t="s">
        <v>190</v>
      </c>
      <c r="E13" s="1165" t="str">
        <f>Translations!$B$491</f>
        <v>Energy input from fuels, total installation (taken from sheet "D_Emissions", section I):</v>
      </c>
      <c r="F13" s="1176"/>
      <c r="G13" s="1176"/>
      <c r="H13" s="1176"/>
      <c r="I13" s="1176"/>
      <c r="J13" s="1176"/>
      <c r="K13" s="1176"/>
      <c r="L13" s="1176"/>
      <c r="M13" s="1176"/>
      <c r="N13" s="1176"/>
      <c r="O13" s="8"/>
      <c r="P13" s="190"/>
    </row>
    <row r="14" spans="1:19" ht="5.0999999999999996" customHeight="1" x14ac:dyDescent="0.25">
      <c r="B14" s="8"/>
      <c r="C14" s="8"/>
      <c r="D14" s="8"/>
      <c r="E14" s="8"/>
      <c r="F14" s="8"/>
      <c r="G14" s="8"/>
      <c r="H14" s="8"/>
      <c r="I14" s="8"/>
      <c r="J14" s="8"/>
      <c r="K14" s="8"/>
      <c r="L14" s="8"/>
      <c r="M14" s="8"/>
      <c r="N14" s="8"/>
      <c r="O14" s="8"/>
      <c r="P14" s="190"/>
    </row>
    <row r="15" spans="1:19" x14ac:dyDescent="0.25">
      <c r="B15" s="17"/>
      <c r="C15" s="17"/>
      <c r="D15" s="17"/>
      <c r="E15" s="22"/>
      <c r="F15" s="78"/>
      <c r="G15" s="78"/>
      <c r="H15" s="23" t="str">
        <f>EUconst_Unit</f>
        <v>Unit</v>
      </c>
      <c r="I15" s="128">
        <f>I$380</f>
        <v>2019</v>
      </c>
      <c r="J15" s="128">
        <f>J$380</f>
        <v>2020</v>
      </c>
      <c r="K15" s="128">
        <f>K$380</f>
        <v>2021</v>
      </c>
      <c r="L15" s="128">
        <f>L$380</f>
        <v>2022</v>
      </c>
      <c r="M15" s="128">
        <f>M$380</f>
        <v>2023</v>
      </c>
      <c r="N15" s="8"/>
      <c r="O15" s="8"/>
    </row>
    <row r="16" spans="1:19" x14ac:dyDescent="0.25">
      <c r="B16" s="17"/>
      <c r="C16" s="17"/>
      <c r="D16" s="17"/>
      <c r="E16" s="1412" t="str">
        <f>Translations!$B$372</f>
        <v>Total energy input from fuels</v>
      </c>
      <c r="F16" s="1412"/>
      <c r="G16" s="1412"/>
      <c r="H16" s="43" t="str">
        <f>EUconst_TJpa</f>
        <v>TJ / year</v>
      </c>
      <c r="I16" s="818" t="str">
        <f>IF(ISNUMBER(D_Emissions!I$59),D_Emissions!I$59,"")</f>
        <v/>
      </c>
      <c r="J16" s="818" t="str">
        <f>IF(ISNUMBER(D_Emissions!J$59),D_Emissions!J$59,"")</f>
        <v/>
      </c>
      <c r="K16" s="818" t="str">
        <f>IF(ISNUMBER(D_Emissions!K$59),D_Emissions!K$59,"")</f>
        <v/>
      </c>
      <c r="L16" s="818" t="str">
        <f>IF(ISNUMBER(D_Emissions!L$59),D_Emissions!L$59,"")</f>
        <v/>
      </c>
      <c r="M16" s="818" t="str">
        <f>IF(ISNUMBER(D_Emissions!M$59),D_Emissions!M$59,"")</f>
        <v/>
      </c>
      <c r="N16" s="8"/>
      <c r="O16" s="8"/>
    </row>
    <row r="17" spans="2:16" ht="5.0999999999999996" customHeight="1" thickBot="1" x14ac:dyDescent="0.3">
      <c r="B17" s="8"/>
      <c r="C17" s="8"/>
      <c r="D17" s="8"/>
      <c r="E17" s="8"/>
      <c r="F17" s="8"/>
      <c r="G17" s="8"/>
      <c r="H17" s="8"/>
      <c r="I17" s="8"/>
      <c r="J17" s="8"/>
      <c r="K17" s="8"/>
      <c r="L17" s="8"/>
      <c r="M17" s="8"/>
      <c r="N17" s="8"/>
      <c r="O17" s="8"/>
      <c r="P17" s="190"/>
    </row>
    <row r="18" spans="2:16" ht="13.8" thickBot="1" x14ac:dyDescent="0.3">
      <c r="B18" s="8"/>
      <c r="C18" s="8"/>
      <c r="D18" s="15" t="s">
        <v>192</v>
      </c>
      <c r="E18" s="1165" t="str">
        <f>Translations!$B$492</f>
        <v>Input method:</v>
      </c>
      <c r="F18" s="1165"/>
      <c r="G18" s="1165"/>
      <c r="H18" s="1425"/>
      <c r="I18" s="1444"/>
      <c r="J18" s="1445"/>
      <c r="K18" s="64" t="str">
        <f>IF(AND(ISBLANK(I18),COUNT(I34:N37)&gt;0),EUconst_Incomplete,"")</f>
        <v/>
      </c>
      <c r="L18" s="8"/>
      <c r="M18" s="8"/>
      <c r="N18" s="8"/>
      <c r="O18" s="8"/>
      <c r="P18" s="251" t="str">
        <f>IF(ISBLANK($I$18),EUconst_NA,MATCH($I$18,EUconst_AbsRel,0))</f>
        <v>N.A.</v>
      </c>
    </row>
    <row r="19" spans="2:16" x14ac:dyDescent="0.25">
      <c r="B19" s="8"/>
      <c r="C19" s="8"/>
      <c r="D19" s="17"/>
      <c r="E19" s="1223" t="str">
        <f>Translations!$B$493</f>
        <v>You can choose the method for entering the values in the table below under point (c). Available options are: "Absolute values" (enter TJ/year), or "percentages".</v>
      </c>
      <c r="F19" s="1176"/>
      <c r="G19" s="1176"/>
      <c r="H19" s="1176"/>
      <c r="I19" s="1176"/>
      <c r="J19" s="1176"/>
      <c r="K19" s="1176"/>
      <c r="L19" s="1176"/>
      <c r="M19" s="1176"/>
      <c r="N19" s="1176"/>
      <c r="O19" s="8"/>
      <c r="P19" s="190" t="s">
        <v>343</v>
      </c>
    </row>
    <row r="20" spans="2:16" x14ac:dyDescent="0.25">
      <c r="B20" s="8"/>
      <c r="C20" s="8"/>
      <c r="D20" s="17"/>
      <c r="E20" s="1223" t="str">
        <f>Translations!$B$494</f>
        <v>For fast data entries in simple cases, where most entries will be "100%" or zero, percentages are the better choice.</v>
      </c>
      <c r="F20" s="1176"/>
      <c r="G20" s="1176"/>
      <c r="H20" s="1176"/>
      <c r="I20" s="1176"/>
      <c r="J20" s="1176"/>
      <c r="K20" s="1176"/>
      <c r="L20" s="1176"/>
      <c r="M20" s="1176"/>
      <c r="N20" s="1176"/>
      <c r="O20" s="8"/>
      <c r="P20" s="190"/>
    </row>
    <row r="21" spans="2:16" ht="5.0999999999999996" customHeight="1" x14ac:dyDescent="0.25">
      <c r="B21" s="8"/>
      <c r="C21" s="8"/>
      <c r="D21" s="8"/>
      <c r="E21" s="8"/>
      <c r="F21" s="8"/>
      <c r="G21" s="8"/>
      <c r="H21" s="8"/>
      <c r="I21" s="8"/>
      <c r="J21" s="8"/>
      <c r="K21" s="8"/>
      <c r="L21" s="8"/>
      <c r="M21" s="8"/>
      <c r="N21" s="8"/>
      <c r="O21" s="8"/>
      <c r="P21" s="190"/>
    </row>
    <row r="22" spans="2:16" x14ac:dyDescent="0.25">
      <c r="B22" s="8"/>
      <c r="C22" s="8"/>
      <c r="D22" s="15" t="s">
        <v>195</v>
      </c>
      <c r="E22" s="1447" t="str">
        <f>Translations!$B$495</f>
        <v>Distribution of fuel input to different uses</v>
      </c>
      <c r="F22" s="1443"/>
      <c r="G22" s="1443"/>
      <c r="H22" s="1443"/>
      <c r="I22" s="1443"/>
      <c r="J22" s="1443"/>
      <c r="K22" s="1443"/>
      <c r="L22" s="1443"/>
      <c r="M22" s="1443"/>
      <c r="N22" s="1443"/>
      <c r="O22" s="8"/>
      <c r="P22" s="190"/>
    </row>
    <row r="23" spans="2:16" x14ac:dyDescent="0.25">
      <c r="B23" s="8"/>
      <c r="C23" s="8"/>
      <c r="D23" s="17"/>
      <c r="E23" s="1223" t="str">
        <f>Translations!$B$496</f>
        <v>Please enter in the table below the amount of energy consumed for each use type, or - depending on input (b) - the percentage of amount (a).</v>
      </c>
      <c r="F23" s="1176"/>
      <c r="G23" s="1176"/>
      <c r="H23" s="1176"/>
      <c r="I23" s="1176"/>
      <c r="J23" s="1176"/>
      <c r="K23" s="1176"/>
      <c r="L23" s="1176"/>
      <c r="M23" s="1176"/>
      <c r="N23" s="1176"/>
      <c r="O23" s="8"/>
      <c r="P23" s="190"/>
    </row>
    <row r="24" spans="2:16" x14ac:dyDescent="0.25">
      <c r="B24" s="8"/>
      <c r="C24" s="8"/>
      <c r="D24" s="17"/>
      <c r="E24" s="630" t="s">
        <v>214</v>
      </c>
      <c r="F24" s="1314" t="str">
        <f>Translations!$B$497</f>
        <v>Fuel input to product BM is the sum of direct fuel input and fuel input to measurable heat consumed by the sub-installation.</v>
      </c>
      <c r="G24" s="1314"/>
      <c r="H24" s="1314"/>
      <c r="I24" s="1314"/>
      <c r="J24" s="1314"/>
      <c r="K24" s="1314"/>
      <c r="L24" s="1314"/>
      <c r="M24" s="1314"/>
      <c r="N24" s="1314"/>
      <c r="O24" s="8"/>
      <c r="P24" s="190"/>
    </row>
    <row r="25" spans="2:16" x14ac:dyDescent="0.25">
      <c r="B25" s="8"/>
      <c r="C25" s="8"/>
      <c r="D25" s="17"/>
      <c r="E25" s="630" t="s">
        <v>214</v>
      </c>
      <c r="F25" s="1314" t="str">
        <f>Translations!$B$498</f>
        <v>Fuel input for production of measurable heat not used for product BM or electricity production</v>
      </c>
      <c r="G25" s="1314"/>
      <c r="H25" s="1314"/>
      <c r="I25" s="1314"/>
      <c r="J25" s="1314"/>
      <c r="K25" s="1314"/>
      <c r="L25" s="1314"/>
      <c r="M25" s="1314"/>
      <c r="N25" s="1314"/>
      <c r="O25" s="8"/>
      <c r="P25" s="190"/>
    </row>
    <row r="26" spans="2:16" x14ac:dyDescent="0.25">
      <c r="B26" s="8"/>
      <c r="C26" s="8"/>
      <c r="D26" s="17"/>
      <c r="E26" s="630" t="s">
        <v>214</v>
      </c>
      <c r="F26" s="1314" t="str">
        <f>Translations!$B$499</f>
        <v>Fuel input to fuel BM sub-installations</v>
      </c>
      <c r="G26" s="1314"/>
      <c r="H26" s="1314"/>
      <c r="I26" s="1314"/>
      <c r="J26" s="1314"/>
      <c r="K26" s="1314"/>
      <c r="L26" s="1314"/>
      <c r="M26" s="1314"/>
      <c r="N26" s="1314"/>
      <c r="O26" s="8"/>
      <c r="P26" s="190"/>
    </row>
    <row r="27" spans="2:16" x14ac:dyDescent="0.25">
      <c r="B27" s="8"/>
      <c r="C27" s="8"/>
      <c r="D27" s="17"/>
      <c r="E27" s="630" t="s">
        <v>214</v>
      </c>
      <c r="F27" s="1314" t="str">
        <f>Translations!$B$500</f>
        <v>Fuel input for electricity production</v>
      </c>
      <c r="G27" s="1314"/>
      <c r="H27" s="1314"/>
      <c r="I27" s="1314"/>
      <c r="J27" s="1314"/>
      <c r="K27" s="1314"/>
      <c r="L27" s="1314"/>
      <c r="M27" s="1314"/>
      <c r="N27" s="1314"/>
      <c r="O27" s="8"/>
      <c r="P27" s="190"/>
    </row>
    <row r="28" spans="2:16" ht="12.75" customHeight="1" x14ac:dyDescent="0.25">
      <c r="B28" s="8"/>
      <c r="C28" s="8"/>
      <c r="D28" s="17"/>
      <c r="E28" s="1477" t="str">
        <f>Translations!$B$501</f>
        <v>For attributing fuel input from cogeneration (CHP) to production of measurable heat and electricity, the "CHP tool" in section D.III. has to be used.</v>
      </c>
      <c r="F28" s="1477"/>
      <c r="G28" s="1477"/>
      <c r="H28" s="1477"/>
      <c r="I28" s="1477"/>
      <c r="J28" s="1477"/>
      <c r="K28" s="1477"/>
      <c r="L28" s="1477"/>
      <c r="M28" s="1477"/>
      <c r="N28" s="17"/>
      <c r="O28" s="8"/>
      <c r="P28" s="190"/>
    </row>
    <row r="29" spans="2:16" x14ac:dyDescent="0.25">
      <c r="B29" s="8"/>
      <c r="C29" s="8"/>
      <c r="D29" s="17"/>
      <c r="E29" s="1378" t="str">
        <f>Translations!$B$502</f>
        <v xml:space="preserve">Special care should be taken for attribution of energy input to the two sub-installations which are relevant for allocation purposes: </v>
      </c>
      <c r="F29" s="1168"/>
      <c r="G29" s="1168"/>
      <c r="H29" s="1168"/>
      <c r="I29" s="1168"/>
      <c r="J29" s="1168"/>
      <c r="K29" s="1168"/>
      <c r="L29" s="1168"/>
      <c r="M29" s="1168"/>
      <c r="N29" s="1168"/>
      <c r="O29" s="8"/>
      <c r="P29" s="190"/>
    </row>
    <row r="30" spans="2:16" ht="22.2" customHeight="1" x14ac:dyDescent="0.25">
      <c r="B30" s="8"/>
      <c r="C30" s="8"/>
      <c r="D30" s="17"/>
      <c r="E30" s="1223" t="s">
        <v>344</v>
      </c>
      <c r="F30" s="1176"/>
      <c r="G30" s="1176"/>
      <c r="H30" s="1176"/>
      <c r="I30" s="1176"/>
      <c r="J30" s="1176"/>
      <c r="K30" s="1176"/>
      <c r="L30" s="1176"/>
      <c r="M30" s="1176"/>
      <c r="N30" s="1176"/>
      <c r="O30" s="8"/>
      <c r="P30" s="190"/>
    </row>
    <row r="31" spans="2:16" x14ac:dyDescent="0.25">
      <c r="B31" s="8"/>
      <c r="C31" s="8"/>
      <c r="D31" s="17"/>
      <c r="E31" s="1223" t="str">
        <f>Translations!$B$504</f>
        <v>For control purposes, the rest (100% minus total of inputs) is displayed in the bottom line. This refers to energy input which is not eligible for allocation.</v>
      </c>
      <c r="F31" s="1176"/>
      <c r="G31" s="1176"/>
      <c r="H31" s="1176"/>
      <c r="I31" s="1176"/>
      <c r="J31" s="1176"/>
      <c r="K31" s="1176"/>
      <c r="L31" s="1176"/>
      <c r="M31" s="1176"/>
      <c r="N31" s="1176"/>
      <c r="O31" s="8"/>
      <c r="P31" s="190"/>
    </row>
    <row r="32" spans="2:16" ht="5.0999999999999996" customHeight="1" x14ac:dyDescent="0.25">
      <c r="B32" s="8"/>
      <c r="C32" s="8"/>
      <c r="D32" s="8"/>
      <c r="E32" s="8"/>
      <c r="F32" s="8"/>
      <c r="G32" s="8"/>
      <c r="H32" s="8"/>
      <c r="I32" s="8"/>
      <c r="J32" s="8"/>
      <c r="K32" s="8"/>
      <c r="L32" s="8"/>
      <c r="M32" s="8"/>
      <c r="N32" s="8"/>
      <c r="O32" s="8"/>
      <c r="P32" s="190"/>
    </row>
    <row r="33" spans="2:19" ht="13.8" thickBot="1" x14ac:dyDescent="0.3">
      <c r="B33" s="17"/>
      <c r="C33" s="17"/>
      <c r="D33" s="17"/>
      <c r="E33" s="1447" t="str">
        <f>Translations!$B$505</f>
        <v>Usage type of fuel input</v>
      </c>
      <c r="F33" s="1443"/>
      <c r="G33" s="1443"/>
      <c r="H33" s="15" t="str">
        <f>EUconst_Unit</f>
        <v>Unit</v>
      </c>
      <c r="I33" s="128">
        <f>I$380</f>
        <v>2019</v>
      </c>
      <c r="J33" s="128">
        <f>J$380</f>
        <v>2020</v>
      </c>
      <c r="K33" s="128">
        <f>K$380</f>
        <v>2021</v>
      </c>
      <c r="L33" s="128">
        <f>L$380</f>
        <v>2022</v>
      </c>
      <c r="M33" s="128">
        <f>M$380</f>
        <v>2023</v>
      </c>
      <c r="N33" s="8"/>
      <c r="O33" s="8"/>
      <c r="S33" s="150" t="s">
        <v>330</v>
      </c>
    </row>
    <row r="34" spans="2:19" ht="12.75" customHeight="1" x14ac:dyDescent="0.25">
      <c r="B34" s="17"/>
      <c r="C34" s="17"/>
      <c r="D34" s="113" t="s">
        <v>206</v>
      </c>
      <c r="E34" s="1498" t="str">
        <f>Translations!$B$506</f>
        <v>Fuel input to product BM sub-installations</v>
      </c>
      <c r="F34" s="1499"/>
      <c r="G34" s="1500"/>
      <c r="H34" s="292" t="str">
        <f t="shared" ref="H34:H39" si="0">IF(CTRL_InputMethodFuelDistribution=EUconst_NA,EUconst_relOrTJpa,IF(CTRL_InputMethodFuelDistribution=1,EUconst_TJpa,"%"))</f>
        <v>% or TJ / year</v>
      </c>
      <c r="I34" s="293"/>
      <c r="J34" s="293"/>
      <c r="K34" s="293"/>
      <c r="L34" s="293"/>
      <c r="M34" s="293"/>
      <c r="N34" s="8"/>
      <c r="O34" s="8"/>
      <c r="S34" s="316" t="b">
        <f>IF(CNTR_HasEntries_A_I,NOT(OR(CNTR_SubInstListIsProdBM)),FALSE)</f>
        <v>0</v>
      </c>
    </row>
    <row r="35" spans="2:19" ht="13.8" thickBot="1" x14ac:dyDescent="0.3">
      <c r="B35" s="17"/>
      <c r="C35" s="17"/>
      <c r="D35" s="113" t="s">
        <v>208</v>
      </c>
      <c r="E35" s="1498" t="str">
        <f>Translations!$B$507</f>
        <v>Fuel input for production of measurable heat</v>
      </c>
      <c r="F35" s="1499"/>
      <c r="G35" s="1500"/>
      <c r="H35" s="292" t="str">
        <f t="shared" si="0"/>
        <v>% or TJ / year</v>
      </c>
      <c r="I35" s="293"/>
      <c r="J35" s="293"/>
      <c r="K35" s="293"/>
      <c r="L35" s="293"/>
      <c r="M35" s="293"/>
      <c r="N35" s="8"/>
      <c r="O35" s="8"/>
      <c r="S35" s="308"/>
    </row>
    <row r="36" spans="2:19" x14ac:dyDescent="0.25">
      <c r="B36" s="17"/>
      <c r="C36" s="17"/>
      <c r="D36" s="113" t="s">
        <v>209</v>
      </c>
      <c r="E36" s="1495" t="str">
        <f>INDEX(EUconst_FallBackListNames,Q36)</f>
        <v>Fuel benchmark sub-installation, CL</v>
      </c>
      <c r="F36" s="1496"/>
      <c r="G36" s="1497"/>
      <c r="H36" s="298" t="str">
        <f t="shared" si="0"/>
        <v>% or TJ / year</v>
      </c>
      <c r="I36" s="299"/>
      <c r="J36" s="299"/>
      <c r="K36" s="299"/>
      <c r="L36" s="299"/>
      <c r="M36" s="300"/>
      <c r="N36" s="8"/>
      <c r="O36" s="8"/>
      <c r="P36" s="316" t="str">
        <f>IF(CTRL_InputMethodFuelDistribution=1,EUconst_CNTR_HAL&amp;E36,"")</f>
        <v/>
      </c>
      <c r="Q36" s="400">
        <v>4</v>
      </c>
      <c r="S36" s="316" t="b">
        <f>IF(ISBLANK(INDEX(CNTR_FallBackSubInstRelevant,Q36)),FALSE,IF(INDEX(CNTR_FallBackSubInstRelevant,Q36),FALSE,TRUE))</f>
        <v>0</v>
      </c>
    </row>
    <row r="37" spans="2:19" ht="13.8" thickBot="1" x14ac:dyDescent="0.3">
      <c r="B37" s="17"/>
      <c r="C37" s="17"/>
      <c r="D37" s="113" t="s">
        <v>210</v>
      </c>
      <c r="E37" s="1478" t="str">
        <f>INDEX(EUconst_FallBackListNames,Q37)</f>
        <v>Fuel benchmark sub-installation, non-CL</v>
      </c>
      <c r="F37" s="1479"/>
      <c r="G37" s="1480"/>
      <c r="H37" s="301" t="str">
        <f t="shared" si="0"/>
        <v>% or TJ / year</v>
      </c>
      <c r="I37" s="302"/>
      <c r="J37" s="302"/>
      <c r="K37" s="302"/>
      <c r="L37" s="302"/>
      <c r="M37" s="303"/>
      <c r="N37" s="8"/>
      <c r="O37" s="8"/>
      <c r="P37" s="317" t="str">
        <f>IF(CTRL_InputMethodFuelDistribution=1,EUconst_CNTR_HAL&amp;E37,"")</f>
        <v/>
      </c>
      <c r="Q37" s="401">
        <v>5</v>
      </c>
      <c r="S37" s="317" t="b">
        <f>IF(ISBLANK(INDEX(CNTR_FallBackSubInstRelevant,Q37)),FALSE,IF(INDEX(CNTR_FallBackSubInstRelevant,Q37),FALSE,TRUE))</f>
        <v>0</v>
      </c>
    </row>
    <row r="38" spans="2:19" x14ac:dyDescent="0.25">
      <c r="B38" s="17"/>
      <c r="C38" s="17"/>
      <c r="D38" s="113" t="s">
        <v>220</v>
      </c>
      <c r="E38" s="1502" t="str">
        <f>Translations!$B$500</f>
        <v>Fuel input for electricity production</v>
      </c>
      <c r="F38" s="1503"/>
      <c r="G38" s="1504"/>
      <c r="H38" s="402" t="str">
        <f t="shared" si="0"/>
        <v>% or TJ / year</v>
      </c>
      <c r="I38" s="404"/>
      <c r="J38" s="404"/>
      <c r="K38" s="404"/>
      <c r="L38" s="404"/>
      <c r="M38" s="404"/>
      <c r="N38" s="8"/>
      <c r="O38" s="8"/>
      <c r="P38" s="308"/>
    </row>
    <row r="39" spans="2:19" x14ac:dyDescent="0.25">
      <c r="B39" s="17"/>
      <c r="C39" s="17"/>
      <c r="D39" s="113" t="s">
        <v>221</v>
      </c>
      <c r="E39" s="1470" t="str">
        <f>Translations!$B$508</f>
        <v>Rest</v>
      </c>
      <c r="F39" s="1470"/>
      <c r="G39" s="1470"/>
      <c r="H39" s="294" t="str">
        <f t="shared" si="0"/>
        <v>% or TJ / year</v>
      </c>
      <c r="I39" s="304" t="str">
        <f>IF(AND(COUNT(I34:I38,I16)&gt;0,ISNUMBER(CTRL_InputMethodFuelDistribution)),IF(CTRL_InputMethodFuelDistribution=1,I16-SUM(I34:I38),100-SUM(I34:I38)),"")</f>
        <v/>
      </c>
      <c r="J39" s="304" t="str">
        <f>IF(AND(COUNT(J34:J38,J16)&gt;0,ISNUMBER(CTRL_InputMethodFuelDistribution)),IF(CTRL_InputMethodFuelDistribution=1,J16-SUM(J34:J38),100-SUM(J34:J38)),"")</f>
        <v/>
      </c>
      <c r="K39" s="304" t="str">
        <f>IF(AND(COUNT(K34:K38,K16)&gt;0,ISNUMBER(CTRL_InputMethodFuelDistribution)),IF(CTRL_InputMethodFuelDistribution=1,K16-SUM(K34:K38),100-SUM(K34:K38)),"")</f>
        <v/>
      </c>
      <c r="L39" s="304" t="str">
        <f>IF(AND(COUNT(L34:L38,L16)&gt;0,ISNUMBER(CTRL_InputMethodFuelDistribution)),IF(CTRL_InputMethodFuelDistribution=1,L16-SUM(L34:L38),100-SUM(L34:L38)),"")</f>
        <v/>
      </c>
      <c r="M39" s="304" t="str">
        <f>IF(AND(COUNT(M34:M38,M16)&gt;0,ISNUMBER(CTRL_InputMethodFuelDistribution)),IF(CTRL_InputMethodFuelDistribution=1,M16-SUM(M34:M38),100-SUM(M34:M38)),"")</f>
        <v/>
      </c>
      <c r="N39" s="8"/>
      <c r="O39" s="8"/>
      <c r="P39" s="308"/>
    </row>
    <row r="40" spans="2:19" x14ac:dyDescent="0.25">
      <c r="B40" s="17"/>
      <c r="C40" s="17"/>
      <c r="D40" s="17"/>
      <c r="E40" s="17"/>
      <c r="F40" s="17"/>
      <c r="G40" s="17"/>
      <c r="H40" s="17"/>
      <c r="I40" s="17"/>
      <c r="J40" s="17"/>
      <c r="K40" s="17"/>
      <c r="L40" s="17"/>
      <c r="M40" s="17"/>
      <c r="N40" s="17"/>
      <c r="O40" s="8"/>
      <c r="P40" s="308"/>
    </row>
    <row r="41" spans="2:19" x14ac:dyDescent="0.25">
      <c r="B41" s="8"/>
      <c r="C41" s="8"/>
      <c r="D41" s="17"/>
      <c r="E41" s="1223" t="str">
        <f>Translations!$B$509</f>
        <v>For control purposes, the inputs are displayed here in the unit which you have not chosen for input:</v>
      </c>
      <c r="F41" s="1176"/>
      <c r="G41" s="1176"/>
      <c r="H41" s="1176"/>
      <c r="I41" s="1176"/>
      <c r="J41" s="1176"/>
      <c r="K41" s="1176"/>
      <c r="L41" s="1176"/>
      <c r="M41" s="1176"/>
      <c r="N41" s="1176"/>
      <c r="O41" s="8"/>
      <c r="P41" s="309"/>
    </row>
    <row r="42" spans="2:19" ht="5.0999999999999996" customHeight="1" x14ac:dyDescent="0.25">
      <c r="B42" s="8"/>
      <c r="C42" s="8"/>
      <c r="D42" s="8"/>
      <c r="E42" s="8"/>
      <c r="F42" s="8"/>
      <c r="G42" s="8"/>
      <c r="H42" s="8"/>
      <c r="I42" s="8"/>
      <c r="J42" s="8"/>
      <c r="K42" s="8"/>
      <c r="L42" s="8"/>
      <c r="M42" s="8"/>
      <c r="N42" s="8"/>
      <c r="O42" s="8"/>
      <c r="P42" s="309"/>
    </row>
    <row r="43" spans="2:19" x14ac:dyDescent="0.25">
      <c r="B43" s="17"/>
      <c r="C43" s="17"/>
      <c r="D43" s="17"/>
      <c r="E43" s="1447" t="str">
        <f t="shared" ref="E43:E49" si="1">E33</f>
        <v>Usage type of fuel input</v>
      </c>
      <c r="F43" s="1443"/>
      <c r="G43" s="1443"/>
      <c r="H43" s="15" t="str">
        <f>EUconst_Unit</f>
        <v>Unit</v>
      </c>
      <c r="I43" s="128">
        <f>I$380</f>
        <v>2019</v>
      </c>
      <c r="J43" s="128">
        <f>J$380</f>
        <v>2020</v>
      </c>
      <c r="K43" s="128">
        <f>K$380</f>
        <v>2021</v>
      </c>
      <c r="L43" s="128">
        <f>L$380</f>
        <v>2022</v>
      </c>
      <c r="M43" s="128">
        <f>M$380</f>
        <v>2023</v>
      </c>
      <c r="N43" s="17"/>
      <c r="O43" s="8"/>
      <c r="P43" s="308"/>
    </row>
    <row r="44" spans="2:19" ht="13.5" customHeight="1" x14ac:dyDescent="0.25">
      <c r="B44" s="17"/>
      <c r="C44" s="17"/>
      <c r="D44" s="113" t="s">
        <v>222</v>
      </c>
      <c r="E44" s="1505" t="str">
        <f t="shared" si="1"/>
        <v>Fuel input to product BM sub-installations</v>
      </c>
      <c r="F44" s="1505"/>
      <c r="G44" s="1505"/>
      <c r="H44" s="292" t="str">
        <f t="shared" ref="H44:H49" si="2">IF(CTRL_InputMethodFuelDistribution=EUconst_NA,EUconst_relOrTJpa,IF(CTRL_InputMethodFuelDistribution=2,EUconst_TJpa,"%"))</f>
        <v>% or TJ / year</v>
      </c>
      <c r="I44" s="163" t="str">
        <f t="shared" ref="I44:M49" si="3">IF(AND(ISNUMBER(I$16),ISNUMBER(I34),CTRL_InputMethodFuelDistribution&lt;&gt;EUconst_NA),IF(CTRL_InputMethodFuelDistribution=1,I34/I$16*100,I34*I$16/100),"")</f>
        <v/>
      </c>
      <c r="J44" s="163" t="str">
        <f t="shared" si="3"/>
        <v/>
      </c>
      <c r="K44" s="163" t="str">
        <f t="shared" si="3"/>
        <v/>
      </c>
      <c r="L44" s="163" t="str">
        <f t="shared" si="3"/>
        <v/>
      </c>
      <c r="M44" s="163" t="str">
        <f t="shared" si="3"/>
        <v/>
      </c>
      <c r="N44" s="17"/>
      <c r="O44" s="8"/>
      <c r="P44" s="308"/>
    </row>
    <row r="45" spans="2:19" ht="13.8" thickBot="1" x14ac:dyDescent="0.3">
      <c r="B45" s="17"/>
      <c r="C45" s="17"/>
      <c r="D45" s="113" t="s">
        <v>223</v>
      </c>
      <c r="E45" s="1505" t="str">
        <f t="shared" si="1"/>
        <v>Fuel input for production of measurable heat</v>
      </c>
      <c r="F45" s="1505"/>
      <c r="G45" s="1505"/>
      <c r="H45" s="292" t="str">
        <f t="shared" si="2"/>
        <v>% or TJ / year</v>
      </c>
      <c r="I45" s="163" t="str">
        <f t="shared" si="3"/>
        <v/>
      </c>
      <c r="J45" s="163" t="str">
        <f t="shared" si="3"/>
        <v/>
      </c>
      <c r="K45" s="163" t="str">
        <f t="shared" si="3"/>
        <v/>
      </c>
      <c r="L45" s="163" t="str">
        <f t="shared" si="3"/>
        <v/>
      </c>
      <c r="M45" s="163" t="str">
        <f t="shared" si="3"/>
        <v/>
      </c>
      <c r="N45" s="17"/>
      <c r="O45" s="8"/>
      <c r="P45" s="308"/>
    </row>
    <row r="46" spans="2:19" x14ac:dyDescent="0.25">
      <c r="B46" s="17"/>
      <c r="C46" s="17"/>
      <c r="D46" s="113" t="s">
        <v>224</v>
      </c>
      <c r="E46" s="1501" t="str">
        <f t="shared" si="1"/>
        <v>Fuel benchmark sub-installation, CL</v>
      </c>
      <c r="F46" s="1493"/>
      <c r="G46" s="1493"/>
      <c r="H46" s="298" t="str">
        <f t="shared" si="2"/>
        <v>% or TJ / year</v>
      </c>
      <c r="I46" s="305" t="str">
        <f t="shared" si="3"/>
        <v/>
      </c>
      <c r="J46" s="305" t="str">
        <f t="shared" si="3"/>
        <v/>
      </c>
      <c r="K46" s="305" t="str">
        <f t="shared" si="3"/>
        <v/>
      </c>
      <c r="L46" s="305" t="str">
        <f t="shared" si="3"/>
        <v/>
      </c>
      <c r="M46" s="306" t="str">
        <f t="shared" si="3"/>
        <v/>
      </c>
      <c r="N46" s="17"/>
      <c r="O46" s="8"/>
      <c r="P46" s="295" t="str">
        <f>IF(CTRL_InputMethodFuelDistribution=2,EUconst_CNTR_HAL&amp;E46,"")</f>
        <v/>
      </c>
    </row>
    <row r="47" spans="2:19" ht="13.8" thickBot="1" x14ac:dyDescent="0.3">
      <c r="B47" s="17"/>
      <c r="C47" s="17"/>
      <c r="D47" s="113" t="s">
        <v>345</v>
      </c>
      <c r="E47" s="1474" t="str">
        <f t="shared" si="1"/>
        <v>Fuel benchmark sub-installation, non-CL</v>
      </c>
      <c r="F47" s="1475"/>
      <c r="G47" s="1475"/>
      <c r="H47" s="301" t="str">
        <f t="shared" si="2"/>
        <v>% or TJ / year</v>
      </c>
      <c r="I47" s="111" t="str">
        <f t="shared" si="3"/>
        <v/>
      </c>
      <c r="J47" s="111" t="str">
        <f t="shared" si="3"/>
        <v/>
      </c>
      <c r="K47" s="111" t="str">
        <f t="shared" si="3"/>
        <v/>
      </c>
      <c r="L47" s="111" t="str">
        <f t="shared" si="3"/>
        <v/>
      </c>
      <c r="M47" s="307" t="str">
        <f t="shared" si="3"/>
        <v/>
      </c>
      <c r="N47" s="17"/>
      <c r="O47" s="8"/>
      <c r="P47" s="297" t="str">
        <f>IF(CTRL_InputMethodFuelDistribution=2,EUconst_CNTR_HAL&amp;E47,"")</f>
        <v/>
      </c>
    </row>
    <row r="48" spans="2:19" x14ac:dyDescent="0.25">
      <c r="B48" s="17"/>
      <c r="C48" s="17"/>
      <c r="D48" s="113" t="s">
        <v>346</v>
      </c>
      <c r="E48" s="1476" t="str">
        <f t="shared" si="1"/>
        <v>Fuel input for electricity production</v>
      </c>
      <c r="F48" s="1476"/>
      <c r="G48" s="1476"/>
      <c r="H48" s="402" t="str">
        <f t="shared" si="2"/>
        <v>% or TJ / year</v>
      </c>
      <c r="I48" s="403" t="str">
        <f t="shared" si="3"/>
        <v/>
      </c>
      <c r="J48" s="403" t="str">
        <f t="shared" si="3"/>
        <v/>
      </c>
      <c r="K48" s="403" t="str">
        <f t="shared" si="3"/>
        <v/>
      </c>
      <c r="L48" s="403" t="str">
        <f t="shared" si="3"/>
        <v/>
      </c>
      <c r="M48" s="403" t="str">
        <f t="shared" si="3"/>
        <v/>
      </c>
      <c r="N48" s="17"/>
      <c r="O48" s="8"/>
    </row>
    <row r="49" spans="1:17" x14ac:dyDescent="0.25">
      <c r="B49" s="17"/>
      <c r="C49" s="17"/>
      <c r="D49" s="113" t="s">
        <v>347</v>
      </c>
      <c r="E49" s="1464" t="str">
        <f t="shared" si="1"/>
        <v>Rest</v>
      </c>
      <c r="F49" s="1464"/>
      <c r="G49" s="1464"/>
      <c r="H49" s="294" t="str">
        <f t="shared" si="2"/>
        <v>% or TJ / year</v>
      </c>
      <c r="I49" s="304" t="str">
        <f t="shared" si="3"/>
        <v/>
      </c>
      <c r="J49" s="304" t="str">
        <f t="shared" si="3"/>
        <v/>
      </c>
      <c r="K49" s="304" t="str">
        <f t="shared" si="3"/>
        <v/>
      </c>
      <c r="L49" s="304" t="str">
        <f t="shared" si="3"/>
        <v/>
      </c>
      <c r="M49" s="304" t="str">
        <f t="shared" si="3"/>
        <v/>
      </c>
      <c r="N49" s="17"/>
      <c r="O49" s="8"/>
    </row>
    <row r="50" spans="1:17" x14ac:dyDescent="0.25">
      <c r="B50" s="17"/>
      <c r="C50" s="17"/>
      <c r="D50" s="17"/>
      <c r="E50" s="17"/>
      <c r="F50" s="17"/>
      <c r="G50" s="17"/>
      <c r="H50" s="17"/>
      <c r="I50" s="17"/>
      <c r="J50" s="17"/>
      <c r="K50" s="17"/>
      <c r="L50" s="17"/>
      <c r="M50" s="17"/>
      <c r="N50" s="17"/>
      <c r="O50" s="8"/>
    </row>
    <row r="51" spans="1:17" ht="15.6" x14ac:dyDescent="0.3">
      <c r="B51" s="8"/>
      <c r="C51" s="13" t="s">
        <v>4</v>
      </c>
      <c r="D51" s="1461" t="str">
        <f>Translations!$B$249</f>
        <v>Measurable heat</v>
      </c>
      <c r="E51" s="1461"/>
      <c r="F51" s="1461"/>
      <c r="G51" s="1461"/>
      <c r="H51" s="1461"/>
      <c r="I51" s="1461"/>
      <c r="J51" s="1461"/>
      <c r="K51" s="1461"/>
      <c r="L51" s="1461"/>
      <c r="M51" s="1461"/>
      <c r="N51" s="1461"/>
      <c r="O51" s="8"/>
      <c r="P51" s="190"/>
    </row>
    <row r="52" spans="1:17" ht="5.0999999999999996" customHeight="1" x14ac:dyDescent="0.25">
      <c r="B52" s="8"/>
      <c r="C52" s="8"/>
      <c r="D52" s="8"/>
      <c r="E52" s="8"/>
      <c r="F52" s="8"/>
      <c r="G52" s="8"/>
      <c r="H52" s="8"/>
      <c r="I52" s="8"/>
      <c r="J52" s="8"/>
      <c r="K52" s="8"/>
      <c r="L52" s="8"/>
      <c r="M52" s="8"/>
      <c r="N52" s="8"/>
      <c r="O52" s="8"/>
      <c r="P52" s="190"/>
    </row>
    <row r="53" spans="1:17" ht="13.8" x14ac:dyDescent="0.25">
      <c r="B53" s="8"/>
      <c r="C53" s="19"/>
      <c r="D53" s="1234" t="str">
        <f>Translations!$B$510</f>
        <v>Complete balance of measurable heat at the installation</v>
      </c>
      <c r="E53" s="1176"/>
      <c r="F53" s="1176"/>
      <c r="G53" s="1176"/>
      <c r="H53" s="1176"/>
      <c r="I53" s="1176"/>
      <c r="J53" s="1176"/>
      <c r="K53" s="1176"/>
      <c r="L53" s="1176"/>
      <c r="M53" s="1176"/>
      <c r="N53" s="1176"/>
      <c r="O53" s="8"/>
      <c r="P53" s="190"/>
    </row>
    <row r="54" spans="1:17" ht="5.0999999999999996" customHeight="1" x14ac:dyDescent="0.25">
      <c r="B54" s="8"/>
      <c r="C54" s="8"/>
      <c r="D54" s="8"/>
      <c r="E54" s="8"/>
      <c r="F54" s="8"/>
      <c r="G54" s="8"/>
      <c r="H54" s="8"/>
      <c r="I54" s="8"/>
      <c r="J54" s="8"/>
      <c r="K54" s="8"/>
      <c r="L54" s="8"/>
      <c r="M54" s="8"/>
      <c r="N54" s="8"/>
      <c r="O54" s="8"/>
      <c r="P54" s="190"/>
    </row>
    <row r="55" spans="1:17" ht="12.75" customHeight="1" x14ac:dyDescent="0.25">
      <c r="A55" s="145"/>
      <c r="B55" s="8"/>
      <c r="C55" s="8"/>
      <c r="D55" s="287"/>
      <c r="E55" s="1208" t="str">
        <f>Translations!$B$511</f>
        <v>The installation has a heat benchmark or district heating sub-installation?</v>
      </c>
      <c r="F55" s="1208"/>
      <c r="G55" s="1208"/>
      <c r="H55" s="1208"/>
      <c r="I55" s="1208"/>
      <c r="J55" s="1208"/>
      <c r="K55" s="1208"/>
      <c r="L55" s="1433"/>
      <c r="M55" s="340" t="b">
        <f>COUNTIF(A_InstallationData!$I$259:$I$261,TRUE)&gt;0</f>
        <v>0</v>
      </c>
      <c r="N55" s="8"/>
      <c r="O55" s="8"/>
      <c r="P55" s="9"/>
      <c r="Q55" s="145"/>
    </row>
    <row r="56" spans="1:17" ht="12.75" customHeight="1" x14ac:dyDescent="0.25">
      <c r="B56" s="8"/>
      <c r="C56" s="17"/>
      <c r="D56" s="630"/>
      <c r="E56" s="1223" t="str">
        <f>Translations!$B$512</f>
        <v>The name of the product benchmark sub-installation is displayed automatically based in the inputs in sheet "A_InstallationData".</v>
      </c>
      <c r="F56" s="1176"/>
      <c r="G56" s="1176"/>
      <c r="H56" s="1176"/>
      <c r="I56" s="1176"/>
      <c r="J56" s="1176"/>
      <c r="K56" s="1176"/>
      <c r="L56" s="1176"/>
      <c r="M56" s="1176"/>
      <c r="N56" s="1466"/>
      <c r="O56" s="8"/>
      <c r="P56" s="190"/>
    </row>
    <row r="57" spans="1:17" ht="12.75" customHeight="1" x14ac:dyDescent="0.25">
      <c r="B57" s="8"/>
      <c r="C57" s="17"/>
      <c r="D57" s="630"/>
      <c r="E57" s="1223" t="str">
        <f>Translations!$B$513</f>
        <v>If "TRUE" is displayed here, entries in the section are always relevant. Only where if none of these sub-installation is relevant, the question below has to be answered.</v>
      </c>
      <c r="F57" s="1176"/>
      <c r="G57" s="1176"/>
      <c r="H57" s="1176"/>
      <c r="I57" s="1176"/>
      <c r="J57" s="1176"/>
      <c r="K57" s="1176"/>
      <c r="L57" s="1176"/>
      <c r="M57" s="1176"/>
      <c r="N57" s="1466"/>
      <c r="O57" s="8"/>
      <c r="P57" s="190"/>
    </row>
    <row r="58" spans="1:17" ht="5.0999999999999996" customHeight="1" x14ac:dyDescent="0.25">
      <c r="B58" s="8"/>
      <c r="C58" s="8"/>
      <c r="D58" s="8"/>
      <c r="E58" s="8"/>
      <c r="F58" s="8"/>
      <c r="G58" s="8"/>
      <c r="H58" s="8"/>
      <c r="I58" s="8"/>
      <c r="J58" s="8"/>
      <c r="K58" s="8"/>
      <c r="L58" s="8"/>
      <c r="M58" s="8"/>
      <c r="N58" s="8"/>
      <c r="O58" s="8"/>
      <c r="P58" s="190"/>
    </row>
    <row r="59" spans="1:17" ht="12.75" customHeight="1" x14ac:dyDescent="0.25">
      <c r="A59" s="145"/>
      <c r="B59" s="8"/>
      <c r="C59" s="8"/>
      <c r="D59" s="287"/>
      <c r="E59" s="1208" t="str">
        <f>Translations!$B$514</f>
        <v>Are any measurable heat flows produced or consumed in, imported to or exported from this installation?</v>
      </c>
      <c r="F59" s="1208"/>
      <c r="G59" s="1208"/>
      <c r="H59" s="1208"/>
      <c r="I59" s="1208"/>
      <c r="J59" s="1208"/>
      <c r="K59" s="1208"/>
      <c r="L59" s="1433"/>
      <c r="M59" s="407"/>
      <c r="N59" s="8"/>
      <c r="O59" s="8"/>
      <c r="P59" s="9"/>
      <c r="Q59" s="145"/>
    </row>
    <row r="60" spans="1:17" ht="12.75" customHeight="1" x14ac:dyDescent="0.25">
      <c r="B60" s="8"/>
      <c r="C60" s="8"/>
      <c r="D60" s="8"/>
      <c r="E60" s="1482" t="str">
        <f>IF(AND(M59&lt;&gt;"",M59=FALSE),HYPERLINK(Q60,EUconst_MsgGoOn),HYPERLINK("",EUconst_MsgEnterThisSection))</f>
        <v>Please enter data in this section!</v>
      </c>
      <c r="F60" s="1483"/>
      <c r="G60" s="1483"/>
      <c r="H60" s="1483"/>
      <c r="I60" s="1483"/>
      <c r="J60" s="1483"/>
      <c r="K60" s="1483"/>
      <c r="L60" s="1483"/>
      <c r="M60" s="1484"/>
      <c r="N60" s="8"/>
      <c r="O60" s="8"/>
      <c r="P60" s="145" t="s">
        <v>334</v>
      </c>
      <c r="Q60" s="372" t="str">
        <f>"#"&amp;ADDRESS(ROW(C235),COLUMN(C235))</f>
        <v>#$C$235</v>
      </c>
    </row>
    <row r="61" spans="1:17" ht="5.0999999999999996" customHeight="1" x14ac:dyDescent="0.25">
      <c r="B61" s="8"/>
      <c r="C61" s="8"/>
      <c r="D61" s="8"/>
      <c r="E61" s="8"/>
      <c r="F61" s="8"/>
      <c r="G61" s="8"/>
      <c r="H61" s="8"/>
      <c r="I61" s="8"/>
      <c r="J61" s="8"/>
      <c r="K61" s="8"/>
      <c r="L61" s="8"/>
      <c r="M61" s="8"/>
      <c r="N61" s="8"/>
      <c r="O61" s="8"/>
      <c r="P61" s="190"/>
    </row>
    <row r="62" spans="1:17" x14ac:dyDescent="0.25">
      <c r="B62" s="8"/>
      <c r="C62" s="8"/>
      <c r="D62" s="1357" t="str">
        <f>Translations!$B$515</f>
        <v>All heat data should  refer to "net amount of measurable heat" (i.e. heat content of heat flow to user minus heat content of the return flow).</v>
      </c>
      <c r="E62" s="1443"/>
      <c r="F62" s="1443"/>
      <c r="G62" s="1443"/>
      <c r="H62" s="1443"/>
      <c r="I62" s="1443"/>
      <c r="J62" s="1443"/>
      <c r="K62" s="1443"/>
      <c r="L62" s="1443"/>
      <c r="M62" s="1443"/>
      <c r="N62" s="1443"/>
      <c r="O62" s="8"/>
      <c r="P62" s="190"/>
    </row>
    <row r="63" spans="1:17" ht="5.0999999999999996" customHeight="1" x14ac:dyDescent="0.25">
      <c r="B63" s="8"/>
      <c r="C63" s="8"/>
      <c r="D63" s="8"/>
      <c r="E63" s="8"/>
      <c r="F63" s="8"/>
      <c r="G63" s="8"/>
      <c r="H63" s="8"/>
      <c r="I63" s="8"/>
      <c r="J63" s="8"/>
      <c r="K63" s="8"/>
      <c r="L63" s="8"/>
      <c r="M63" s="8"/>
      <c r="N63" s="8"/>
      <c r="O63" s="8"/>
      <c r="P63" s="190"/>
    </row>
    <row r="64" spans="1:17" x14ac:dyDescent="0.25">
      <c r="B64" s="8"/>
      <c r="C64" s="17"/>
      <c r="D64" s="1357" t="str">
        <f>Translations!$B$516</f>
        <v>Outline of the calculation approach used:</v>
      </c>
      <c r="E64" s="1443"/>
      <c r="F64" s="1443"/>
      <c r="G64" s="1443"/>
      <c r="H64" s="1443"/>
      <c r="I64" s="1443"/>
      <c r="J64" s="1443"/>
      <c r="K64" s="1443"/>
      <c r="L64" s="1443"/>
      <c r="M64" s="1443"/>
      <c r="N64" s="1443"/>
      <c r="O64" s="8"/>
      <c r="P64" s="190"/>
    </row>
    <row r="65" spans="2:16" ht="36.9" customHeight="1" x14ac:dyDescent="0.25">
      <c r="B65" s="8"/>
      <c r="C65" s="17"/>
      <c r="D65" s="1223" t="s">
        <v>348</v>
      </c>
      <c r="E65" s="1176"/>
      <c r="F65" s="1176"/>
      <c r="G65" s="1176"/>
      <c r="H65" s="1176"/>
      <c r="I65" s="1176"/>
      <c r="J65" s="1176"/>
      <c r="K65" s="1176"/>
      <c r="L65" s="1176"/>
      <c r="M65" s="1176"/>
      <c r="N65" s="1466"/>
      <c r="O65" s="8"/>
      <c r="P65" s="190"/>
    </row>
    <row r="66" spans="2:16" x14ac:dyDescent="0.25">
      <c r="B66" s="8"/>
      <c r="C66" s="17"/>
      <c r="D66" s="1442" t="str">
        <f>Translations!$B$518</f>
        <v>A hierarchy of approaches is proposed for this earmarking:</v>
      </c>
      <c r="E66" s="1443"/>
      <c r="F66" s="1443"/>
      <c r="G66" s="1443"/>
      <c r="H66" s="1443"/>
      <c r="I66" s="1443"/>
      <c r="J66" s="1443"/>
      <c r="K66" s="1443"/>
      <c r="L66" s="1443"/>
      <c r="M66" s="1443"/>
      <c r="N66" s="1443"/>
      <c r="O66" s="8"/>
      <c r="P66" s="190"/>
    </row>
    <row r="67" spans="2:16" ht="25.5" customHeight="1" x14ac:dyDescent="0.25">
      <c r="B67" s="8"/>
      <c r="C67" s="17"/>
      <c r="D67" s="630" t="s">
        <v>214</v>
      </c>
      <c r="E67" s="1223" t="str">
        <f>Translations!$B$519</f>
        <v>If the heat amounts can be clearly earmarked (because of the heat grid connections being clearly defined, or because of the steam pressure levels etc.), eligible and non-eligible heat amounts shall be reported according to this real situation.</v>
      </c>
      <c r="F67" s="1176"/>
      <c r="G67" s="1176"/>
      <c r="H67" s="1176"/>
      <c r="I67" s="1176"/>
      <c r="J67" s="1176"/>
      <c r="K67" s="1176"/>
      <c r="L67" s="1176"/>
      <c r="M67" s="1176"/>
      <c r="N67" s="1466"/>
      <c r="O67" s="8"/>
      <c r="P67" s="190"/>
    </row>
    <row r="68" spans="2:16" x14ac:dyDescent="0.25">
      <c r="B68" s="8"/>
      <c r="C68" s="17"/>
      <c r="D68" s="630" t="s">
        <v>214</v>
      </c>
      <c r="E68" s="1471" t="s">
        <v>349</v>
      </c>
      <c r="F68" s="1466"/>
      <c r="G68" s="1466"/>
      <c r="H68" s="1466"/>
      <c r="I68" s="1466"/>
      <c r="J68" s="1466"/>
      <c r="K68" s="1466"/>
      <c r="L68" s="1466"/>
      <c r="M68" s="1466"/>
      <c r="N68" s="1466"/>
      <c r="O68" s="8"/>
      <c r="P68" s="190"/>
    </row>
    <row r="69" spans="2:16" x14ac:dyDescent="0.25">
      <c r="B69" s="8"/>
      <c r="C69" s="17"/>
      <c r="D69" s="1357" t="str">
        <f>Translations!$B$521</f>
        <v>For the purpose of this template, the following step-by-step approach is used:</v>
      </c>
      <c r="E69" s="1443"/>
      <c r="F69" s="1443"/>
      <c r="G69" s="1443"/>
      <c r="H69" s="1443"/>
      <c r="I69" s="1443"/>
      <c r="J69" s="1443"/>
      <c r="K69" s="1443"/>
      <c r="L69" s="1443"/>
      <c r="M69" s="1443"/>
      <c r="N69" s="1443"/>
      <c r="O69" s="8"/>
      <c r="P69" s="190"/>
    </row>
    <row r="70" spans="2:16" x14ac:dyDescent="0.25">
      <c r="B70" s="8"/>
      <c r="C70" s="17"/>
      <c r="D70" s="630" t="s">
        <v>214</v>
      </c>
      <c r="E70" s="1442" t="str">
        <f>Translations!$B$522</f>
        <v>A separate balance for the consumption of the "eligible" and "non-eligible" heat is calculated.</v>
      </c>
      <c r="F70" s="1443"/>
      <c r="G70" s="1443"/>
      <c r="H70" s="1443"/>
      <c r="I70" s="1443"/>
      <c r="J70" s="1443"/>
      <c r="K70" s="1443"/>
      <c r="L70" s="1443"/>
      <c r="M70" s="1443"/>
      <c r="N70" s="1443"/>
      <c r="O70" s="8"/>
      <c r="P70" s="190"/>
    </row>
    <row r="71" spans="2:16" ht="25.5" customHeight="1" x14ac:dyDescent="0.25">
      <c r="B71" s="8"/>
      <c r="C71" s="17"/>
      <c r="D71" s="630" t="s">
        <v>214</v>
      </c>
      <c r="E71" s="1223" t="str">
        <f>Translations!$B$523</f>
        <v>For electricity production, heat consumption is split according to the ratio displayed under point (f), unless the amount of heat from non-eligible sources is manually input under (g).iii.</v>
      </c>
      <c r="F71" s="1209"/>
      <c r="G71" s="1209"/>
      <c r="H71" s="1209"/>
      <c r="I71" s="1209"/>
      <c r="J71" s="1209"/>
      <c r="K71" s="1209"/>
      <c r="L71" s="1209"/>
      <c r="M71" s="1209"/>
      <c r="N71" s="1209"/>
      <c r="O71" s="8"/>
      <c r="P71" s="190"/>
    </row>
    <row r="72" spans="2:16" ht="25.5" customHeight="1" x14ac:dyDescent="0.25">
      <c r="B72" s="8"/>
      <c r="C72" s="17"/>
      <c r="D72" s="630" t="s">
        <v>214</v>
      </c>
      <c r="E72" s="1223" t="str">
        <f>Translations!$B$524</f>
        <v>For product benchmarks the total amount of measured heat is asked under (g) below. The amount of "non-eligible" heat is taken as sum of inputs in sheet "F_ProductBM", section (f).iii of each sub-installation (shown here below under (i).xii ).</v>
      </c>
      <c r="F72" s="1472"/>
      <c r="G72" s="1472"/>
      <c r="H72" s="1472"/>
      <c r="I72" s="1472"/>
      <c r="J72" s="1472"/>
      <c r="K72" s="1472"/>
      <c r="L72" s="1472"/>
      <c r="M72" s="1472"/>
      <c r="N72" s="1473"/>
      <c r="O72" s="8"/>
      <c r="P72" s="190"/>
    </row>
    <row r="73" spans="2:16" ht="39.9" customHeight="1" x14ac:dyDescent="0.25">
      <c r="B73" s="8"/>
      <c r="C73" s="17"/>
      <c r="D73" s="630" t="s">
        <v>214</v>
      </c>
      <c r="E73" s="1223" t="s">
        <v>350</v>
      </c>
      <c r="F73" s="1176"/>
      <c r="G73" s="1176"/>
      <c r="H73" s="1176"/>
      <c r="I73" s="1176"/>
      <c r="J73" s="1176"/>
      <c r="K73" s="1176"/>
      <c r="L73" s="1176"/>
      <c r="M73" s="1176"/>
      <c r="N73" s="1466"/>
      <c r="O73" s="8"/>
      <c r="P73" s="190"/>
    </row>
    <row r="74" spans="2:16" ht="25.5" customHeight="1" x14ac:dyDescent="0.25">
      <c r="B74" s="8"/>
      <c r="C74" s="17"/>
      <c r="D74" s="630" t="s">
        <v>214</v>
      </c>
      <c r="E74" s="1223" t="str">
        <f>Translations!$B$526</f>
        <v>From the remaining amount of measurable heat, it must be determined how much is consumed within the installation (except for electricity production and product benchmark sub-installations). The amount of "eligible" heat remaining at the end of the previous steps is the upper limit.</v>
      </c>
      <c r="F74" s="1176"/>
      <c r="G74" s="1176"/>
      <c r="H74" s="1176"/>
      <c r="I74" s="1176"/>
      <c r="J74" s="1176"/>
      <c r="K74" s="1176"/>
      <c r="L74" s="1176"/>
      <c r="M74" s="1176"/>
      <c r="N74" s="1466"/>
      <c r="O74" s="8"/>
      <c r="P74" s="190"/>
    </row>
    <row r="75" spans="2:16" x14ac:dyDescent="0.25">
      <c r="B75" s="8"/>
      <c r="C75" s="17"/>
      <c r="D75" s="630" t="s">
        <v>214</v>
      </c>
      <c r="E75" s="1223" t="str">
        <f>Translations!$B$527</f>
        <v>After these deductions of heat from the available amount, a new "eligibility ratio" is calculated (point (k)).</v>
      </c>
      <c r="F75" s="1176"/>
      <c r="G75" s="1176"/>
      <c r="H75" s="1176"/>
      <c r="I75" s="1176"/>
      <c r="J75" s="1176"/>
      <c r="K75" s="1176"/>
      <c r="L75" s="1176"/>
      <c r="M75" s="1176"/>
      <c r="N75" s="1466"/>
      <c r="O75" s="8"/>
      <c r="P75" s="190"/>
    </row>
    <row r="76" spans="2:16" x14ac:dyDescent="0.25">
      <c r="B76" s="8"/>
      <c r="C76" s="17"/>
      <c r="D76" s="630" t="s">
        <v>214</v>
      </c>
      <c r="E76" s="1471" t="str">
        <f>Translations!$B$528</f>
        <v>The remaining eligible amount can then be attributed to the both heat benchmark sub-installations.</v>
      </c>
      <c r="F76" s="1466"/>
      <c r="G76" s="1466"/>
      <c r="H76" s="1466"/>
      <c r="I76" s="1466"/>
      <c r="J76" s="1466"/>
      <c r="K76" s="1466"/>
      <c r="L76" s="1466"/>
      <c r="M76" s="1466"/>
      <c r="N76" s="1466"/>
      <c r="O76" s="8"/>
      <c r="P76" s="190"/>
    </row>
    <row r="77" spans="2:16" x14ac:dyDescent="0.25">
      <c r="B77" s="17"/>
      <c r="C77" s="17"/>
      <c r="D77" s="17"/>
      <c r="E77" s="17"/>
      <c r="F77" s="17"/>
      <c r="G77" s="17"/>
      <c r="H77" s="17"/>
      <c r="I77" s="17"/>
      <c r="J77" s="17"/>
      <c r="K77" s="17"/>
      <c r="L77" s="17"/>
      <c r="M77" s="17"/>
      <c r="N77" s="17"/>
      <c r="O77" s="8"/>
    </row>
    <row r="78" spans="2:16" ht="13.8" x14ac:dyDescent="0.25">
      <c r="B78" s="8"/>
      <c r="C78" s="19"/>
      <c r="D78" s="20"/>
      <c r="E78" s="1462" t="str">
        <f>Translations!$B$529</f>
        <v>Heat Inputs</v>
      </c>
      <c r="F78" s="1443"/>
      <c r="G78" s="1443"/>
      <c r="H78" s="1443"/>
      <c r="I78" s="1443"/>
      <c r="J78" s="1443"/>
      <c r="K78" s="1443"/>
      <c r="L78" s="1443"/>
      <c r="M78" s="1443"/>
      <c r="N78" s="1443"/>
      <c r="O78" s="8"/>
      <c r="P78" s="190"/>
    </row>
    <row r="79" spans="2:16" ht="5.0999999999999996" customHeight="1" x14ac:dyDescent="0.25">
      <c r="B79" s="8"/>
      <c r="C79" s="8"/>
      <c r="D79" s="8"/>
      <c r="E79" s="8"/>
      <c r="F79" s="8"/>
      <c r="G79" s="8"/>
      <c r="H79" s="8"/>
      <c r="I79" s="8"/>
      <c r="J79" s="8"/>
      <c r="K79" s="8"/>
      <c r="L79" s="8"/>
      <c r="M79" s="8"/>
      <c r="N79" s="8"/>
      <c r="O79" s="8"/>
      <c r="P79" s="190"/>
    </row>
    <row r="80" spans="2:16" x14ac:dyDescent="0.25">
      <c r="B80" s="8"/>
      <c r="C80" s="15"/>
      <c r="D80" s="15" t="s">
        <v>190</v>
      </c>
      <c r="E80" s="1447" t="str">
        <f>Translations!$B$530</f>
        <v>Total net amount of measurable heat produced in the installation:</v>
      </c>
      <c r="F80" s="1443"/>
      <c r="G80" s="1443"/>
      <c r="H80" s="1443"/>
      <c r="I80" s="1443"/>
      <c r="J80" s="1443"/>
      <c r="K80" s="1443"/>
      <c r="L80" s="1443"/>
      <c r="M80" s="1443"/>
      <c r="N80" s="1443"/>
      <c r="O80" s="8"/>
      <c r="P80" s="190"/>
    </row>
    <row r="81" spans="2:19" x14ac:dyDescent="0.25">
      <c r="B81" s="8"/>
      <c r="C81" s="8"/>
      <c r="D81" s="824"/>
      <c r="E81" s="1378" t="str">
        <f>Translations!$B$515</f>
        <v>All heat data should  refer to "net amount of measurable heat" (i.e. heat content of heat flow to user minus heat content of the return flow).</v>
      </c>
      <c r="F81" s="1176"/>
      <c r="G81" s="1176"/>
      <c r="H81" s="1176"/>
      <c r="I81" s="1176"/>
      <c r="J81" s="1176"/>
      <c r="K81" s="1176"/>
      <c r="L81" s="1176"/>
      <c r="M81" s="1176"/>
      <c r="N81" s="1176"/>
      <c r="O81" s="8"/>
      <c r="P81" s="190"/>
    </row>
    <row r="82" spans="2:19" x14ac:dyDescent="0.25">
      <c r="B82" s="8"/>
      <c r="C82" s="17"/>
      <c r="D82" s="17"/>
      <c r="E82" s="1442" t="str">
        <f>Translations!$B$531</f>
        <v>Note that heat produced from nitric acid sub-installations has to be reported under point (c) as "non-ETS import".</v>
      </c>
      <c r="F82" s="1443"/>
      <c r="G82" s="1443"/>
      <c r="H82" s="1443"/>
      <c r="I82" s="1443"/>
      <c r="J82" s="1443"/>
      <c r="K82" s="1443"/>
      <c r="L82" s="1443"/>
      <c r="M82" s="1443"/>
      <c r="N82" s="1443"/>
      <c r="O82" s="8"/>
      <c r="P82" s="190"/>
    </row>
    <row r="83" spans="2:19" ht="13.8" thickBot="1" x14ac:dyDescent="0.3">
      <c r="B83" s="17"/>
      <c r="C83" s="17"/>
      <c r="D83" s="17"/>
      <c r="E83" s="22"/>
      <c r="F83" s="78"/>
      <c r="G83" s="78"/>
      <c r="H83" s="23" t="str">
        <f>EUconst_Unit</f>
        <v>Unit</v>
      </c>
      <c r="I83" s="128">
        <f>I$380</f>
        <v>2019</v>
      </c>
      <c r="J83" s="128">
        <f>J$380</f>
        <v>2020</v>
      </c>
      <c r="K83" s="128">
        <f>K$380</f>
        <v>2021</v>
      </c>
      <c r="L83" s="128">
        <f>L$380</f>
        <v>2022</v>
      </c>
      <c r="M83" s="128">
        <f>M$380</f>
        <v>2023</v>
      </c>
      <c r="N83" s="8"/>
      <c r="O83" s="8"/>
      <c r="S83" s="150" t="s">
        <v>330</v>
      </c>
    </row>
    <row r="84" spans="2:19" x14ac:dyDescent="0.25">
      <c r="B84" s="17"/>
      <c r="C84" s="17"/>
      <c r="D84" s="17"/>
      <c r="E84" s="1449" t="str">
        <f>Translations!$B$532</f>
        <v>Measurable heat produced</v>
      </c>
      <c r="F84" s="1449"/>
      <c r="G84" s="1449"/>
      <c r="H84" s="43" t="str">
        <f>EUconst_TJpa</f>
        <v>TJ / year</v>
      </c>
      <c r="I84" s="293"/>
      <c r="J84" s="293"/>
      <c r="K84" s="293"/>
      <c r="L84" s="293"/>
      <c r="M84" s="293"/>
      <c r="N84" s="8"/>
      <c r="O84" s="8"/>
      <c r="S84" s="316" t="b">
        <f>AND(M59&lt;&gt;"",M59=FALSE)</f>
        <v>0</v>
      </c>
    </row>
    <row r="85" spans="2:19" ht="5.0999999999999996" customHeight="1" x14ac:dyDescent="0.25">
      <c r="B85" s="8"/>
      <c r="C85" s="8"/>
      <c r="D85" s="8"/>
      <c r="E85" s="8"/>
      <c r="F85" s="8"/>
      <c r="G85" s="8"/>
      <c r="H85" s="8"/>
      <c r="I85" s="8"/>
      <c r="J85" s="8"/>
      <c r="K85" s="8"/>
      <c r="L85" s="8"/>
      <c r="M85" s="8"/>
      <c r="N85" s="8"/>
      <c r="O85" s="8"/>
      <c r="P85" s="190"/>
      <c r="S85" s="308"/>
    </row>
    <row r="86" spans="2:19" x14ac:dyDescent="0.25">
      <c r="B86" s="8"/>
      <c r="C86" s="15"/>
      <c r="D86" s="15" t="s">
        <v>192</v>
      </c>
      <c r="E86" s="1447" t="s">
        <v>351</v>
      </c>
      <c r="F86" s="1443"/>
      <c r="G86" s="1443"/>
      <c r="H86" s="1443"/>
      <c r="I86" s="1443"/>
      <c r="J86" s="1443"/>
      <c r="K86" s="1443"/>
      <c r="L86" s="1443"/>
      <c r="M86" s="1443"/>
      <c r="N86" s="1443"/>
      <c r="O86" s="8"/>
      <c r="P86" s="190"/>
      <c r="S86" s="308"/>
    </row>
    <row r="87" spans="2:19" x14ac:dyDescent="0.25">
      <c r="B87" s="8"/>
      <c r="C87" s="17"/>
      <c r="D87" s="17"/>
      <c r="E87" s="1442" t="str">
        <f>Translations!$B$534</f>
        <v>Installation names in the drop down list are taken from Section A.IV. Therefore you must ensure that you have entered complete data there.</v>
      </c>
      <c r="F87" s="1443"/>
      <c r="G87" s="1443"/>
      <c r="H87" s="1443"/>
      <c r="I87" s="1443"/>
      <c r="J87" s="1443"/>
      <c r="K87" s="1443"/>
      <c r="L87" s="1443"/>
      <c r="M87" s="1443"/>
      <c r="N87" s="1443"/>
      <c r="O87" s="8"/>
      <c r="P87" s="190"/>
      <c r="S87" s="308"/>
    </row>
    <row r="88" spans="2:19" ht="5.0999999999999996" customHeight="1" x14ac:dyDescent="0.25">
      <c r="B88" s="8"/>
      <c r="C88" s="8"/>
      <c r="D88" s="8"/>
      <c r="E88" s="8"/>
      <c r="F88" s="8"/>
      <c r="G88" s="8"/>
      <c r="H88" s="8"/>
      <c r="I88" s="8"/>
      <c r="J88" s="8"/>
      <c r="K88" s="8"/>
      <c r="L88" s="8"/>
      <c r="M88" s="8"/>
      <c r="N88" s="8"/>
      <c r="O88" s="8"/>
      <c r="P88" s="190"/>
      <c r="S88" s="308"/>
    </row>
    <row r="89" spans="2:19" x14ac:dyDescent="0.25">
      <c r="B89" s="17"/>
      <c r="C89" s="17"/>
      <c r="D89" s="17"/>
      <c r="E89" s="1452" t="str">
        <f>Translations!$B$535</f>
        <v>Name of installation</v>
      </c>
      <c r="F89" s="1451"/>
      <c r="G89" s="1451"/>
      <c r="H89" s="23" t="str">
        <f>EUconst_Unit</f>
        <v>Unit</v>
      </c>
      <c r="I89" s="128">
        <f>I$380</f>
        <v>2019</v>
      </c>
      <c r="J89" s="128">
        <f>J$380</f>
        <v>2020</v>
      </c>
      <c r="K89" s="128">
        <f>K$380</f>
        <v>2021</v>
      </c>
      <c r="L89" s="128">
        <f>L$380</f>
        <v>2022</v>
      </c>
      <c r="M89" s="128">
        <f>M$380</f>
        <v>2023</v>
      </c>
      <c r="N89" s="8"/>
      <c r="O89" s="8"/>
      <c r="S89" s="308"/>
    </row>
    <row r="90" spans="2:19" x14ac:dyDescent="0.25">
      <c r="B90" s="17"/>
      <c r="C90" s="113"/>
      <c r="D90" s="113" t="s">
        <v>206</v>
      </c>
      <c r="E90" s="1324"/>
      <c r="F90" s="1324"/>
      <c r="G90" s="1324"/>
      <c r="H90" s="222" t="str">
        <f>EUconst_TJpa</f>
        <v>TJ / year</v>
      </c>
      <c r="I90" s="825"/>
      <c r="J90" s="825"/>
      <c r="K90" s="825"/>
      <c r="L90" s="825"/>
      <c r="M90" s="825"/>
      <c r="N90" s="8"/>
      <c r="O90" s="8"/>
      <c r="S90" s="636" t="b">
        <f>S84</f>
        <v>0</v>
      </c>
    </row>
    <row r="91" spans="2:19" x14ac:dyDescent="0.25">
      <c r="B91" s="17"/>
      <c r="C91" s="113"/>
      <c r="D91" s="113" t="s">
        <v>208</v>
      </c>
      <c r="E91" s="1325"/>
      <c r="F91" s="1325"/>
      <c r="G91" s="1325"/>
      <c r="H91" s="225" t="str">
        <f>EUconst_TJpa</f>
        <v>TJ / year</v>
      </c>
      <c r="I91" s="296"/>
      <c r="J91" s="296"/>
      <c r="K91" s="296"/>
      <c r="L91" s="296"/>
      <c r="M91" s="296"/>
      <c r="N91" s="8"/>
      <c r="O91" s="8"/>
      <c r="S91" s="636" t="b">
        <f>S90</f>
        <v>0</v>
      </c>
    </row>
    <row r="92" spans="2:19" x14ac:dyDescent="0.25">
      <c r="B92" s="17"/>
      <c r="C92" s="113"/>
      <c r="D92" s="113" t="s">
        <v>209</v>
      </c>
      <c r="E92" s="1320"/>
      <c r="F92" s="1320"/>
      <c r="G92" s="1320"/>
      <c r="H92" s="227" t="str">
        <f>EUconst_TJpa</f>
        <v>TJ / year</v>
      </c>
      <c r="I92" s="826"/>
      <c r="J92" s="826"/>
      <c r="K92" s="826"/>
      <c r="L92" s="826"/>
      <c r="M92" s="826"/>
      <c r="N92" s="8"/>
      <c r="O92" s="8"/>
      <c r="S92" s="636" t="b">
        <f>S91</f>
        <v>0</v>
      </c>
    </row>
    <row r="93" spans="2:19" x14ac:dyDescent="0.25">
      <c r="B93" s="17"/>
      <c r="C93" s="113"/>
      <c r="D93" s="113" t="s">
        <v>210</v>
      </c>
      <c r="E93" s="1449" t="str">
        <f>Translations!$B$536</f>
        <v>Sub-total</v>
      </c>
      <c r="F93" s="1449"/>
      <c r="G93" s="1449"/>
      <c r="H93" s="217" t="str">
        <f>EUconst_TJpa</f>
        <v>TJ / year</v>
      </c>
      <c r="I93" s="818" t="str">
        <f>IF(COUNT(I90:I92)&gt;0,SUM(I90:I92),"")</f>
        <v/>
      </c>
      <c r="J93" s="818" t="str">
        <f>IF(COUNT(J90:J92)&gt;0,SUM(J90:J92),"")</f>
        <v/>
      </c>
      <c r="K93" s="818" t="str">
        <f>IF(COUNT(K90:K92)&gt;0,SUM(K90:K92),"")</f>
        <v/>
      </c>
      <c r="L93" s="818" t="str">
        <f>IF(COUNT(L90:L92)&gt;0,SUM(L90:L92),"")</f>
        <v/>
      </c>
      <c r="M93" s="818" t="str">
        <f>IF(COUNT(M90:M92)&gt;0,SUM(M90:M92),"")</f>
        <v/>
      </c>
      <c r="N93" s="8"/>
      <c r="O93" s="8"/>
      <c r="S93" s="308"/>
    </row>
    <row r="94" spans="2:19" ht="5.0999999999999996" customHeight="1" x14ac:dyDescent="0.25">
      <c r="B94" s="8"/>
      <c r="C94" s="8"/>
      <c r="D94" s="8"/>
      <c r="E94" s="8"/>
      <c r="F94" s="8"/>
      <c r="G94" s="8"/>
      <c r="H94" s="8"/>
      <c r="I94" s="8"/>
      <c r="J94" s="8"/>
      <c r="K94" s="8"/>
      <c r="L94" s="8"/>
      <c r="M94" s="8"/>
      <c r="N94" s="8"/>
      <c r="O94" s="8"/>
      <c r="P94" s="190"/>
      <c r="S94" s="308"/>
    </row>
    <row r="95" spans="2:19" x14ac:dyDescent="0.25">
      <c r="B95" s="8"/>
      <c r="C95" s="15"/>
      <c r="D95" s="15" t="s">
        <v>195</v>
      </c>
      <c r="E95" s="1447" t="s">
        <v>352</v>
      </c>
      <c r="F95" s="1443"/>
      <c r="G95" s="1443"/>
      <c r="H95" s="1443"/>
      <c r="I95" s="1443"/>
      <c r="J95" s="1443"/>
      <c r="K95" s="1443"/>
      <c r="L95" s="1443"/>
      <c r="M95" s="1443"/>
      <c r="N95" s="1443"/>
      <c r="O95" s="8"/>
      <c r="P95" s="190"/>
      <c r="S95" s="308"/>
    </row>
    <row r="96" spans="2:19" x14ac:dyDescent="0.25">
      <c r="B96" s="8"/>
      <c r="C96" s="17"/>
      <c r="D96" s="17"/>
      <c r="E96" s="1442" t="str">
        <f>Translations!$B$538</f>
        <v xml:space="preserve">This includes the nitric acid producing sub-installations (select "Within installation" as name of installation, if the nitric acid production is part of this installation). </v>
      </c>
      <c r="F96" s="1443"/>
      <c r="G96" s="1443"/>
      <c r="H96" s="1443"/>
      <c r="I96" s="1443"/>
      <c r="J96" s="1443"/>
      <c r="K96" s="1443"/>
      <c r="L96" s="1443"/>
      <c r="M96" s="1443"/>
      <c r="N96" s="1443"/>
      <c r="O96" s="8"/>
      <c r="P96" s="190"/>
      <c r="S96" s="308"/>
    </row>
    <row r="97" spans="2:19" x14ac:dyDescent="0.25">
      <c r="B97" s="8"/>
      <c r="C97" s="17"/>
      <c r="D97" s="17"/>
      <c r="E97" s="1442" t="str">
        <f>Translations!$B$539</f>
        <v>Note that the data entered here is to be checked for double counting with deductions under product benchmark sub-installations (see sheet "F_ProductBM").</v>
      </c>
      <c r="F97" s="1443"/>
      <c r="G97" s="1443"/>
      <c r="H97" s="1443"/>
      <c r="I97" s="1443"/>
      <c r="J97" s="1443"/>
      <c r="K97" s="1443"/>
      <c r="L97" s="1443"/>
      <c r="M97" s="1443"/>
      <c r="N97" s="1443"/>
      <c r="O97" s="8"/>
      <c r="P97" s="190"/>
      <c r="S97" s="308"/>
    </row>
    <row r="98" spans="2:19" x14ac:dyDescent="0.25">
      <c r="B98" s="17"/>
      <c r="C98" s="17"/>
      <c r="D98" s="17"/>
      <c r="E98" s="1452" t="str">
        <f>Translations!$B$256</f>
        <v>Name of installation or entity</v>
      </c>
      <c r="F98" s="1451"/>
      <c r="G98" s="1451"/>
      <c r="H98" s="23" t="str">
        <f>EUconst_Unit</f>
        <v>Unit</v>
      </c>
      <c r="I98" s="128">
        <f>I$380</f>
        <v>2019</v>
      </c>
      <c r="J98" s="128">
        <f>J$380</f>
        <v>2020</v>
      </c>
      <c r="K98" s="128">
        <f>K$380</f>
        <v>2021</v>
      </c>
      <c r="L98" s="128">
        <f>L$380</f>
        <v>2022</v>
      </c>
      <c r="M98" s="128">
        <f>M$380</f>
        <v>2023</v>
      </c>
      <c r="N98" s="8"/>
      <c r="O98" s="8"/>
      <c r="S98" s="308"/>
    </row>
    <row r="99" spans="2:19" x14ac:dyDescent="0.25">
      <c r="B99" s="17"/>
      <c r="C99" s="113"/>
      <c r="D99" s="113" t="s">
        <v>206</v>
      </c>
      <c r="E99" s="1324"/>
      <c r="F99" s="1324"/>
      <c r="G99" s="1324"/>
      <c r="H99" s="222" t="str">
        <f>EUconst_TJpa</f>
        <v>TJ / year</v>
      </c>
      <c r="I99" s="825"/>
      <c r="J99" s="825"/>
      <c r="K99" s="825"/>
      <c r="L99" s="825"/>
      <c r="M99" s="827"/>
      <c r="N99" s="8"/>
      <c r="O99" s="8"/>
      <c r="S99" s="636" t="b">
        <f>S92</f>
        <v>0</v>
      </c>
    </row>
    <row r="100" spans="2:19" x14ac:dyDescent="0.25">
      <c r="B100" s="17"/>
      <c r="C100" s="113"/>
      <c r="D100" s="113" t="s">
        <v>208</v>
      </c>
      <c r="E100" s="1325"/>
      <c r="F100" s="1325"/>
      <c r="G100" s="1325"/>
      <c r="H100" s="225" t="str">
        <f>EUconst_TJpa</f>
        <v>TJ / year</v>
      </c>
      <c r="I100" s="296"/>
      <c r="J100" s="296"/>
      <c r="K100" s="296"/>
      <c r="L100" s="296"/>
      <c r="M100" s="828"/>
      <c r="N100" s="8"/>
      <c r="O100" s="8"/>
      <c r="S100" s="636" t="b">
        <f>S99</f>
        <v>0</v>
      </c>
    </row>
    <row r="101" spans="2:19" x14ac:dyDescent="0.25">
      <c r="B101" s="17"/>
      <c r="C101" s="113"/>
      <c r="D101" s="113" t="s">
        <v>209</v>
      </c>
      <c r="E101" s="1320"/>
      <c r="F101" s="1320"/>
      <c r="G101" s="1320"/>
      <c r="H101" s="227" t="str">
        <f>EUconst_TJpa</f>
        <v>TJ / year</v>
      </c>
      <c r="I101" s="826"/>
      <c r="J101" s="826"/>
      <c r="K101" s="826"/>
      <c r="L101" s="826"/>
      <c r="M101" s="829"/>
      <c r="N101" s="8"/>
      <c r="O101" s="8"/>
      <c r="S101" s="636" t="b">
        <f>S100</f>
        <v>0</v>
      </c>
    </row>
    <row r="102" spans="2:19" x14ac:dyDescent="0.25">
      <c r="B102" s="17"/>
      <c r="C102" s="113"/>
      <c r="D102" s="113" t="s">
        <v>210</v>
      </c>
      <c r="E102" s="1449" t="str">
        <f>Translations!$B$536</f>
        <v>Sub-total</v>
      </c>
      <c r="F102" s="1449"/>
      <c r="G102" s="1449"/>
      <c r="H102" s="217" t="str">
        <f>EUconst_TJpa</f>
        <v>TJ / year</v>
      </c>
      <c r="I102" s="818" t="str">
        <f>IF(COUNT(I99:I101)&gt;0,SUM(I99:I101),"")</f>
        <v/>
      </c>
      <c r="J102" s="818" t="str">
        <f>IF(COUNT(J99:J101)&gt;0,SUM(J99:J101),"")</f>
        <v/>
      </c>
      <c r="K102" s="818" t="str">
        <f>IF(COUNT(K99:K101)&gt;0,SUM(K99:K101),"")</f>
        <v/>
      </c>
      <c r="L102" s="818" t="str">
        <f>IF(COUNT(L99:L101)&gt;0,SUM(L99:L101),"")</f>
        <v/>
      </c>
      <c r="M102" s="830" t="str">
        <f>IF(COUNT(M99:M101)&gt;0,SUM(M99:M101),"")</f>
        <v/>
      </c>
      <c r="N102" s="8"/>
      <c r="O102" s="8"/>
      <c r="S102" s="308"/>
    </row>
    <row r="103" spans="2:19" ht="5.0999999999999996" customHeight="1" x14ac:dyDescent="0.25">
      <c r="B103" s="8"/>
      <c r="C103" s="8"/>
      <c r="D103" s="8"/>
      <c r="E103" s="8"/>
      <c r="F103" s="8"/>
      <c r="G103" s="8"/>
      <c r="H103" s="8"/>
      <c r="I103" s="8"/>
      <c r="J103" s="8"/>
      <c r="K103" s="8"/>
      <c r="L103" s="8"/>
      <c r="M103" s="8"/>
      <c r="N103" s="8"/>
      <c r="O103" s="8"/>
      <c r="P103" s="190"/>
      <c r="S103" s="308"/>
    </row>
    <row r="104" spans="2:19" x14ac:dyDescent="0.25">
      <c r="B104" s="8"/>
      <c r="C104" s="15"/>
      <c r="D104" s="15" t="s">
        <v>197</v>
      </c>
      <c r="E104" s="1447" t="s">
        <v>353</v>
      </c>
      <c r="F104" s="1443"/>
      <c r="G104" s="1443"/>
      <c r="H104" s="1443"/>
      <c r="I104" s="1443"/>
      <c r="J104" s="1443"/>
      <c r="K104" s="1443"/>
      <c r="L104" s="1443"/>
      <c r="M104" s="1443"/>
      <c r="N104" s="1443"/>
      <c r="O104" s="8"/>
      <c r="P104" s="190"/>
      <c r="S104" s="308"/>
    </row>
    <row r="105" spans="2:19" ht="25.5" customHeight="1" x14ac:dyDescent="0.25">
      <c r="B105" s="8"/>
      <c r="C105" s="17"/>
      <c r="D105" s="17"/>
      <c r="E105" s="1442" t="str">
        <f>Translations!$B$541</f>
        <v>This includes heat from any electric pumps, electric boilers, etc. This amount of heat is to be included in the data given under point (c) above. It is only contained here for completeness but not included in the balance below as this heat is non-eligible.</v>
      </c>
      <c r="F105" s="1443"/>
      <c r="G105" s="1443"/>
      <c r="H105" s="1443"/>
      <c r="I105" s="1443"/>
      <c r="J105" s="1443"/>
      <c r="K105" s="1443"/>
      <c r="L105" s="1443"/>
      <c r="M105" s="1443"/>
      <c r="N105" s="1443"/>
      <c r="O105" s="8"/>
      <c r="P105" s="190"/>
      <c r="S105" s="308"/>
    </row>
    <row r="106" spans="2:19" x14ac:dyDescent="0.25">
      <c r="B106" s="17"/>
      <c r="C106" s="17"/>
      <c r="D106" s="17"/>
      <c r="E106" s="22"/>
      <c r="F106" s="78"/>
      <c r="G106" s="78"/>
      <c r="H106" s="23" t="str">
        <f>EUconst_Unit</f>
        <v>Unit</v>
      </c>
      <c r="I106" s="128">
        <f>I$380</f>
        <v>2019</v>
      </c>
      <c r="J106" s="128">
        <f>J$380</f>
        <v>2020</v>
      </c>
      <c r="K106" s="128">
        <f>K$380</f>
        <v>2021</v>
      </c>
      <c r="L106" s="128">
        <f>L$380</f>
        <v>2022</v>
      </c>
      <c r="M106" s="128">
        <f>M$380</f>
        <v>2023</v>
      </c>
      <c r="N106" s="8"/>
      <c r="O106" s="8"/>
      <c r="S106" s="308"/>
    </row>
    <row r="107" spans="2:19" x14ac:dyDescent="0.25">
      <c r="B107" s="17"/>
      <c r="C107" s="17"/>
      <c r="D107" s="17"/>
      <c r="E107" s="1449" t="str">
        <f>Translations!$B$542</f>
        <v>Heat from electricity</v>
      </c>
      <c r="F107" s="1449"/>
      <c r="G107" s="1449"/>
      <c r="H107" s="43" t="str">
        <f>EUconst_TJpa</f>
        <v>TJ / year</v>
      </c>
      <c r="I107" s="293"/>
      <c r="J107" s="293"/>
      <c r="K107" s="293"/>
      <c r="L107" s="293"/>
      <c r="M107" s="293"/>
      <c r="N107" s="8"/>
      <c r="O107" s="8"/>
      <c r="S107" s="636" t="b">
        <f>S101</f>
        <v>0</v>
      </c>
    </row>
    <row r="108" spans="2:19" ht="5.0999999999999996" customHeight="1" x14ac:dyDescent="0.25">
      <c r="B108" s="8"/>
      <c r="C108" s="8"/>
      <c r="D108" s="8"/>
      <c r="E108" s="8"/>
      <c r="F108" s="8"/>
      <c r="G108" s="8"/>
      <c r="H108" s="8"/>
      <c r="I108" s="8"/>
      <c r="J108" s="8"/>
      <c r="K108" s="8"/>
      <c r="L108" s="8"/>
      <c r="M108" s="8"/>
      <c r="N108" s="8"/>
      <c r="O108" s="8"/>
      <c r="P108" s="190"/>
      <c r="S108" s="308"/>
    </row>
    <row r="109" spans="2:19" x14ac:dyDescent="0.25">
      <c r="B109" s="8"/>
      <c r="C109" s="15"/>
      <c r="D109" s="15" t="s">
        <v>202</v>
      </c>
      <c r="E109" s="1447" t="str">
        <f>Translations!$B$543</f>
        <v>Sum of measurable heat available at installation (=a+b+c)</v>
      </c>
      <c r="F109" s="1443"/>
      <c r="G109" s="1443"/>
      <c r="H109" s="1443"/>
      <c r="I109" s="1443"/>
      <c r="J109" s="1443"/>
      <c r="K109" s="1443"/>
      <c r="L109" s="1443"/>
      <c r="M109" s="1443"/>
      <c r="N109" s="1443"/>
      <c r="O109" s="8"/>
      <c r="P109" s="190"/>
      <c r="S109" s="308"/>
    </row>
    <row r="110" spans="2:19" x14ac:dyDescent="0.25">
      <c r="B110" s="17"/>
      <c r="C110" s="17"/>
      <c r="D110" s="17"/>
      <c r="E110" s="1449" t="str">
        <f>Translations!$B$544</f>
        <v>Total measurable heat</v>
      </c>
      <c r="F110" s="1449"/>
      <c r="G110" s="1449"/>
      <c r="H110" s="217" t="str">
        <f>EUconst_TJpa</f>
        <v>TJ / year</v>
      </c>
      <c r="I110" s="818" t="str">
        <f>IF(COUNT(I102,I93,I84)&gt;0,SUM(I84,I93,I102),"")</f>
        <v/>
      </c>
      <c r="J110" s="818" t="str">
        <f>IF(COUNT(J102,J93,J84)&gt;0,SUM(J84,J93,J102),"")</f>
        <v/>
      </c>
      <c r="K110" s="818" t="str">
        <f>IF(COUNT(K102,K93,K84)&gt;0,SUM(K84,K93,K102),"")</f>
        <v/>
      </c>
      <c r="L110" s="818" t="str">
        <f>IF(COUNT(L102,L93,L84)&gt;0,SUM(L84,L93,L102),"")</f>
        <v/>
      </c>
      <c r="M110" s="818" t="str">
        <f>IF(COUNT(M102,M93,M84)&gt;0,SUM(M84,M93,M102),"")</f>
        <v/>
      </c>
      <c r="N110" s="8"/>
      <c r="O110" s="8"/>
      <c r="S110" s="308"/>
    </row>
    <row r="111" spans="2:19" ht="5.0999999999999996" customHeight="1" x14ac:dyDescent="0.25">
      <c r="B111" s="8"/>
      <c r="C111" s="8"/>
      <c r="D111" s="8"/>
      <c r="E111" s="8"/>
      <c r="F111" s="8"/>
      <c r="G111" s="8"/>
      <c r="H111" s="8"/>
      <c r="I111" s="8"/>
      <c r="J111" s="8"/>
      <c r="K111" s="8"/>
      <c r="L111" s="8"/>
      <c r="M111" s="8"/>
      <c r="N111" s="8"/>
      <c r="O111" s="8"/>
      <c r="P111" s="190"/>
      <c r="S111" s="308"/>
    </row>
    <row r="112" spans="2:19" x14ac:dyDescent="0.25">
      <c r="B112" s="8"/>
      <c r="C112" s="15"/>
      <c r="D112" s="15" t="s">
        <v>199</v>
      </c>
      <c r="E112" s="1447" t="str">
        <f>Translations!$B$545</f>
        <v>Ratio of "ETS heat" to "Total heat"</v>
      </c>
      <c r="F112" s="1443"/>
      <c r="G112" s="1443"/>
      <c r="H112" s="1443"/>
      <c r="I112" s="1443"/>
      <c r="J112" s="1443"/>
      <c r="K112" s="1443"/>
      <c r="L112" s="1443"/>
      <c r="M112" s="1443"/>
      <c r="N112" s="1443"/>
      <c r="O112" s="8"/>
      <c r="P112" s="190"/>
      <c r="S112" s="308"/>
    </row>
    <row r="113" spans="2:19" x14ac:dyDescent="0.25">
      <c r="B113" s="8"/>
      <c r="C113" s="17"/>
      <c r="D113" s="17"/>
      <c r="E113" s="1442" t="str">
        <f>Translations!$B$546</f>
        <v>"ETS heat" is heat produced in the installation plus heat imported from ETS installations (=a+b).</v>
      </c>
      <c r="F113" s="1443"/>
      <c r="G113" s="1443"/>
      <c r="H113" s="1443"/>
      <c r="I113" s="1443"/>
      <c r="J113" s="1443"/>
      <c r="K113" s="1443"/>
      <c r="L113" s="1443"/>
      <c r="M113" s="1443"/>
      <c r="N113" s="1443"/>
      <c r="O113" s="8"/>
      <c r="P113" s="190"/>
      <c r="S113" s="308"/>
    </row>
    <row r="114" spans="2:19" x14ac:dyDescent="0.25">
      <c r="B114" s="8"/>
      <c r="C114" s="17"/>
      <c r="D114" s="17"/>
      <c r="E114" s="1442" t="str">
        <f>Translations!$B$547</f>
        <v xml:space="preserve">Total heat is the ETS heat plus heat imported from non-ETS entities and installations (=a+b+c). </v>
      </c>
      <c r="F114" s="1443"/>
      <c r="G114" s="1443"/>
      <c r="H114" s="1443"/>
      <c r="I114" s="1443"/>
      <c r="J114" s="1443"/>
      <c r="K114" s="1443"/>
      <c r="L114" s="1443"/>
      <c r="M114" s="1443"/>
      <c r="N114" s="1443"/>
      <c r="O114" s="8"/>
      <c r="P114" s="190"/>
      <c r="S114" s="308"/>
    </row>
    <row r="115" spans="2:19" ht="5.0999999999999996" customHeight="1" x14ac:dyDescent="0.25">
      <c r="B115" s="8"/>
      <c r="C115" s="8"/>
      <c r="D115" s="8"/>
      <c r="E115" s="8"/>
      <c r="F115" s="8"/>
      <c r="G115" s="8"/>
      <c r="H115" s="8"/>
      <c r="I115" s="8"/>
      <c r="J115" s="8"/>
      <c r="K115" s="8"/>
      <c r="L115" s="8"/>
      <c r="M115" s="8"/>
      <c r="N115" s="8"/>
      <c r="O115" s="8"/>
      <c r="P115" s="190"/>
      <c r="S115" s="308"/>
    </row>
    <row r="116" spans="2:19" x14ac:dyDescent="0.25">
      <c r="B116" s="17"/>
      <c r="C116" s="17"/>
      <c r="D116" s="17"/>
      <c r="E116" s="1449" t="str">
        <f>Translations!$B$548</f>
        <v>Heat input ratio (a+b) / (a+b+c):</v>
      </c>
      <c r="F116" s="1449"/>
      <c r="G116" s="1449"/>
      <c r="H116" s="217" t="s">
        <v>354</v>
      </c>
      <c r="I116" s="831" t="str">
        <f>IF(AND(COUNT(I84,I93,I102)&gt;0,I110&lt;&gt;0),SUM(I84,I93)/I110*100,"")</f>
        <v/>
      </c>
      <c r="J116" s="831" t="str">
        <f>IF(AND(COUNT(J84,J93,J102)&gt;0,J110&lt;&gt;0),SUM(J84,J93)/J110*100,"")</f>
        <v/>
      </c>
      <c r="K116" s="831" t="str">
        <f>IF(AND(COUNT(K84,K93,K102)&gt;0,K110&lt;&gt;0),SUM(K84,K93)/K110*100,"")</f>
        <v/>
      </c>
      <c r="L116" s="831" t="str">
        <f>IF(AND(COUNT(L84,L93,L102)&gt;0,L110&lt;&gt;0),SUM(L84,L93)/L110*100,"")</f>
        <v/>
      </c>
      <c r="M116" s="831" t="str">
        <f>IF(AND(COUNT(M84,M93,M102)&gt;0,M110&lt;&gt;0),SUM(M84,M93)/M110*100,"")</f>
        <v/>
      </c>
      <c r="N116" s="8"/>
      <c r="O116" s="8"/>
      <c r="S116" s="308"/>
    </row>
    <row r="117" spans="2:19" x14ac:dyDescent="0.25">
      <c r="B117" s="8"/>
      <c r="C117" s="8"/>
      <c r="D117" s="8"/>
      <c r="E117" s="8"/>
      <c r="F117" s="8"/>
      <c r="G117" s="8"/>
      <c r="H117" s="8"/>
      <c r="I117" s="8"/>
      <c r="J117" s="8"/>
      <c r="K117" s="8"/>
      <c r="L117" s="8"/>
      <c r="M117" s="8"/>
      <c r="N117" s="8"/>
      <c r="O117" s="8"/>
      <c r="P117" s="190"/>
      <c r="S117" s="308"/>
    </row>
    <row r="118" spans="2:19" ht="13.8" x14ac:dyDescent="0.25">
      <c r="B118" s="8"/>
      <c r="C118" s="20"/>
      <c r="D118" s="20"/>
      <c r="E118" s="1462" t="str">
        <f>Translations!$B$549</f>
        <v>Heat not eligible for sub-installations with heat benchmark</v>
      </c>
      <c r="F118" s="1443"/>
      <c r="G118" s="1443"/>
      <c r="H118" s="1443"/>
      <c r="I118" s="1443"/>
      <c r="J118" s="1443"/>
      <c r="K118" s="1443"/>
      <c r="L118" s="1443"/>
      <c r="M118" s="1443"/>
      <c r="N118" s="1443"/>
      <c r="O118" s="8"/>
      <c r="P118" s="190"/>
      <c r="S118" s="308"/>
    </row>
    <row r="119" spans="2:19" x14ac:dyDescent="0.25">
      <c r="B119" s="8"/>
      <c r="C119" s="17"/>
      <c r="D119" s="17"/>
      <c r="E119" s="1442" t="str">
        <f>Translations!$B$550</f>
        <v>Before the amount of heat falling under the heat benchmark sub-installations can be quantified, the amount not eligible for this purpose has to be identified.</v>
      </c>
      <c r="F119" s="1443"/>
      <c r="G119" s="1443"/>
      <c r="H119" s="1443"/>
      <c r="I119" s="1443"/>
      <c r="J119" s="1443"/>
      <c r="K119" s="1443"/>
      <c r="L119" s="1443"/>
      <c r="M119" s="1443"/>
      <c r="N119" s="1443"/>
      <c r="O119" s="8"/>
      <c r="P119" s="190"/>
      <c r="S119" s="308"/>
    </row>
    <row r="120" spans="2:19" x14ac:dyDescent="0.25">
      <c r="B120" s="8"/>
      <c r="C120" s="17"/>
      <c r="D120" s="17"/>
      <c r="E120" s="1442" t="str">
        <f>Translations!$B$551</f>
        <v>In a first step the non-eligible amounts for heat use within the installation are considered.</v>
      </c>
      <c r="F120" s="1443"/>
      <c r="G120" s="1443"/>
      <c r="H120" s="1443"/>
      <c r="I120" s="1443"/>
      <c r="J120" s="1443"/>
      <c r="K120" s="1443"/>
      <c r="L120" s="1443"/>
      <c r="M120" s="1443"/>
      <c r="N120" s="1443"/>
      <c r="O120" s="8"/>
      <c r="P120" s="190"/>
      <c r="S120" s="308"/>
    </row>
    <row r="121" spans="2:19" x14ac:dyDescent="0.25">
      <c r="B121" s="8"/>
      <c r="C121" s="17"/>
      <c r="D121" s="17"/>
      <c r="E121" s="1442" t="str">
        <f>Translations!$B$552</f>
        <v xml:space="preserve">This is the amount of heat used for electricity production and heat consumed within product benchmark sub-installations. </v>
      </c>
      <c r="F121" s="1443"/>
      <c r="G121" s="1443"/>
      <c r="H121" s="1443"/>
      <c r="I121" s="1443"/>
      <c r="J121" s="1443"/>
      <c r="K121" s="1443"/>
      <c r="L121" s="1443"/>
      <c r="M121" s="1443"/>
      <c r="N121" s="1443"/>
      <c r="O121" s="8"/>
      <c r="P121" s="190"/>
      <c r="S121" s="308"/>
    </row>
    <row r="122" spans="2:19" ht="5.0999999999999996" customHeight="1" x14ac:dyDescent="0.25">
      <c r="B122" s="8"/>
      <c r="C122" s="8"/>
      <c r="D122" s="8"/>
      <c r="E122" s="8"/>
      <c r="F122" s="8"/>
      <c r="G122" s="8"/>
      <c r="H122" s="8"/>
      <c r="I122" s="8"/>
      <c r="J122" s="8"/>
      <c r="K122" s="8"/>
      <c r="L122" s="8"/>
      <c r="M122" s="8"/>
      <c r="N122" s="8"/>
      <c r="O122" s="8"/>
      <c r="P122" s="190"/>
      <c r="S122" s="308"/>
    </row>
    <row r="123" spans="2:19" x14ac:dyDescent="0.25">
      <c r="B123" s="8"/>
      <c r="C123" s="15"/>
      <c r="D123" s="15" t="s">
        <v>212</v>
      </c>
      <c r="E123" s="1447" t="str">
        <f>Translations!$B$553</f>
        <v>Measurable heat consumed for electricity production within the installation (not eligible for heat benchmark):</v>
      </c>
      <c r="F123" s="1443"/>
      <c r="G123" s="1443"/>
      <c r="H123" s="1443"/>
      <c r="I123" s="1443"/>
      <c r="J123" s="1443"/>
      <c r="K123" s="1443"/>
      <c r="L123" s="1443"/>
      <c r="M123" s="1443"/>
      <c r="N123" s="1443"/>
      <c r="O123" s="8"/>
      <c r="P123" s="190"/>
      <c r="S123" s="308"/>
    </row>
    <row r="124" spans="2:19" x14ac:dyDescent="0.25">
      <c r="B124" s="8"/>
      <c r="C124" s="17"/>
      <c r="D124" s="17"/>
      <c r="E124" s="1314" t="str">
        <f>Translations!$B$554</f>
        <v>As default, it is assumed that the whole amount of heat used for electricity production is split between eligible and non-eligible inputs using the ratio calculated under (f).</v>
      </c>
      <c r="F124" s="1316"/>
      <c r="G124" s="1316"/>
      <c r="H124" s="1316"/>
      <c r="I124" s="1316"/>
      <c r="J124" s="1316"/>
      <c r="K124" s="1316"/>
      <c r="L124" s="1316"/>
      <c r="M124" s="1316"/>
      <c r="N124" s="1316"/>
      <c r="O124" s="8"/>
      <c r="P124" s="190"/>
      <c r="S124" s="308"/>
    </row>
    <row r="125" spans="2:19" ht="25.5" customHeight="1" x14ac:dyDescent="0.25">
      <c r="B125" s="8"/>
      <c r="C125" s="17"/>
      <c r="D125" s="17"/>
      <c r="E125" s="1314" t="str">
        <f>Translations!$B$555</f>
        <v>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v>
      </c>
      <c r="F125" s="1316"/>
      <c r="G125" s="1316"/>
      <c r="H125" s="1316"/>
      <c r="I125" s="1316"/>
      <c r="J125" s="1316"/>
      <c r="K125" s="1316"/>
      <c r="L125" s="1316"/>
      <c r="M125" s="1316"/>
      <c r="N125" s="1316"/>
      <c r="O125" s="8"/>
      <c r="P125" s="190"/>
      <c r="S125" s="308"/>
    </row>
    <row r="126" spans="2:19" x14ac:dyDescent="0.25">
      <c r="B126" s="17"/>
      <c r="C126" s="17"/>
      <c r="D126" s="17"/>
      <c r="E126" s="22"/>
      <c r="F126" s="78"/>
      <c r="G126" s="78"/>
      <c r="H126" s="23" t="str">
        <f>EUconst_Unit</f>
        <v>Unit</v>
      </c>
      <c r="I126" s="128">
        <f>I$380</f>
        <v>2019</v>
      </c>
      <c r="J126" s="128">
        <f>J$380</f>
        <v>2020</v>
      </c>
      <c r="K126" s="128">
        <f>K$380</f>
        <v>2021</v>
      </c>
      <c r="L126" s="128">
        <f>L$380</f>
        <v>2022</v>
      </c>
      <c r="M126" s="128">
        <f>M$380</f>
        <v>2023</v>
      </c>
      <c r="N126" s="8"/>
      <c r="O126" s="8"/>
      <c r="S126" s="308"/>
    </row>
    <row r="127" spans="2:19" x14ac:dyDescent="0.25">
      <c r="B127" s="17"/>
      <c r="C127" s="113"/>
      <c r="D127" s="113" t="s">
        <v>206</v>
      </c>
      <c r="E127" s="1449" t="str">
        <f>Translations!$B$556</f>
        <v>Heat used for electricity production</v>
      </c>
      <c r="F127" s="1449"/>
      <c r="G127" s="1449"/>
      <c r="H127" s="217" t="str">
        <f>EUconst_TJpa</f>
        <v>TJ / year</v>
      </c>
      <c r="I127" s="293"/>
      <c r="J127" s="293"/>
      <c r="K127" s="293"/>
      <c r="L127" s="293"/>
      <c r="M127" s="293"/>
      <c r="N127" s="8"/>
      <c r="O127" s="8"/>
      <c r="S127" s="636" t="b">
        <f>S107</f>
        <v>0</v>
      </c>
    </row>
    <row r="128" spans="2:19" x14ac:dyDescent="0.25">
      <c r="B128" s="17"/>
      <c r="C128" s="113"/>
      <c r="D128" s="113" t="s">
        <v>208</v>
      </c>
      <c r="E128" s="1449" t="str">
        <f>Translations!$B$557</f>
        <v>Amount of heat from non-ETS sources</v>
      </c>
      <c r="F128" s="1449"/>
      <c r="G128" s="1449"/>
      <c r="H128" s="832" t="str">
        <f>EUconst_TJpa</f>
        <v>TJ / year</v>
      </c>
      <c r="I128" s="831" t="str">
        <f>IF(ISNUMBER(I127),IF(ISNUMBER(I116),IF(I127*(1-I116/100)&lt;SUM(I102),I127*(1-I116/100),SUM(I102)),""),"")</f>
        <v/>
      </c>
      <c r="J128" s="831" t="str">
        <f>IF(ISNUMBER(J127),IF(ISNUMBER(J116),IF(J127*(1-J116/100)&lt;SUM(J102),J127*(1-J116/100),SUM(J102)),""),"")</f>
        <v/>
      </c>
      <c r="K128" s="831" t="str">
        <f>IF(ISNUMBER(K127),IF(ISNUMBER(K116),IF(K127*(1-K116/100)&lt;SUM(K102),K127*(1-K116/100),SUM(K102)),""),"")</f>
        <v/>
      </c>
      <c r="L128" s="831" t="str">
        <f>IF(ISNUMBER(L127),IF(ISNUMBER(L116),IF(L127*(1-L116/100)&lt;SUM(L102),L127*(1-L116/100),SUM(L102)),""),"")</f>
        <v/>
      </c>
      <c r="M128" s="831" t="str">
        <f>IF(ISNUMBER(M127),IF(ISNUMBER(M116),IF(M127*(1-M116/100)&lt;SUM(M102),M127*(1-M116/100),SUM(M102)),""),"")</f>
        <v/>
      </c>
      <c r="N128" s="8"/>
      <c r="O128" s="8"/>
      <c r="S128" s="308"/>
    </row>
    <row r="129" spans="2:19" x14ac:dyDescent="0.25">
      <c r="B129" s="17"/>
      <c r="C129" s="113"/>
      <c r="D129" s="113" t="s">
        <v>209</v>
      </c>
      <c r="E129" s="1449" t="str">
        <f>Translations!$B$558</f>
        <v>Manual override of (ii)</v>
      </c>
      <c r="F129" s="1449"/>
      <c r="G129" s="1449"/>
      <c r="H129" s="832" t="str">
        <f>EUconst_TJpa</f>
        <v>TJ / year</v>
      </c>
      <c r="I129" s="1065"/>
      <c r="J129" s="1065"/>
      <c r="K129" s="1065"/>
      <c r="L129" s="1065"/>
      <c r="M129" s="1065"/>
      <c r="N129" s="8"/>
      <c r="O129" s="8"/>
      <c r="S129" s="636" t="b">
        <f>S127</f>
        <v>0</v>
      </c>
    </row>
    <row r="130" spans="2:19" ht="5.0999999999999996" customHeight="1" x14ac:dyDescent="0.25">
      <c r="B130" s="8"/>
      <c r="C130" s="8"/>
      <c r="D130" s="8"/>
      <c r="E130" s="8"/>
      <c r="F130" s="8"/>
      <c r="G130" s="8"/>
      <c r="H130" s="8"/>
      <c r="I130" s="8"/>
      <c r="J130" s="8"/>
      <c r="K130" s="8"/>
      <c r="L130" s="8"/>
      <c r="M130" s="8"/>
      <c r="N130" s="8"/>
      <c r="O130" s="8"/>
      <c r="P130" s="190"/>
      <c r="S130" s="308"/>
    </row>
    <row r="131" spans="2:19" x14ac:dyDescent="0.25">
      <c r="B131" s="8"/>
      <c r="C131" s="15"/>
      <c r="D131" s="15" t="s">
        <v>218</v>
      </c>
      <c r="E131" s="1447" t="str">
        <f>Translations!$B$559</f>
        <v>Measurable heat consumed for product benchmark sub-installations within the installation  (not eligible for heat benchmark):</v>
      </c>
      <c r="F131" s="1443"/>
      <c r="G131" s="1443"/>
      <c r="H131" s="1443"/>
      <c r="I131" s="1443"/>
      <c r="J131" s="1443"/>
      <c r="K131" s="1443"/>
      <c r="L131" s="1443"/>
      <c r="M131" s="1443"/>
      <c r="N131" s="1443"/>
      <c r="O131" s="8"/>
      <c r="P131" s="190"/>
      <c r="S131" s="308"/>
    </row>
    <row r="132" spans="2:19" ht="25.5" customHeight="1" x14ac:dyDescent="0.25">
      <c r="B132" s="8"/>
      <c r="C132" s="17"/>
      <c r="D132" s="17"/>
      <c r="E132" s="1223" t="str">
        <f>Translations!$B$560</f>
        <v>According to Article 21 of the FAR a CO2 equivalent for non-ETS heat imports is to be deducted from preliminary allocations for product benchmarks. The data needed for that correction is input in sheet "F_ProductBM", section (d) of each sub-installation.</v>
      </c>
      <c r="F132" s="1176"/>
      <c r="G132" s="1176"/>
      <c r="H132" s="1176"/>
      <c r="I132" s="1176"/>
      <c r="J132" s="1176"/>
      <c r="K132" s="1176"/>
      <c r="L132" s="1176"/>
      <c r="M132" s="1176"/>
      <c r="N132" s="1176"/>
      <c r="O132" s="8"/>
      <c r="P132" s="190"/>
      <c r="S132" s="308"/>
    </row>
    <row r="133" spans="2:19" x14ac:dyDescent="0.25">
      <c r="B133" s="8"/>
      <c r="C133" s="17"/>
      <c r="D133" s="17"/>
      <c r="E133" s="1442" t="str">
        <f>Translations!$B$561</f>
        <v>Therefore here a plausibility check for that data is included.</v>
      </c>
      <c r="F133" s="1443"/>
      <c r="G133" s="1443"/>
      <c r="H133" s="1443"/>
      <c r="I133" s="1443"/>
      <c r="J133" s="1443"/>
      <c r="K133" s="1443"/>
      <c r="L133" s="1443"/>
      <c r="M133" s="1443"/>
      <c r="N133" s="1443"/>
      <c r="O133" s="8"/>
      <c r="P133" s="190"/>
      <c r="S133" s="308"/>
    </row>
    <row r="134" spans="2:19" ht="13.8" thickBot="1" x14ac:dyDescent="0.3">
      <c r="B134" s="17"/>
      <c r="C134" s="17"/>
      <c r="D134" s="17"/>
      <c r="E134" s="22"/>
      <c r="F134" s="78"/>
      <c r="G134" s="78"/>
      <c r="H134" s="23" t="str">
        <f>EUconst_Unit</f>
        <v>Unit</v>
      </c>
      <c r="I134" s="128">
        <f>I$380</f>
        <v>2019</v>
      </c>
      <c r="J134" s="128">
        <f>J$380</f>
        <v>2020</v>
      </c>
      <c r="K134" s="128">
        <f>K$380</f>
        <v>2021</v>
      </c>
      <c r="L134" s="128">
        <f>L$380</f>
        <v>2022</v>
      </c>
      <c r="M134" s="128">
        <f>M$380</f>
        <v>2023</v>
      </c>
      <c r="N134" s="8"/>
      <c r="O134" s="8"/>
      <c r="S134" s="308"/>
    </row>
    <row r="135" spans="2:19" ht="12.75" customHeight="1" x14ac:dyDescent="0.25">
      <c r="B135" s="17"/>
      <c r="C135" s="17"/>
      <c r="D135" s="113" t="s">
        <v>206</v>
      </c>
      <c r="E135" s="1448" t="str">
        <f t="shared" ref="E135:E144" si="4">IF(INDEX(CNTR_SubInstListIsProdBM,P135),INDEX(CNTR_SubInstListNames,P135),"")</f>
        <v/>
      </c>
      <c r="F135" s="1448"/>
      <c r="G135" s="1448"/>
      <c r="H135" s="291" t="str">
        <f t="shared" ref="H135:H145" si="5">EUconst_TJpa</f>
        <v>TJ / year</v>
      </c>
      <c r="I135" s="825"/>
      <c r="J135" s="825"/>
      <c r="K135" s="825"/>
      <c r="L135" s="825"/>
      <c r="M135" s="825"/>
      <c r="N135" s="8"/>
      <c r="O135" s="8"/>
      <c r="P135" s="248">
        <v>1</v>
      </c>
      <c r="S135" s="316" t="b">
        <f t="shared" ref="S135:S144" si="6">IF(CNTR_ExistSubInstEntries,OR(E135="",$S$129),FALSE)</f>
        <v>0</v>
      </c>
    </row>
    <row r="136" spans="2:19" x14ac:dyDescent="0.25">
      <c r="B136" s="17"/>
      <c r="C136" s="17"/>
      <c r="D136" s="113" t="s">
        <v>208</v>
      </c>
      <c r="E136" s="1448" t="str">
        <f t="shared" si="4"/>
        <v/>
      </c>
      <c r="F136" s="1448"/>
      <c r="G136" s="1448"/>
      <c r="H136" s="833" t="str">
        <f t="shared" si="5"/>
        <v>TJ / year</v>
      </c>
      <c r="I136" s="296"/>
      <c r="J136" s="296"/>
      <c r="K136" s="296"/>
      <c r="L136" s="296"/>
      <c r="M136" s="296"/>
      <c r="N136" s="8"/>
      <c r="O136" s="8"/>
      <c r="P136" s="834">
        <v>2</v>
      </c>
      <c r="S136" s="406" t="b">
        <f t="shared" si="6"/>
        <v>0</v>
      </c>
    </row>
    <row r="137" spans="2:19" ht="12.75" customHeight="1" x14ac:dyDescent="0.25">
      <c r="B137" s="17"/>
      <c r="C137" s="17"/>
      <c r="D137" s="113" t="s">
        <v>209</v>
      </c>
      <c r="E137" s="1448" t="str">
        <f t="shared" si="4"/>
        <v/>
      </c>
      <c r="F137" s="1448"/>
      <c r="G137" s="1448"/>
      <c r="H137" s="833" t="str">
        <f t="shared" si="5"/>
        <v>TJ / year</v>
      </c>
      <c r="I137" s="296"/>
      <c r="J137" s="296"/>
      <c r="K137" s="296"/>
      <c r="L137" s="296"/>
      <c r="M137" s="296"/>
      <c r="N137" s="8"/>
      <c r="O137" s="8"/>
      <c r="P137" s="834">
        <v>3</v>
      </c>
      <c r="S137" s="406" t="b">
        <f t="shared" si="6"/>
        <v>0</v>
      </c>
    </row>
    <row r="138" spans="2:19" x14ac:dyDescent="0.25">
      <c r="B138" s="17"/>
      <c r="C138" s="17"/>
      <c r="D138" s="113" t="s">
        <v>210</v>
      </c>
      <c r="E138" s="1448" t="str">
        <f t="shared" si="4"/>
        <v/>
      </c>
      <c r="F138" s="1448"/>
      <c r="G138" s="1448"/>
      <c r="H138" s="833" t="str">
        <f t="shared" si="5"/>
        <v>TJ / year</v>
      </c>
      <c r="I138" s="296"/>
      <c r="J138" s="296"/>
      <c r="K138" s="296"/>
      <c r="L138" s="296"/>
      <c r="M138" s="296"/>
      <c r="N138" s="8"/>
      <c r="O138" s="8"/>
      <c r="P138" s="834">
        <v>4</v>
      </c>
      <c r="S138" s="406" t="b">
        <f t="shared" si="6"/>
        <v>0</v>
      </c>
    </row>
    <row r="139" spans="2:19" x14ac:dyDescent="0.25">
      <c r="B139" s="17"/>
      <c r="C139" s="17"/>
      <c r="D139" s="113" t="s">
        <v>220</v>
      </c>
      <c r="E139" s="1448" t="str">
        <f t="shared" si="4"/>
        <v/>
      </c>
      <c r="F139" s="1448"/>
      <c r="G139" s="1448"/>
      <c r="H139" s="833" t="str">
        <f t="shared" si="5"/>
        <v>TJ / year</v>
      </c>
      <c r="I139" s="296"/>
      <c r="J139" s="296"/>
      <c r="K139" s="296"/>
      <c r="L139" s="296"/>
      <c r="M139" s="296"/>
      <c r="N139" s="8"/>
      <c r="O139" s="8"/>
      <c r="P139" s="834">
        <v>5</v>
      </c>
      <c r="S139" s="406" t="b">
        <f t="shared" si="6"/>
        <v>0</v>
      </c>
    </row>
    <row r="140" spans="2:19" x14ac:dyDescent="0.25">
      <c r="B140" s="17"/>
      <c r="C140" s="17"/>
      <c r="D140" s="113" t="s">
        <v>221</v>
      </c>
      <c r="E140" s="1448" t="str">
        <f t="shared" si="4"/>
        <v/>
      </c>
      <c r="F140" s="1448"/>
      <c r="G140" s="1448"/>
      <c r="H140" s="833" t="str">
        <f t="shared" si="5"/>
        <v>TJ / year</v>
      </c>
      <c r="I140" s="296"/>
      <c r="J140" s="296"/>
      <c r="K140" s="296"/>
      <c r="L140" s="296"/>
      <c r="M140" s="296"/>
      <c r="N140" s="8"/>
      <c r="O140" s="8"/>
      <c r="P140" s="834">
        <v>6</v>
      </c>
      <c r="S140" s="406" t="b">
        <f t="shared" si="6"/>
        <v>0</v>
      </c>
    </row>
    <row r="141" spans="2:19" x14ac:dyDescent="0.25">
      <c r="B141" s="17"/>
      <c r="C141" s="17"/>
      <c r="D141" s="113" t="s">
        <v>222</v>
      </c>
      <c r="E141" s="1448" t="str">
        <f t="shared" si="4"/>
        <v/>
      </c>
      <c r="F141" s="1448"/>
      <c r="G141" s="1448"/>
      <c r="H141" s="833" t="str">
        <f t="shared" si="5"/>
        <v>TJ / year</v>
      </c>
      <c r="I141" s="296"/>
      <c r="J141" s="296"/>
      <c r="K141" s="296"/>
      <c r="L141" s="296"/>
      <c r="M141" s="296"/>
      <c r="N141" s="8"/>
      <c r="O141" s="8"/>
      <c r="P141" s="834">
        <v>7</v>
      </c>
      <c r="S141" s="406" t="b">
        <f t="shared" si="6"/>
        <v>0</v>
      </c>
    </row>
    <row r="142" spans="2:19" x14ac:dyDescent="0.25">
      <c r="B142" s="17"/>
      <c r="C142" s="17"/>
      <c r="D142" s="113" t="s">
        <v>223</v>
      </c>
      <c r="E142" s="1448" t="str">
        <f t="shared" si="4"/>
        <v/>
      </c>
      <c r="F142" s="1448"/>
      <c r="G142" s="1448"/>
      <c r="H142" s="833" t="str">
        <f t="shared" si="5"/>
        <v>TJ / year</v>
      </c>
      <c r="I142" s="296"/>
      <c r="J142" s="296"/>
      <c r="K142" s="296"/>
      <c r="L142" s="296"/>
      <c r="M142" s="296"/>
      <c r="N142" s="8"/>
      <c r="O142" s="8"/>
      <c r="P142" s="834">
        <v>8</v>
      </c>
      <c r="S142" s="406" t="b">
        <f t="shared" si="6"/>
        <v>0</v>
      </c>
    </row>
    <row r="143" spans="2:19" x14ac:dyDescent="0.25">
      <c r="B143" s="17"/>
      <c r="C143" s="17"/>
      <c r="D143" s="113" t="s">
        <v>224</v>
      </c>
      <c r="E143" s="1448" t="str">
        <f t="shared" si="4"/>
        <v/>
      </c>
      <c r="F143" s="1448"/>
      <c r="G143" s="1448"/>
      <c r="H143" s="833" t="str">
        <f t="shared" si="5"/>
        <v>TJ / year</v>
      </c>
      <c r="I143" s="296"/>
      <c r="J143" s="296"/>
      <c r="K143" s="296"/>
      <c r="L143" s="296"/>
      <c r="M143" s="296"/>
      <c r="N143" s="8"/>
      <c r="O143" s="8"/>
      <c r="P143" s="834">
        <v>9</v>
      </c>
      <c r="S143" s="406" t="b">
        <f t="shared" si="6"/>
        <v>0</v>
      </c>
    </row>
    <row r="144" spans="2:19" ht="13.8" thickBot="1" x14ac:dyDescent="0.3">
      <c r="B144" s="17"/>
      <c r="C144" s="17"/>
      <c r="D144" s="113" t="s">
        <v>345</v>
      </c>
      <c r="E144" s="1465" t="str">
        <f t="shared" si="4"/>
        <v/>
      </c>
      <c r="F144" s="1465"/>
      <c r="G144" s="1465"/>
      <c r="H144" s="835" t="str">
        <f t="shared" si="5"/>
        <v>TJ / year</v>
      </c>
      <c r="I144" s="826"/>
      <c r="J144" s="826"/>
      <c r="K144" s="826"/>
      <c r="L144" s="826"/>
      <c r="M144" s="826"/>
      <c r="N144" s="8"/>
      <c r="O144" s="8"/>
      <c r="P144" s="836">
        <v>10</v>
      </c>
      <c r="S144" s="317" t="b">
        <f t="shared" si="6"/>
        <v>0</v>
      </c>
    </row>
    <row r="145" spans="2:19" ht="12.75" customHeight="1" x14ac:dyDescent="0.25">
      <c r="B145" s="17"/>
      <c r="C145" s="113"/>
      <c r="D145" s="113" t="s">
        <v>346</v>
      </c>
      <c r="E145" s="1449" t="str">
        <f>Translations!$B$536</f>
        <v>Sub-total</v>
      </c>
      <c r="F145" s="1449"/>
      <c r="G145" s="1449"/>
      <c r="H145" s="227" t="str">
        <f t="shared" si="5"/>
        <v>TJ / year</v>
      </c>
      <c r="I145" s="163" t="str">
        <f>IF(COUNT(I135:I144)&gt;0,SUM(I135:I144),"")</f>
        <v/>
      </c>
      <c r="J145" s="163" t="str">
        <f>IF(COUNT(J135:J144)&gt;0,SUM(J135:J144),"")</f>
        <v/>
      </c>
      <c r="K145" s="163" t="str">
        <f>IF(COUNT(K135:K144)&gt;0,SUM(K135:K144),"")</f>
        <v/>
      </c>
      <c r="L145" s="163" t="str">
        <f>IF(COUNT(L135:L144)&gt;0,SUM(L135:L144),"")</f>
        <v/>
      </c>
      <c r="M145" s="163" t="str">
        <f>IF(COUNT(M135:M144)&gt;0,SUM(M135:M144),"")</f>
        <v/>
      </c>
      <c r="N145" s="8"/>
      <c r="O145" s="8"/>
      <c r="S145" s="308"/>
    </row>
    <row r="146" spans="2:19" ht="5.0999999999999996" customHeight="1" x14ac:dyDescent="0.25">
      <c r="B146" s="8"/>
      <c r="C146" s="8"/>
      <c r="D146" s="8"/>
      <c r="E146" s="8"/>
      <c r="F146" s="8"/>
      <c r="G146" s="8"/>
      <c r="H146" s="8"/>
      <c r="I146" s="8"/>
      <c r="J146" s="8"/>
      <c r="K146" s="8"/>
      <c r="L146" s="8"/>
      <c r="M146" s="8"/>
      <c r="N146" s="8"/>
      <c r="O146" s="8"/>
      <c r="P146" s="190"/>
      <c r="S146" s="308"/>
    </row>
    <row r="147" spans="2:19" x14ac:dyDescent="0.25">
      <c r="B147" s="17"/>
      <c r="C147" s="17"/>
      <c r="D147" s="17"/>
      <c r="E147" s="1452" t="str">
        <f>Translations!$B$562</f>
        <v>Values entered in sheet "F_ProductBM":</v>
      </c>
      <c r="F147" s="1451"/>
      <c r="G147" s="1451"/>
      <c r="H147" s="1451"/>
      <c r="I147" s="1451"/>
      <c r="J147" s="1451"/>
      <c r="K147" s="1451"/>
      <c r="L147" s="1451"/>
      <c r="M147" s="1451"/>
      <c r="N147" s="1443"/>
      <c r="O147" s="8"/>
      <c r="S147" s="308"/>
    </row>
    <row r="148" spans="2:19" x14ac:dyDescent="0.25">
      <c r="B148" s="17"/>
      <c r="C148" s="113"/>
      <c r="D148" s="113" t="s">
        <v>347</v>
      </c>
      <c r="E148" s="1449" t="str">
        <f>Translations!$B$557</f>
        <v>Amount of heat from non-ETS sources</v>
      </c>
      <c r="F148" s="1449"/>
      <c r="G148" s="1449"/>
      <c r="H148" s="832" t="str">
        <f>EUconst_TJpa</f>
        <v>TJ / year</v>
      </c>
      <c r="I148" s="831" t="str">
        <f>F_ProductBM!I1890</f>
        <v/>
      </c>
      <c r="J148" s="831" t="str">
        <f>F_ProductBM!J1890</f>
        <v/>
      </c>
      <c r="K148" s="831" t="str">
        <f>F_ProductBM!K1890</f>
        <v/>
      </c>
      <c r="L148" s="831" t="str">
        <f>F_ProductBM!L1890</f>
        <v/>
      </c>
      <c r="M148" s="831" t="str">
        <f>F_ProductBM!M1890</f>
        <v/>
      </c>
      <c r="N148" s="8"/>
      <c r="O148" s="8"/>
      <c r="S148" s="308"/>
    </row>
    <row r="149" spans="2:19" ht="5.0999999999999996" customHeight="1" x14ac:dyDescent="0.25">
      <c r="B149" s="8"/>
      <c r="C149" s="8"/>
      <c r="D149" s="8"/>
      <c r="E149" s="8"/>
      <c r="F149" s="8"/>
      <c r="G149" s="8"/>
      <c r="H149" s="8"/>
      <c r="I149" s="8"/>
      <c r="J149" s="8"/>
      <c r="K149" s="8"/>
      <c r="L149" s="8"/>
      <c r="M149" s="8"/>
      <c r="N149" s="8"/>
      <c r="O149" s="8"/>
      <c r="P149" s="190"/>
      <c r="S149" s="308"/>
    </row>
    <row r="150" spans="2:19" x14ac:dyDescent="0.25">
      <c r="B150" s="17"/>
      <c r="C150" s="17"/>
      <c r="D150" s="17"/>
      <c r="E150" s="1447" t="str">
        <f>Translations!$B$563</f>
        <v>Plausibility check:</v>
      </c>
      <c r="F150" s="1443"/>
      <c r="G150" s="1443"/>
      <c r="H150" s="1443"/>
      <c r="I150" s="1443"/>
      <c r="J150" s="1443"/>
      <c r="K150" s="1443"/>
      <c r="L150" s="1443"/>
      <c r="M150" s="1443"/>
      <c r="N150" s="1443"/>
      <c r="O150" s="8"/>
      <c r="S150" s="308"/>
    </row>
    <row r="151" spans="2:19" x14ac:dyDescent="0.25">
      <c r="B151" s="8"/>
      <c r="C151" s="17"/>
      <c r="D151" s="17"/>
      <c r="E151" s="1357" t="str">
        <f>Translations!$B$564</f>
        <v>Please make sure that you check this section again after completing the sheet "F_ProductBM", if applicable, in order to avoid non-plausible inputs.</v>
      </c>
      <c r="F151" s="1443"/>
      <c r="G151" s="1443"/>
      <c r="H151" s="1443"/>
      <c r="I151" s="1443"/>
      <c r="J151" s="1443"/>
      <c r="K151" s="1443"/>
      <c r="L151" s="1443"/>
      <c r="M151" s="1443"/>
      <c r="N151" s="1443"/>
      <c r="O151" s="8"/>
      <c r="P151" s="190"/>
      <c r="S151" s="308"/>
    </row>
    <row r="152" spans="2:19" x14ac:dyDescent="0.25">
      <c r="B152" s="8"/>
      <c r="C152" s="17"/>
      <c r="D152" s="17"/>
      <c r="E152" s="1357" t="str">
        <f>Translations!$B$565</f>
        <v>The best suggested approach for filling this section is to first make the relevant entries under "F_ProductBM" and only then continue with point (i) below.</v>
      </c>
      <c r="F152" s="1443"/>
      <c r="G152" s="1443"/>
      <c r="H152" s="1443"/>
      <c r="I152" s="1443"/>
      <c r="J152" s="1443"/>
      <c r="K152" s="1443"/>
      <c r="L152" s="1443"/>
      <c r="M152" s="1443"/>
      <c r="N152" s="1443"/>
      <c r="O152" s="8"/>
      <c r="P152" s="190"/>
      <c r="S152" s="308"/>
    </row>
    <row r="153" spans="2:19" ht="5.0999999999999996" customHeight="1" x14ac:dyDescent="0.25">
      <c r="B153" s="8"/>
      <c r="C153" s="837"/>
      <c r="D153" s="837"/>
      <c r="E153" s="8"/>
      <c r="F153" s="8"/>
      <c r="G153" s="8"/>
      <c r="H153" s="8"/>
      <c r="I153" s="8"/>
      <c r="J153" s="8"/>
      <c r="K153" s="8"/>
      <c r="L153" s="8"/>
      <c r="M153" s="8"/>
      <c r="N153" s="8"/>
      <c r="O153" s="8"/>
      <c r="P153" s="190"/>
      <c r="S153" s="308"/>
    </row>
    <row r="154" spans="2:19" x14ac:dyDescent="0.25">
      <c r="B154" s="17"/>
      <c r="C154" s="17"/>
      <c r="D154" s="17"/>
      <c r="E154" s="1452" t="str">
        <f>Translations!$B$566</f>
        <v>Non-ETS heat entered in sheet "F_ProductBM" compared to total amount of heat for all product benchmarks:</v>
      </c>
      <c r="F154" s="1451"/>
      <c r="G154" s="1451"/>
      <c r="H154" s="1451"/>
      <c r="I154" s="1451"/>
      <c r="J154" s="1451"/>
      <c r="K154" s="1451"/>
      <c r="L154" s="1451"/>
      <c r="M154" s="1451"/>
      <c r="N154" s="1443"/>
      <c r="O154" s="8"/>
      <c r="S154" s="308"/>
    </row>
    <row r="155" spans="2:19" x14ac:dyDescent="0.25">
      <c r="B155" s="17"/>
      <c r="C155" s="113"/>
      <c r="D155" s="113" t="s">
        <v>355</v>
      </c>
      <c r="E155" s="1449" t="str">
        <f>Translations!$B$567</f>
        <v>Point xii in relation to point xi:</v>
      </c>
      <c r="F155" s="1449"/>
      <c r="G155" s="1449"/>
      <c r="H155" s="217" t="s">
        <v>354</v>
      </c>
      <c r="I155" s="831" t="str">
        <f>IF(AND(ISNUMBER(I145),I145&lt;&gt;0,ISNUMBER(I148)),I148/I145*100,"")</f>
        <v/>
      </c>
      <c r="J155" s="831" t="str">
        <f>IF(AND(ISNUMBER(J145),J145&lt;&gt;0,ISNUMBER(J148)),J148/J145*100,"")</f>
        <v/>
      </c>
      <c r="K155" s="831" t="str">
        <f>IF(AND(ISNUMBER(K145),K145&lt;&gt;0,ISNUMBER(K148)),K148/K145*100,"")</f>
        <v/>
      </c>
      <c r="L155" s="831" t="str">
        <f>IF(AND(ISNUMBER(L145),L145&lt;&gt;0,ISNUMBER(L148)),L148/L145*100,"")</f>
        <v/>
      </c>
      <c r="M155" s="831" t="str">
        <f>IF(AND(ISNUMBER(M145),M145&lt;&gt;0,ISNUMBER(M148)),M148/M145*100,"")</f>
        <v/>
      </c>
      <c r="N155" s="8"/>
      <c r="O155" s="8"/>
      <c r="S155" s="308"/>
    </row>
    <row r="156" spans="2:19" ht="5.0999999999999996" customHeight="1" x14ac:dyDescent="0.25">
      <c r="B156" s="8"/>
      <c r="C156" s="837"/>
      <c r="D156" s="837"/>
      <c r="E156" s="8"/>
      <c r="F156" s="8"/>
      <c r="G156" s="8"/>
      <c r="H156" s="8"/>
      <c r="I156" s="8"/>
      <c r="J156" s="8"/>
      <c r="K156" s="8"/>
      <c r="L156" s="8"/>
      <c r="M156" s="8"/>
      <c r="N156" s="8"/>
      <c r="O156" s="8"/>
      <c r="P156" s="190"/>
      <c r="S156" s="308"/>
    </row>
    <row r="157" spans="2:19" x14ac:dyDescent="0.25">
      <c r="B157" s="17"/>
      <c r="C157" s="113"/>
      <c r="D157" s="113"/>
      <c r="E157" s="1452" t="str">
        <f>Translations!$B$568</f>
        <v>Non-ETS heat entered in sheet "F_ProductBM" compared to total amount of non-ETS heat imports entered above under point (c):</v>
      </c>
      <c r="F157" s="1451"/>
      <c r="G157" s="1451"/>
      <c r="H157" s="1451"/>
      <c r="I157" s="1451"/>
      <c r="J157" s="1451"/>
      <c r="K157" s="1451"/>
      <c r="L157" s="1451"/>
      <c r="M157" s="1451"/>
      <c r="N157" s="1443"/>
      <c r="O157" s="8"/>
      <c r="S157" s="308"/>
    </row>
    <row r="158" spans="2:19" x14ac:dyDescent="0.25">
      <c r="B158" s="17"/>
      <c r="C158" s="113"/>
      <c r="D158" s="113" t="s">
        <v>356</v>
      </c>
      <c r="E158" s="1449" t="str">
        <f>Translations!$B$569</f>
        <v>Point xii in relation to point (c) above:</v>
      </c>
      <c r="F158" s="1449"/>
      <c r="G158" s="1449"/>
      <c r="H158" s="217" t="s">
        <v>354</v>
      </c>
      <c r="I158" s="831" t="str">
        <f>IF(AND(ISNUMBER(I102),I102&lt;&gt;0,ISNUMBER(I148)),I148/I102*100,"")</f>
        <v/>
      </c>
      <c r="J158" s="831" t="str">
        <f>IF(AND(ISNUMBER(J102),J102&lt;&gt;0,ISNUMBER(J148)),J148/J102*100,"")</f>
        <v/>
      </c>
      <c r="K158" s="831" t="str">
        <f>IF(AND(ISNUMBER(K102),K102&lt;&gt;0,ISNUMBER(K148)),K148/K102*100,"")</f>
        <v/>
      </c>
      <c r="L158" s="831" t="str">
        <f>IF(AND(ISNUMBER(L102),L102&lt;&gt;0,ISNUMBER(L148)),L148/L102*100,"")</f>
        <v/>
      </c>
      <c r="M158" s="831" t="str">
        <f>IF(AND(ISNUMBER(M102),M102&lt;&gt;0,ISNUMBER(M148)),M148/M102*100,"")</f>
        <v/>
      </c>
      <c r="N158" s="8"/>
      <c r="O158" s="8"/>
      <c r="S158" s="308"/>
    </row>
    <row r="159" spans="2:19" x14ac:dyDescent="0.25">
      <c r="B159" s="17"/>
      <c r="C159" s="17"/>
      <c r="D159" s="17"/>
      <c r="E159" s="17"/>
      <c r="F159" s="17"/>
      <c r="G159" s="17"/>
      <c r="H159" s="17"/>
      <c r="I159" s="17"/>
      <c r="J159" s="17"/>
      <c r="K159" s="17"/>
      <c r="L159" s="17"/>
      <c r="M159" s="17"/>
      <c r="N159" s="17"/>
      <c r="O159" s="8"/>
      <c r="S159" s="308"/>
    </row>
    <row r="160" spans="2:19" x14ac:dyDescent="0.25">
      <c r="B160" s="17"/>
      <c r="C160" s="15"/>
      <c r="D160" s="15" t="s">
        <v>225</v>
      </c>
      <c r="E160" s="1447" t="str">
        <f>Translations!$B$570</f>
        <v>Heat exported to ETS installations (not eligible for heat benchmark):</v>
      </c>
      <c r="F160" s="1443"/>
      <c r="G160" s="1443"/>
      <c r="H160" s="1443"/>
      <c r="I160" s="1443"/>
      <c r="J160" s="1443"/>
      <c r="K160" s="1443"/>
      <c r="L160" s="1443"/>
      <c r="M160" s="1443"/>
      <c r="N160" s="1443"/>
      <c r="O160" s="8"/>
      <c r="S160" s="308"/>
    </row>
    <row r="161" spans="2:19" x14ac:dyDescent="0.25">
      <c r="B161" s="8"/>
      <c r="C161" s="17"/>
      <c r="D161" s="17"/>
      <c r="E161" s="1442" t="str">
        <f>Translations!$B$571</f>
        <v>This amount of heat is allocated to the consumer of the heat.</v>
      </c>
      <c r="F161" s="1443"/>
      <c r="G161" s="1443"/>
      <c r="H161" s="1443"/>
      <c r="I161" s="1443"/>
      <c r="J161" s="1443"/>
      <c r="K161" s="1443"/>
      <c r="L161" s="1443"/>
      <c r="M161" s="1443"/>
      <c r="N161" s="1443"/>
      <c r="O161" s="8"/>
      <c r="P161" s="190"/>
      <c r="S161" s="308"/>
    </row>
    <row r="162" spans="2:19" x14ac:dyDescent="0.25">
      <c r="B162" s="8"/>
      <c r="C162" s="17"/>
      <c r="D162" s="17"/>
      <c r="E162" s="1442" t="str">
        <f>Translations!$B$534</f>
        <v>Installation names in the drop down list are taken from Section A.IV. Therefore you must ensure that you have entered complete data there.</v>
      </c>
      <c r="F162" s="1443"/>
      <c r="G162" s="1443"/>
      <c r="H162" s="1443"/>
      <c r="I162" s="1443"/>
      <c r="J162" s="1443"/>
      <c r="K162" s="1443"/>
      <c r="L162" s="1443"/>
      <c r="M162" s="1443"/>
      <c r="N162" s="1443"/>
      <c r="O162" s="8"/>
      <c r="P162" s="190"/>
      <c r="S162" s="308"/>
    </row>
    <row r="163" spans="2:19" x14ac:dyDescent="0.25">
      <c r="B163" s="17"/>
      <c r="C163" s="17"/>
      <c r="D163" s="17"/>
      <c r="E163" s="1452" t="str">
        <f>Translations!$B$535</f>
        <v>Name of installation</v>
      </c>
      <c r="F163" s="1451"/>
      <c r="G163" s="1451"/>
      <c r="H163" s="23" t="str">
        <f>EUconst_Unit</f>
        <v>Unit</v>
      </c>
      <c r="I163" s="149">
        <f>I$380</f>
        <v>2019</v>
      </c>
      <c r="J163" s="149">
        <f>J$380</f>
        <v>2020</v>
      </c>
      <c r="K163" s="149">
        <f>K$380</f>
        <v>2021</v>
      </c>
      <c r="L163" s="149">
        <f>L$380</f>
        <v>2022</v>
      </c>
      <c r="M163" s="149">
        <f>M$380</f>
        <v>2023</v>
      </c>
      <c r="N163" s="8"/>
      <c r="O163" s="8"/>
      <c r="S163" s="308"/>
    </row>
    <row r="164" spans="2:19" x14ac:dyDescent="0.25">
      <c r="B164" s="17"/>
      <c r="C164" s="113"/>
      <c r="D164" s="113" t="s">
        <v>206</v>
      </c>
      <c r="E164" s="1481"/>
      <c r="F164" s="1481"/>
      <c r="G164" s="1481"/>
      <c r="H164" s="838" t="str">
        <f t="shared" ref="H164:H169" si="7">EUconst_TJpa</f>
        <v>TJ / year</v>
      </c>
      <c r="I164" s="839"/>
      <c r="J164" s="839"/>
      <c r="K164" s="839"/>
      <c r="L164" s="839"/>
      <c r="M164" s="839"/>
      <c r="N164" s="8"/>
      <c r="O164" s="8"/>
      <c r="S164" s="636" t="b">
        <f>S129</f>
        <v>0</v>
      </c>
    </row>
    <row r="165" spans="2:19" x14ac:dyDescent="0.25">
      <c r="B165" s="17"/>
      <c r="C165" s="113"/>
      <c r="D165" s="113" t="s">
        <v>208</v>
      </c>
      <c r="E165" s="1325"/>
      <c r="F165" s="1325"/>
      <c r="G165" s="1325"/>
      <c r="H165" s="225" t="str">
        <f t="shared" si="7"/>
        <v>TJ / year</v>
      </c>
      <c r="I165" s="296"/>
      <c r="J165" s="296"/>
      <c r="K165" s="296"/>
      <c r="L165" s="296"/>
      <c r="M165" s="296"/>
      <c r="N165" s="8"/>
      <c r="O165" s="8"/>
      <c r="S165" s="636" t="b">
        <f>S164</f>
        <v>0</v>
      </c>
    </row>
    <row r="166" spans="2:19" x14ac:dyDescent="0.25">
      <c r="B166" s="17"/>
      <c r="C166" s="113"/>
      <c r="D166" s="113" t="s">
        <v>209</v>
      </c>
      <c r="E166" s="1325"/>
      <c r="F166" s="1325"/>
      <c r="G166" s="1325"/>
      <c r="H166" s="225" t="str">
        <f t="shared" si="7"/>
        <v>TJ / year</v>
      </c>
      <c r="I166" s="296"/>
      <c r="J166" s="296"/>
      <c r="K166" s="296"/>
      <c r="L166" s="296"/>
      <c r="M166" s="296"/>
      <c r="N166" s="8"/>
      <c r="O166" s="8"/>
      <c r="S166" s="636" t="b">
        <f>S165</f>
        <v>0</v>
      </c>
    </row>
    <row r="167" spans="2:19" x14ac:dyDescent="0.25">
      <c r="B167" s="17"/>
      <c r="C167" s="113"/>
      <c r="D167" s="113" t="s">
        <v>210</v>
      </c>
      <c r="E167" s="1325"/>
      <c r="F167" s="1325"/>
      <c r="G167" s="1325"/>
      <c r="H167" s="225" t="str">
        <f t="shared" si="7"/>
        <v>TJ / year</v>
      </c>
      <c r="I167" s="296"/>
      <c r="J167" s="296"/>
      <c r="K167" s="296"/>
      <c r="L167" s="296"/>
      <c r="M167" s="296"/>
      <c r="N167" s="8"/>
      <c r="O167" s="8"/>
      <c r="S167" s="636" t="b">
        <f>S166</f>
        <v>0</v>
      </c>
    </row>
    <row r="168" spans="2:19" x14ac:dyDescent="0.25">
      <c r="B168" s="17"/>
      <c r="C168" s="113"/>
      <c r="D168" s="113" t="s">
        <v>220</v>
      </c>
      <c r="E168" s="1320"/>
      <c r="F168" s="1320"/>
      <c r="G168" s="1320"/>
      <c r="H168" s="227" t="str">
        <f t="shared" si="7"/>
        <v>TJ / year</v>
      </c>
      <c r="I168" s="826"/>
      <c r="J168" s="826"/>
      <c r="K168" s="826"/>
      <c r="L168" s="826"/>
      <c r="M168" s="826"/>
      <c r="N168" s="8"/>
      <c r="O168" s="8"/>
      <c r="S168" s="636" t="b">
        <f>S167</f>
        <v>0</v>
      </c>
    </row>
    <row r="169" spans="2:19" x14ac:dyDescent="0.25">
      <c r="B169" s="17"/>
      <c r="C169" s="113"/>
      <c r="D169" s="113" t="s">
        <v>221</v>
      </c>
      <c r="E169" s="1449" t="str">
        <f>Translations!$B$572</f>
        <v>Total heat exported to ETS installations</v>
      </c>
      <c r="F169" s="1449"/>
      <c r="G169" s="1449"/>
      <c r="H169" s="41" t="str">
        <f t="shared" si="7"/>
        <v>TJ / year</v>
      </c>
      <c r="I169" s="304" t="str">
        <f>IF(COUNT(I164:I168)&gt;0,SUM(I164:I168),"")</f>
        <v/>
      </c>
      <c r="J169" s="304" t="str">
        <f>IF(COUNT(J164:J168)&gt;0,SUM(J164:J168),"")</f>
        <v/>
      </c>
      <c r="K169" s="304" t="str">
        <f>IF(COUNT(K164:K168)&gt;0,SUM(K164:K168),"")</f>
        <v/>
      </c>
      <c r="L169" s="304" t="str">
        <f>IF(COUNT(L164:L168)&gt;0,SUM(L164:L168),"")</f>
        <v/>
      </c>
      <c r="M169" s="304" t="str">
        <f>IF(COUNT(M164:M168)&gt;0,SUM(M164:M168),"")</f>
        <v/>
      </c>
      <c r="N169" s="8"/>
      <c r="O169" s="8"/>
      <c r="S169" s="308"/>
    </row>
    <row r="170" spans="2:19" x14ac:dyDescent="0.25">
      <c r="B170" s="17"/>
      <c r="C170" s="17"/>
      <c r="D170" s="17"/>
      <c r="E170" s="17"/>
      <c r="F170" s="17"/>
      <c r="G170" s="17"/>
      <c r="H170" s="17"/>
      <c r="I170" s="17"/>
      <c r="J170" s="17"/>
      <c r="K170" s="17"/>
      <c r="L170" s="17"/>
      <c r="M170" s="17"/>
      <c r="N170" s="17"/>
      <c r="O170" s="8"/>
      <c r="S170" s="308"/>
    </row>
    <row r="171" spans="2:19" ht="13.8" x14ac:dyDescent="0.25">
      <c r="B171" s="8"/>
      <c r="C171" s="20"/>
      <c r="D171" s="20"/>
      <c r="E171" s="1462" t="str">
        <f>Translations!$B$573</f>
        <v>Heat benchmark and district heating sub-installations:</v>
      </c>
      <c r="F171" s="1443"/>
      <c r="G171" s="1443"/>
      <c r="H171" s="1443"/>
      <c r="I171" s="1443"/>
      <c r="J171" s="1443"/>
      <c r="K171" s="1443"/>
      <c r="L171" s="1443"/>
      <c r="M171" s="1443"/>
      <c r="N171" s="1443"/>
      <c r="O171" s="8"/>
      <c r="P171" s="190"/>
      <c r="S171" s="308"/>
    </row>
    <row r="172" spans="2:19" ht="5.0999999999999996" customHeight="1" x14ac:dyDescent="0.25">
      <c r="B172" s="8"/>
      <c r="C172" s="8"/>
      <c r="D172" s="8"/>
      <c r="E172" s="8"/>
      <c r="F172" s="8"/>
      <c r="G172" s="8"/>
      <c r="H172" s="8"/>
      <c r="I172" s="8"/>
      <c r="J172" s="8"/>
      <c r="K172" s="8"/>
      <c r="L172" s="8"/>
      <c r="M172" s="8"/>
      <c r="N172" s="8"/>
      <c r="O172" s="8"/>
      <c r="P172" s="190"/>
      <c r="S172" s="308"/>
    </row>
    <row r="173" spans="2:19" x14ac:dyDescent="0.25">
      <c r="B173" s="8"/>
      <c r="C173" s="15"/>
      <c r="D173" s="15" t="s">
        <v>339</v>
      </c>
      <c r="E173" s="1447" t="str">
        <f>Translations!$B$574</f>
        <v>Sub-total: remaining total measurable heat, potentially belonging to heat benchmark sub-installations (=e-g-h-i):</v>
      </c>
      <c r="F173" s="1443"/>
      <c r="G173" s="1443"/>
      <c r="H173" s="1443"/>
      <c r="I173" s="1443"/>
      <c r="J173" s="1443"/>
      <c r="K173" s="1443"/>
      <c r="L173" s="1443"/>
      <c r="M173" s="1443"/>
      <c r="N173" s="1443"/>
      <c r="O173" s="8"/>
      <c r="P173" s="190"/>
      <c r="S173" s="308"/>
    </row>
    <row r="174" spans="2:19" ht="5.0999999999999996" customHeight="1" x14ac:dyDescent="0.25">
      <c r="B174" s="8"/>
      <c r="C174" s="8"/>
      <c r="D174" s="8"/>
      <c r="E174" s="8"/>
      <c r="F174" s="8"/>
      <c r="G174" s="8"/>
      <c r="H174" s="8"/>
      <c r="I174" s="8"/>
      <c r="J174" s="8"/>
      <c r="K174" s="8"/>
      <c r="L174" s="8"/>
      <c r="M174" s="8"/>
      <c r="N174" s="8"/>
      <c r="O174" s="8"/>
      <c r="P174" s="190"/>
      <c r="S174" s="308"/>
    </row>
    <row r="175" spans="2:19" x14ac:dyDescent="0.25">
      <c r="B175" s="17"/>
      <c r="C175" s="17"/>
      <c r="D175" s="17"/>
      <c r="E175" s="22"/>
      <c r="F175" s="78"/>
      <c r="G175" s="78"/>
      <c r="H175" s="23" t="str">
        <f>EUconst_Unit</f>
        <v>Unit</v>
      </c>
      <c r="I175" s="128">
        <f>I$380</f>
        <v>2019</v>
      </c>
      <c r="J175" s="128">
        <f>J$380</f>
        <v>2020</v>
      </c>
      <c r="K175" s="128">
        <f>K$380</f>
        <v>2021</v>
      </c>
      <c r="L175" s="128">
        <f>L$380</f>
        <v>2022</v>
      </c>
      <c r="M175" s="128">
        <f>M$380</f>
        <v>2023</v>
      </c>
      <c r="N175" s="8"/>
      <c r="O175" s="8"/>
      <c r="S175" s="308"/>
    </row>
    <row r="176" spans="2:19" x14ac:dyDescent="0.25">
      <c r="B176" s="17"/>
      <c r="C176" s="113"/>
      <c r="D176" s="113" t="s">
        <v>206</v>
      </c>
      <c r="E176" s="1449" t="str">
        <f>Translations!$B$575</f>
        <v>Sub-total:</v>
      </c>
      <c r="F176" s="1454"/>
      <c r="G176" s="1454"/>
      <c r="H176" s="217" t="str">
        <f>EUconst_TJpa</f>
        <v>TJ / year</v>
      </c>
      <c r="I176" s="818" t="str">
        <f>IF(COUNT(I110,I127,I145,I169)&gt;0,SUM(I110)-SUM(I127)-SUM(I145)-SUM(I169),"")</f>
        <v/>
      </c>
      <c r="J176" s="818" t="str">
        <f>IF(COUNT(J110,J127,J145,J169)&gt;0,SUM(J110)-SUM(J127)-SUM(J145)-SUM(J169),"")</f>
        <v/>
      </c>
      <c r="K176" s="818" t="str">
        <f>IF(COUNT(K110,K127,K145,K169)&gt;0,SUM(K110)-SUM(K127)-SUM(K145)-SUM(K169),"")</f>
        <v/>
      </c>
      <c r="L176" s="818" t="str">
        <f>IF(COUNT(L110,L127,L145,L169)&gt;0,SUM(L110)-SUM(L127)-SUM(L145)-SUM(L169),"")</f>
        <v/>
      </c>
      <c r="M176" s="818" t="str">
        <f>IF(COUNT(M110,M127,M145,M169)&gt;0,SUM(M110)-SUM(M127)-SUM(M145)-SUM(M169),"")</f>
        <v/>
      </c>
      <c r="N176" s="8"/>
      <c r="O176" s="8"/>
      <c r="S176" s="308"/>
    </row>
    <row r="177" spans="2:19" ht="5.0999999999999996" customHeight="1" x14ac:dyDescent="0.25">
      <c r="B177" s="8"/>
      <c r="C177" s="8"/>
      <c r="D177" s="8"/>
      <c r="E177" s="8"/>
      <c r="F177" s="8"/>
      <c r="G177" s="8"/>
      <c r="H177" s="8"/>
      <c r="I177" s="8"/>
      <c r="J177" s="8"/>
      <c r="K177" s="8"/>
      <c r="L177" s="8"/>
      <c r="M177" s="8"/>
      <c r="N177" s="8"/>
      <c r="O177" s="8"/>
      <c r="P177" s="190"/>
      <c r="S177" s="308"/>
    </row>
    <row r="178" spans="2:19" x14ac:dyDescent="0.25">
      <c r="B178" s="8"/>
      <c r="C178" s="17"/>
      <c r="D178" s="17"/>
      <c r="E178" s="1442" t="str">
        <f>Translations!$B$576</f>
        <v>This amount can be split into "eligible" and "non-eligible" heat (according to their origin, see introduction to this section above).</v>
      </c>
      <c r="F178" s="1443"/>
      <c r="G178" s="1443"/>
      <c r="H178" s="1443"/>
      <c r="I178" s="1443"/>
      <c r="J178" s="1443"/>
      <c r="K178" s="1443"/>
      <c r="L178" s="1443"/>
      <c r="M178" s="1443"/>
      <c r="N178" s="1443"/>
      <c r="O178" s="8"/>
      <c r="P178" s="190"/>
      <c r="S178" s="308"/>
    </row>
    <row r="179" spans="2:19" x14ac:dyDescent="0.25">
      <c r="B179" s="8"/>
      <c r="C179" s="17"/>
      <c r="D179" s="17"/>
      <c r="E179" s="1450" t="str">
        <f>Translations!$B$577</f>
        <v>Thereafter the factor determined under (e) is corrected taking into account the remainder of eligible and non-eligible heat. This factor is used for point (m).</v>
      </c>
      <c r="F179" s="1451"/>
      <c r="G179" s="1451"/>
      <c r="H179" s="1451"/>
      <c r="I179" s="1451"/>
      <c r="J179" s="1451"/>
      <c r="K179" s="1451"/>
      <c r="L179" s="1451"/>
      <c r="M179" s="1451"/>
      <c r="N179" s="1443"/>
      <c r="O179" s="8"/>
      <c r="P179" s="190"/>
      <c r="S179" s="308"/>
    </row>
    <row r="180" spans="2:19" x14ac:dyDescent="0.25">
      <c r="B180" s="17"/>
      <c r="C180" s="113"/>
      <c r="D180" s="113" t="s">
        <v>208</v>
      </c>
      <c r="E180" s="1458" t="str">
        <f>Translations!$B$578</f>
        <v>eligible by origin:</v>
      </c>
      <c r="F180" s="1487"/>
      <c r="G180" s="1487"/>
      <c r="H180" s="222" t="str">
        <f>EUconst_TJpa</f>
        <v>TJ / year</v>
      </c>
      <c r="I180" s="840" t="str">
        <f t="shared" ref="I180:M181" si="8">IF(ISNUMBER(I$176),I420,"")</f>
        <v/>
      </c>
      <c r="J180" s="840" t="str">
        <f t="shared" si="8"/>
        <v/>
      </c>
      <c r="K180" s="840" t="str">
        <f t="shared" si="8"/>
        <v/>
      </c>
      <c r="L180" s="840" t="str">
        <f t="shared" si="8"/>
        <v/>
      </c>
      <c r="M180" s="840" t="str">
        <f t="shared" si="8"/>
        <v/>
      </c>
      <c r="N180" s="8"/>
      <c r="O180" s="8"/>
      <c r="S180" s="308"/>
    </row>
    <row r="181" spans="2:19" x14ac:dyDescent="0.25">
      <c r="B181" s="17"/>
      <c r="C181" s="113"/>
      <c r="D181" s="113" t="s">
        <v>209</v>
      </c>
      <c r="E181" s="1440" t="str">
        <f>Translations!$B$579</f>
        <v>non-eligible by origin:</v>
      </c>
      <c r="F181" s="1441"/>
      <c r="G181" s="1441"/>
      <c r="H181" s="227" t="str">
        <f>EUconst_TJpa</f>
        <v>TJ / year</v>
      </c>
      <c r="I181" s="841" t="str">
        <f t="shared" si="8"/>
        <v/>
      </c>
      <c r="J181" s="841" t="str">
        <f t="shared" si="8"/>
        <v/>
      </c>
      <c r="K181" s="841" t="str">
        <f t="shared" si="8"/>
        <v/>
      </c>
      <c r="L181" s="841" t="str">
        <f t="shared" si="8"/>
        <v/>
      </c>
      <c r="M181" s="841" t="str">
        <f t="shared" si="8"/>
        <v/>
      </c>
      <c r="N181" s="8"/>
      <c r="O181" s="8"/>
      <c r="S181" s="308"/>
    </row>
    <row r="182" spans="2:19" x14ac:dyDescent="0.25">
      <c r="B182" s="17"/>
      <c r="C182" s="17"/>
      <c r="D182" s="17"/>
      <c r="E182" s="17"/>
      <c r="F182" s="17"/>
      <c r="G182" s="17"/>
      <c r="H182" s="17"/>
      <c r="I182" s="17"/>
      <c r="J182" s="17"/>
      <c r="K182" s="17"/>
      <c r="L182" s="17"/>
      <c r="M182" s="17"/>
      <c r="N182" s="17"/>
      <c r="O182" s="8"/>
      <c r="S182" s="308"/>
    </row>
    <row r="183" spans="2:19" x14ac:dyDescent="0.25">
      <c r="B183" s="8"/>
      <c r="C183" s="15"/>
      <c r="D183" s="15" t="s">
        <v>357</v>
      </c>
      <c r="E183" s="1447" t="str">
        <f>Translations!$B$580</f>
        <v>Eligibility ratio for the remaining heat calculated under (j):</v>
      </c>
      <c r="F183" s="1443"/>
      <c r="G183" s="1443"/>
      <c r="H183" s="1443"/>
      <c r="I183" s="1443"/>
      <c r="J183" s="1443"/>
      <c r="K183" s="1443"/>
      <c r="L183" s="1443"/>
      <c r="M183" s="1443"/>
      <c r="N183" s="1443"/>
      <c r="O183" s="8"/>
      <c r="P183" s="190"/>
      <c r="S183" s="308"/>
    </row>
    <row r="184" spans="2:19" x14ac:dyDescent="0.25">
      <c r="B184" s="17"/>
      <c r="C184" s="113"/>
      <c r="D184" s="113"/>
      <c r="E184" s="1485" t="str">
        <f>Translations!$B$581</f>
        <v>corrected eligibility ratio (=(j).ii / (j).i):</v>
      </c>
      <c r="F184" s="1485"/>
      <c r="G184" s="1485"/>
      <c r="H184" s="236" t="s">
        <v>354</v>
      </c>
      <c r="I184" s="110" t="str">
        <f>IF(AND(ISNUMBER(I176),SUM(I180:I181)&lt;&gt;0),I180/SUM(I180:I181)*100,"")</f>
        <v/>
      </c>
      <c r="J184" s="110" t="str">
        <f>IF(AND(ISNUMBER(J176),SUM(J180:J181)&lt;&gt;0),J180/SUM(J180:J181)*100,"")</f>
        <v/>
      </c>
      <c r="K184" s="110" t="str">
        <f>IF(AND(ISNUMBER(K176),SUM(K180:K181)&lt;&gt;0),K180/SUM(K180:K181)*100,"")</f>
        <v/>
      </c>
      <c r="L184" s="110" t="str">
        <f>IF(AND(ISNUMBER(L176),SUM(L180:L181)&lt;&gt;0),L180/SUM(L180:L181)*100,"")</f>
        <v/>
      </c>
      <c r="M184" s="110" t="str">
        <f>IF(AND(ISNUMBER(M176),SUM(M180:M181)&lt;&gt;0),M180/SUM(M180:M181)*100,"")</f>
        <v/>
      </c>
      <c r="N184" s="8"/>
      <c r="O184" s="8"/>
      <c r="S184" s="308"/>
    </row>
    <row r="185" spans="2:19" ht="5.0999999999999996" customHeight="1" x14ac:dyDescent="0.25">
      <c r="B185" s="8"/>
      <c r="C185" s="8"/>
      <c r="D185" s="8"/>
      <c r="E185" s="8"/>
      <c r="F185" s="8"/>
      <c r="G185" s="8"/>
      <c r="H185" s="8"/>
      <c r="I185" s="8"/>
      <c r="J185" s="8"/>
      <c r="K185" s="8"/>
      <c r="L185" s="8"/>
      <c r="M185" s="8"/>
      <c r="N185" s="8"/>
      <c r="O185" s="8"/>
      <c r="P185" s="190"/>
      <c r="S185" s="308"/>
    </row>
    <row r="186" spans="2:19" x14ac:dyDescent="0.25">
      <c r="B186" s="8"/>
      <c r="C186" s="15"/>
      <c r="D186" s="15" t="s">
        <v>358</v>
      </c>
      <c r="E186" s="1447" t="str">
        <f>Translations!$B$582</f>
        <v>Net amount measurable heat consumed in the installation and eligible under heat benchmark:</v>
      </c>
      <c r="F186" s="1443"/>
      <c r="G186" s="1443"/>
      <c r="H186" s="1443"/>
      <c r="I186" s="1443"/>
      <c r="J186" s="1443"/>
      <c r="K186" s="1443"/>
      <c r="L186" s="1443"/>
      <c r="M186" s="1443"/>
      <c r="N186" s="1443"/>
      <c r="O186" s="8"/>
      <c r="P186" s="190"/>
      <c r="S186" s="308"/>
    </row>
    <row r="187" spans="2:19" x14ac:dyDescent="0.25">
      <c r="B187" s="8"/>
      <c r="C187" s="17"/>
      <c r="D187" s="17"/>
      <c r="E187" s="1450" t="str">
        <f>Translations!$B$583</f>
        <v>This is consumption within the installation excluding for purposes listed in points (g) and (h).</v>
      </c>
      <c r="F187" s="1451"/>
      <c r="G187" s="1451"/>
      <c r="H187" s="1451"/>
      <c r="I187" s="1451"/>
      <c r="J187" s="1451"/>
      <c r="K187" s="1451"/>
      <c r="L187" s="1451"/>
      <c r="M187" s="1451"/>
      <c r="N187" s="1443"/>
      <c r="O187" s="8"/>
      <c r="P187" s="190"/>
      <c r="S187" s="308"/>
    </row>
    <row r="188" spans="2:19" x14ac:dyDescent="0.25">
      <c r="B188" s="17"/>
      <c r="C188" s="17"/>
      <c r="D188" s="17"/>
      <c r="E188" s="1449" t="str">
        <f>Translations!$B$584</f>
        <v>Heat consumed within the installation</v>
      </c>
      <c r="F188" s="1454"/>
      <c r="G188" s="1454"/>
      <c r="H188" s="217" t="str">
        <f>EUconst_TJpa</f>
        <v>TJ / year</v>
      </c>
      <c r="I188" s="293"/>
      <c r="J188" s="293"/>
      <c r="K188" s="293"/>
      <c r="L188" s="293"/>
      <c r="M188" s="293"/>
      <c r="N188" s="8"/>
      <c r="O188" s="8"/>
      <c r="S188" s="636" t="b">
        <f>S168</f>
        <v>0</v>
      </c>
    </row>
    <row r="189" spans="2:19" ht="5.0999999999999996" customHeight="1" x14ac:dyDescent="0.25">
      <c r="B189" s="8"/>
      <c r="C189" s="8"/>
      <c r="D189" s="8"/>
      <c r="E189" s="8"/>
      <c r="F189" s="8"/>
      <c r="G189" s="8"/>
      <c r="H189" s="8"/>
      <c r="I189" s="8"/>
      <c r="J189" s="8"/>
      <c r="K189" s="8"/>
      <c r="L189" s="8"/>
      <c r="M189" s="8"/>
      <c r="N189" s="8"/>
      <c r="O189" s="8"/>
      <c r="P189" s="190"/>
      <c r="S189" s="308"/>
    </row>
    <row r="190" spans="2:19" x14ac:dyDescent="0.25">
      <c r="B190" s="17"/>
      <c r="C190" s="15"/>
      <c r="D190" s="15" t="s">
        <v>359</v>
      </c>
      <c r="E190" s="1447" t="s">
        <v>360</v>
      </c>
      <c r="F190" s="1443"/>
      <c r="G190" s="1443"/>
      <c r="H190" s="1443"/>
      <c r="I190" s="1443"/>
      <c r="J190" s="1443"/>
      <c r="K190" s="1443"/>
      <c r="L190" s="1443"/>
      <c r="M190" s="1443"/>
      <c r="N190" s="1443"/>
      <c r="O190" s="8"/>
      <c r="S190" s="308"/>
    </row>
    <row r="191" spans="2:19" x14ac:dyDescent="0.25">
      <c r="B191" s="8"/>
      <c r="C191" s="17"/>
      <c r="D191" s="17"/>
      <c r="E191" s="1442" t="str">
        <f>Translations!$B$534</f>
        <v>Installation names in the drop down list are taken from Section A.IV. Therefore you must ensure that you have entered complete data there.</v>
      </c>
      <c r="F191" s="1443"/>
      <c r="G191" s="1443"/>
      <c r="H191" s="1443"/>
      <c r="I191" s="1443"/>
      <c r="J191" s="1443"/>
      <c r="K191" s="1443"/>
      <c r="L191" s="1443"/>
      <c r="M191" s="1443"/>
      <c r="N191" s="1443"/>
      <c r="O191" s="8"/>
      <c r="P191" s="190"/>
      <c r="S191" s="308"/>
    </row>
    <row r="192" spans="2:19" ht="5.0999999999999996" customHeight="1" x14ac:dyDescent="0.25">
      <c r="B192" s="8"/>
      <c r="C192" s="8"/>
      <c r="D192" s="8"/>
      <c r="E192" s="8"/>
      <c r="F192" s="8"/>
      <c r="G192" s="8"/>
      <c r="H192" s="8"/>
      <c r="I192" s="8"/>
      <c r="J192" s="8"/>
      <c r="K192" s="8"/>
      <c r="L192" s="8"/>
      <c r="M192" s="8"/>
      <c r="N192" s="8"/>
      <c r="O192" s="8"/>
      <c r="P192" s="190"/>
      <c r="S192" s="308"/>
    </row>
    <row r="193" spans="2:19" x14ac:dyDescent="0.25">
      <c r="B193" s="17"/>
      <c r="C193" s="17"/>
      <c r="D193" s="17"/>
      <c r="E193" s="1452" t="str">
        <f>Translations!$B$586</f>
        <v>Name of receiving entity or installation</v>
      </c>
      <c r="F193" s="1451"/>
      <c r="G193" s="1451"/>
      <c r="H193" s="23" t="str">
        <f>EUconst_Unit</f>
        <v>Unit</v>
      </c>
      <c r="I193" s="149">
        <f>I$380</f>
        <v>2019</v>
      </c>
      <c r="J193" s="149">
        <f>J$380</f>
        <v>2020</v>
      </c>
      <c r="K193" s="149">
        <f>K$380</f>
        <v>2021</v>
      </c>
      <c r="L193" s="149">
        <f>L$380</f>
        <v>2022</v>
      </c>
      <c r="M193" s="149">
        <f>M$380</f>
        <v>2023</v>
      </c>
      <c r="N193" s="8"/>
      <c r="O193" s="8"/>
      <c r="S193" s="308"/>
    </row>
    <row r="194" spans="2:19" x14ac:dyDescent="0.25">
      <c r="B194" s="17"/>
      <c r="C194" s="113"/>
      <c r="D194" s="113" t="s">
        <v>206</v>
      </c>
      <c r="E194" s="1324"/>
      <c r="F194" s="1324"/>
      <c r="G194" s="1324"/>
      <c r="H194" s="225" t="str">
        <f t="shared" ref="H194:H199" si="9">EUconst_TJpa</f>
        <v>TJ / year</v>
      </c>
      <c r="I194" s="839"/>
      <c r="J194" s="839"/>
      <c r="K194" s="839"/>
      <c r="L194" s="839"/>
      <c r="M194" s="839"/>
      <c r="N194" s="8"/>
      <c r="O194" s="8"/>
      <c r="S194" s="636" t="b">
        <f>S188</f>
        <v>0</v>
      </c>
    </row>
    <row r="195" spans="2:19" x14ac:dyDescent="0.25">
      <c r="B195" s="17"/>
      <c r="C195" s="113"/>
      <c r="D195" s="113" t="s">
        <v>208</v>
      </c>
      <c r="E195" s="1325"/>
      <c r="F195" s="1325"/>
      <c r="G195" s="1325"/>
      <c r="H195" s="225" t="str">
        <f t="shared" si="9"/>
        <v>TJ / year</v>
      </c>
      <c r="I195" s="296"/>
      <c r="J195" s="296"/>
      <c r="K195" s="296"/>
      <c r="L195" s="296"/>
      <c r="M195" s="296"/>
      <c r="N195" s="8"/>
      <c r="O195" s="8"/>
      <c r="S195" s="636" t="b">
        <f>S194</f>
        <v>0</v>
      </c>
    </row>
    <row r="196" spans="2:19" x14ac:dyDescent="0.25">
      <c r="B196" s="17"/>
      <c r="C196" s="113"/>
      <c r="D196" s="113" t="s">
        <v>209</v>
      </c>
      <c r="E196" s="1325"/>
      <c r="F196" s="1325"/>
      <c r="G196" s="1325"/>
      <c r="H196" s="225" t="str">
        <f t="shared" si="9"/>
        <v>TJ / year</v>
      </c>
      <c r="I196" s="296"/>
      <c r="J196" s="296"/>
      <c r="K196" s="296"/>
      <c r="L196" s="296"/>
      <c r="M196" s="296"/>
      <c r="N196" s="8"/>
      <c r="O196" s="8"/>
      <c r="S196" s="636" t="b">
        <f>S195</f>
        <v>0</v>
      </c>
    </row>
    <row r="197" spans="2:19" x14ac:dyDescent="0.25">
      <c r="B197" s="17"/>
      <c r="C197" s="113"/>
      <c r="D197" s="113" t="s">
        <v>210</v>
      </c>
      <c r="E197" s="1325"/>
      <c r="F197" s="1325"/>
      <c r="G197" s="1325"/>
      <c r="H197" s="225" t="str">
        <f t="shared" si="9"/>
        <v>TJ / year</v>
      </c>
      <c r="I197" s="296"/>
      <c r="J197" s="296"/>
      <c r="K197" s="296"/>
      <c r="L197" s="296"/>
      <c r="M197" s="296"/>
      <c r="N197" s="8"/>
      <c r="O197" s="8"/>
      <c r="S197" s="636" t="b">
        <f>S196</f>
        <v>0</v>
      </c>
    </row>
    <row r="198" spans="2:19" x14ac:dyDescent="0.25">
      <c r="B198" s="17"/>
      <c r="C198" s="113"/>
      <c r="D198" s="113" t="s">
        <v>220</v>
      </c>
      <c r="E198" s="1320"/>
      <c r="F198" s="1320"/>
      <c r="G198" s="1320"/>
      <c r="H198" s="227" t="str">
        <f t="shared" si="9"/>
        <v>TJ / year</v>
      </c>
      <c r="I198" s="826"/>
      <c r="J198" s="826"/>
      <c r="K198" s="826"/>
      <c r="L198" s="826"/>
      <c r="M198" s="826"/>
      <c r="N198" s="8"/>
      <c r="O198" s="8"/>
      <c r="S198" s="636" t="b">
        <f>S197</f>
        <v>0</v>
      </c>
    </row>
    <row r="199" spans="2:19" x14ac:dyDescent="0.25">
      <c r="B199" s="17"/>
      <c r="C199" s="113"/>
      <c r="D199" s="113" t="s">
        <v>221</v>
      </c>
      <c r="E199" s="1449" t="str">
        <f>Translations!$B$587</f>
        <v>Total heat exported to outside ETS:</v>
      </c>
      <c r="F199" s="1449"/>
      <c r="G199" s="1449"/>
      <c r="H199" s="41" t="str">
        <f t="shared" si="9"/>
        <v>TJ / year</v>
      </c>
      <c r="I199" s="304" t="str">
        <f>IF(COUNT(I194:I198)&gt;0,SUM(I194:I198),"")</f>
        <v/>
      </c>
      <c r="J199" s="304" t="str">
        <f>IF(COUNT(J194:J198)&gt;0,SUM(J194:J198),"")</f>
        <v/>
      </c>
      <c r="K199" s="304" t="str">
        <f>IF(COUNT(K194:K198)&gt;0,SUM(K194:K198),"")</f>
        <v/>
      </c>
      <c r="L199" s="304" t="str">
        <f>IF(COUNT(L194:L198)&gt;0,SUM(L194:L198),"")</f>
        <v/>
      </c>
      <c r="M199" s="304" t="str">
        <f>IF(COUNT(M194:M198)&gt;0,SUM(M194:M198),"")</f>
        <v/>
      </c>
      <c r="N199" s="8"/>
      <c r="O199" s="8"/>
      <c r="S199" s="308"/>
    </row>
    <row r="200" spans="2:19" ht="5.0999999999999996" customHeight="1" x14ac:dyDescent="0.25">
      <c r="B200" s="8"/>
      <c r="C200" s="8"/>
      <c r="D200" s="8"/>
      <c r="E200" s="8"/>
      <c r="F200" s="8"/>
      <c r="G200" s="8"/>
      <c r="H200" s="8"/>
      <c r="I200" s="8"/>
      <c r="J200" s="8"/>
      <c r="K200" s="8"/>
      <c r="L200" s="8"/>
      <c r="M200" s="8"/>
      <c r="N200" s="8"/>
      <c r="O200" s="8"/>
      <c r="P200" s="190"/>
      <c r="S200" s="308"/>
    </row>
    <row r="201" spans="2:19" x14ac:dyDescent="0.25">
      <c r="B201" s="17"/>
      <c r="C201" s="15"/>
      <c r="D201" s="15" t="s">
        <v>361</v>
      </c>
      <c r="E201" s="1447" t="str">
        <f>Translations!$B$588</f>
        <v>Heat losses (=j-l-m)</v>
      </c>
      <c r="F201" s="1443"/>
      <c r="G201" s="1443"/>
      <c r="H201" s="1443"/>
      <c r="I201" s="1443"/>
      <c r="J201" s="1443"/>
      <c r="K201" s="1443"/>
      <c r="L201" s="1443"/>
      <c r="M201" s="1443"/>
      <c r="N201" s="1443"/>
      <c r="O201" s="8"/>
      <c r="S201" s="308"/>
    </row>
    <row r="202" spans="2:19" x14ac:dyDescent="0.25">
      <c r="B202" s="8"/>
      <c r="C202" s="17"/>
      <c r="D202" s="17"/>
      <c r="E202" s="1442" t="str">
        <f>Translations!$B$589</f>
        <v>This table shows calculated heat losses (i.e. the amount of heat not covered by points g,h,k,l and m) for reasons of completeness of the heat balance.</v>
      </c>
      <c r="F202" s="1443"/>
      <c r="G202" s="1443"/>
      <c r="H202" s="1443"/>
      <c r="I202" s="1443"/>
      <c r="J202" s="1443"/>
      <c r="K202" s="1443"/>
      <c r="L202" s="1443"/>
      <c r="M202" s="1443"/>
      <c r="N202" s="1443"/>
      <c r="O202" s="8"/>
      <c r="P202" s="190"/>
      <c r="S202" s="308"/>
    </row>
    <row r="203" spans="2:19" x14ac:dyDescent="0.25">
      <c r="B203" s="8"/>
      <c r="C203" s="17"/>
      <c r="D203" s="17"/>
      <c r="E203" s="1442" t="str">
        <f>Translations!$B$590</f>
        <v>If negative values are displayed this means that the heat consumption levels entered above exceed the amount of heat available from production and imports.</v>
      </c>
      <c r="F203" s="1443"/>
      <c r="G203" s="1443"/>
      <c r="H203" s="1443"/>
      <c r="I203" s="1443"/>
      <c r="J203" s="1443"/>
      <c r="K203" s="1443"/>
      <c r="L203" s="1443"/>
      <c r="M203" s="1443"/>
      <c r="N203" s="1443"/>
      <c r="O203" s="8"/>
      <c r="P203" s="190"/>
      <c r="S203" s="308"/>
    </row>
    <row r="204" spans="2:19" x14ac:dyDescent="0.25">
      <c r="B204" s="17"/>
      <c r="C204" s="17"/>
      <c r="D204" s="17"/>
      <c r="E204" s="22"/>
      <c r="F204" s="78"/>
      <c r="G204" s="78"/>
      <c r="H204" s="23" t="str">
        <f>EUconst_Unit</f>
        <v>Unit</v>
      </c>
      <c r="I204" s="128">
        <f>I$380</f>
        <v>2019</v>
      </c>
      <c r="J204" s="128">
        <f>J$380</f>
        <v>2020</v>
      </c>
      <c r="K204" s="128">
        <f>K$380</f>
        <v>2021</v>
      </c>
      <c r="L204" s="128">
        <f>L$380</f>
        <v>2022</v>
      </c>
      <c r="M204" s="128">
        <f>M$380</f>
        <v>2023</v>
      </c>
      <c r="N204" s="8"/>
      <c r="O204" s="8"/>
      <c r="S204" s="308"/>
    </row>
    <row r="205" spans="2:19" x14ac:dyDescent="0.25">
      <c r="B205" s="17"/>
      <c r="C205" s="17"/>
      <c r="D205" s="113" t="s">
        <v>206</v>
      </c>
      <c r="E205" s="1449" t="str">
        <f>Translations!$B$591</f>
        <v>Heat losses (calculated)</v>
      </c>
      <c r="F205" s="1454"/>
      <c r="G205" s="1454"/>
      <c r="H205" s="217" t="str">
        <f>EUconst_TJpa</f>
        <v>TJ / year</v>
      </c>
      <c r="I205" s="818" t="str">
        <f>IF(COUNT(I176,I188,I199)&gt;0,SUM(I176)-SUM(I188)-SUM(I199),"")</f>
        <v/>
      </c>
      <c r="J205" s="818" t="str">
        <f>IF(COUNT(J176,J188,J199)&gt;0,SUM(J176)-SUM(J188)-SUM(J199),"")</f>
        <v/>
      </c>
      <c r="K205" s="818" t="str">
        <f>IF(COUNT(K176,K188,K199)&gt;0,SUM(K176)-SUM(K188)-SUM(K199),"")</f>
        <v/>
      </c>
      <c r="L205" s="818" t="str">
        <f>IF(COUNT(L176,L188,L199)&gt;0,SUM(L176)-SUM(L188)-SUM(L199),"")</f>
        <v/>
      </c>
      <c r="M205" s="818" t="str">
        <f>IF(COUNT(M176,M188,M199)&gt;0,SUM(M176)-SUM(M188)-SUM(M199),"")</f>
        <v/>
      </c>
      <c r="N205" s="8"/>
      <c r="O205" s="8"/>
      <c r="S205" s="308"/>
    </row>
    <row r="206" spans="2:19" x14ac:dyDescent="0.25">
      <c r="B206" s="17"/>
      <c r="C206" s="17"/>
      <c r="D206" s="113" t="s">
        <v>208</v>
      </c>
      <c r="E206" s="1449" t="str">
        <f>Translations!$B$592</f>
        <v>Heat losses (fraction of heat available = e)</v>
      </c>
      <c r="F206" s="1454"/>
      <c r="G206" s="1454"/>
      <c r="H206" s="217" t="s">
        <v>354</v>
      </c>
      <c r="I206" s="818" t="str">
        <f>IF(AND(ISNUMBER(I205),ISNUMBER(I110),SUM(I110)&lt;&gt;0),I205/I110*100,"")</f>
        <v/>
      </c>
      <c r="J206" s="818" t="str">
        <f>IF(AND(ISNUMBER(J205),ISNUMBER(J110),SUM(J110)&lt;&gt;0),J205/J110*100,"")</f>
        <v/>
      </c>
      <c r="K206" s="818" t="str">
        <f>IF(AND(ISNUMBER(K205),ISNUMBER(K110),SUM(K110)&lt;&gt;0),K205/K110*100,"")</f>
        <v/>
      </c>
      <c r="L206" s="818" t="str">
        <f>IF(AND(ISNUMBER(L205),ISNUMBER(L110),SUM(L110)&lt;&gt;0),L205/L110*100,"")</f>
        <v/>
      </c>
      <c r="M206" s="818" t="str">
        <f>IF(AND(ISNUMBER(M205),ISNUMBER(M110),SUM(M110)&lt;&gt;0),M205/M110*100,"")</f>
        <v/>
      </c>
      <c r="N206" s="8"/>
      <c r="O206" s="8"/>
      <c r="S206" s="308"/>
    </row>
    <row r="207" spans="2:19" x14ac:dyDescent="0.25">
      <c r="B207" s="17"/>
      <c r="C207" s="17"/>
      <c r="D207" s="17"/>
      <c r="E207" s="17"/>
      <c r="F207" s="17"/>
      <c r="G207" s="17"/>
      <c r="H207" s="17"/>
      <c r="I207" s="17"/>
      <c r="J207" s="17"/>
      <c r="K207" s="17"/>
      <c r="L207" s="17"/>
      <c r="M207" s="17"/>
      <c r="N207" s="17"/>
      <c r="O207" s="8"/>
      <c r="S207" s="308"/>
    </row>
    <row r="208" spans="2:19" x14ac:dyDescent="0.25">
      <c r="B208" s="8"/>
      <c r="C208" s="15"/>
      <c r="D208" s="15" t="s">
        <v>362</v>
      </c>
      <c r="E208" s="1452" t="str">
        <f>Translations!$B$593</f>
        <v>Total amount of heat potentially part of the heat benchmark or district heating sub-installations (=l+m):</v>
      </c>
      <c r="F208" s="1451"/>
      <c r="G208" s="1451"/>
      <c r="H208" s="1451"/>
      <c r="I208" s="1451"/>
      <c r="J208" s="1451"/>
      <c r="K208" s="1451"/>
      <c r="L208" s="1451"/>
      <c r="M208" s="1451"/>
      <c r="N208" s="1443"/>
      <c r="O208" s="8"/>
      <c r="P208" s="190"/>
      <c r="S208" s="308"/>
    </row>
    <row r="209" spans="2:19" x14ac:dyDescent="0.25">
      <c r="B209" s="17"/>
      <c r="C209" s="17"/>
      <c r="D209" s="17"/>
      <c r="E209" s="1449" t="str">
        <f>Translations!$B$594</f>
        <v>Total heat benchmark sub-installations:</v>
      </c>
      <c r="F209" s="1454"/>
      <c r="G209" s="1454"/>
      <c r="H209" s="217" t="str">
        <f>EUconst_TJpa</f>
        <v>TJ / year</v>
      </c>
      <c r="I209" s="818" t="str">
        <f>IF(COUNT(I199,I188)&gt;0,SUM(I188,I199),"")</f>
        <v/>
      </c>
      <c r="J209" s="818" t="str">
        <f>IF(COUNT(J199,J188)&gt;0,SUM(J188,J199),"")</f>
        <v/>
      </c>
      <c r="K209" s="818" t="str">
        <f>IF(COUNT(K199,K188)&gt;0,SUM(K188,K199),"")</f>
        <v/>
      </c>
      <c r="L209" s="818" t="str">
        <f>IF(COUNT(L199,L188)&gt;0,SUM(L188,L199),"")</f>
        <v/>
      </c>
      <c r="M209" s="818" t="str">
        <f>IF(COUNT(M199,M188)&gt;0,SUM(M188,M199),"")</f>
        <v/>
      </c>
      <c r="N209" s="8"/>
      <c r="O209" s="8"/>
      <c r="S209" s="308"/>
    </row>
    <row r="210" spans="2:19" ht="5.0999999999999996" customHeight="1" x14ac:dyDescent="0.25">
      <c r="B210" s="8"/>
      <c r="C210" s="8"/>
      <c r="D210" s="8"/>
      <c r="E210" s="8"/>
      <c r="F210" s="8"/>
      <c r="G210" s="8"/>
      <c r="H210" s="8"/>
      <c r="I210" s="8"/>
      <c r="J210" s="8"/>
      <c r="K210" s="8"/>
      <c r="L210" s="8"/>
      <c r="M210" s="8"/>
      <c r="N210" s="8"/>
      <c r="O210" s="8"/>
      <c r="P210" s="190"/>
      <c r="S210" s="308"/>
    </row>
    <row r="211" spans="2:19" x14ac:dyDescent="0.25">
      <c r="B211" s="8"/>
      <c r="C211" s="15"/>
      <c r="D211" s="15" t="s">
        <v>363</v>
      </c>
      <c r="E211" s="1447" t="str">
        <f>Translations!$B$595</f>
        <v>Final result: Amount of heat attributable to heat benchmark or district heating sub-installations</v>
      </c>
      <c r="F211" s="1443"/>
      <c r="G211" s="1443"/>
      <c r="H211" s="1443"/>
      <c r="I211" s="1443"/>
      <c r="J211" s="1443"/>
      <c r="K211" s="1443"/>
      <c r="L211" s="1443"/>
      <c r="M211" s="1443"/>
      <c r="N211" s="1443"/>
      <c r="O211" s="8"/>
      <c r="P211" s="190"/>
      <c r="S211" s="308"/>
    </row>
    <row r="212" spans="2:19" x14ac:dyDescent="0.25">
      <c r="B212" s="8"/>
      <c r="C212" s="17"/>
      <c r="D212" s="17"/>
      <c r="E212" s="1357" t="str">
        <f>Translations!$B$596</f>
        <v>This result is calculated as point (o) multiplied with the corrected eligibility ratio determined under (k).</v>
      </c>
      <c r="F212" s="1443"/>
      <c r="G212" s="1443"/>
      <c r="H212" s="1443"/>
      <c r="I212" s="1443"/>
      <c r="J212" s="1443"/>
      <c r="K212" s="1443"/>
      <c r="L212" s="1443"/>
      <c r="M212" s="1443"/>
      <c r="N212" s="1443"/>
      <c r="O212" s="8"/>
      <c r="P212" s="190"/>
      <c r="S212" s="308"/>
    </row>
    <row r="213" spans="2:19" x14ac:dyDescent="0.25">
      <c r="B213" s="8"/>
      <c r="C213" s="17"/>
      <c r="D213" s="17"/>
      <c r="E213" s="1357" t="str">
        <f>Translations!$B$597</f>
        <v>The maximum allowed value is the eligible amount identified under point (j).ii.</v>
      </c>
      <c r="F213" s="1443"/>
      <c r="G213" s="1443"/>
      <c r="H213" s="1443"/>
      <c r="I213" s="1443"/>
      <c r="J213" s="1443"/>
      <c r="K213" s="1443"/>
      <c r="L213" s="1443"/>
      <c r="M213" s="1443"/>
      <c r="N213" s="1443"/>
      <c r="O213" s="8"/>
      <c r="P213" s="190"/>
      <c r="S213" s="308"/>
    </row>
    <row r="214" spans="2:19" x14ac:dyDescent="0.25">
      <c r="B214" s="17"/>
      <c r="C214" s="17"/>
      <c r="D214" s="17"/>
      <c r="E214" s="22"/>
      <c r="F214" s="78"/>
      <c r="G214" s="78"/>
      <c r="H214" s="23" t="str">
        <f>EUconst_Unit</f>
        <v>Unit</v>
      </c>
      <c r="I214" s="128">
        <f>I$380</f>
        <v>2019</v>
      </c>
      <c r="J214" s="128">
        <f>J$380</f>
        <v>2020</v>
      </c>
      <c r="K214" s="128">
        <f>K$380</f>
        <v>2021</v>
      </c>
      <c r="L214" s="128">
        <f>L$380</f>
        <v>2022</v>
      </c>
      <c r="M214" s="128">
        <f>M$380</f>
        <v>2023</v>
      </c>
      <c r="N214" s="8"/>
      <c r="O214" s="8"/>
      <c r="S214" s="308"/>
    </row>
    <row r="215" spans="2:19" ht="25.5" customHeight="1" x14ac:dyDescent="0.25">
      <c r="B215" s="17"/>
      <c r="C215" s="17"/>
      <c r="D215" s="17"/>
      <c r="E215" s="1412" t="str">
        <f>Translations!$B$598</f>
        <v>Heat eligible for heat benchmark sub-installations</v>
      </c>
      <c r="F215" s="1509"/>
      <c r="G215" s="1509"/>
      <c r="H215" s="30" t="str">
        <f>EUconst_TJpa</f>
        <v>TJ / year</v>
      </c>
      <c r="I215" s="110" t="str">
        <f>IF(ISNUMBER(I209),IF(I180&gt;=I209*SUM(I184)/100,I209*SUM(I184)/100,I180),IF(ISNUMBER(I180),I180,""))</f>
        <v/>
      </c>
      <c r="J215" s="110" t="str">
        <f>IF(ISNUMBER(J209),IF(J180&gt;=J209*SUM(J184)/100,J209*SUM(J184)/100,J180),IF(ISNUMBER(J180),J180,""))</f>
        <v/>
      </c>
      <c r="K215" s="110" t="str">
        <f>IF(ISNUMBER(K209),IF(K180&gt;=K209*SUM(K184)/100,K209*SUM(K184)/100,K180),IF(ISNUMBER(K180),K180,""))</f>
        <v/>
      </c>
      <c r="L215" s="110" t="str">
        <f>IF(ISNUMBER(L209),IF(L180&gt;=L209*SUM(L184)/100,L209*SUM(L184)/100,L180),IF(ISNUMBER(L180),L180,""))</f>
        <v/>
      </c>
      <c r="M215" s="110" t="str">
        <f>IF(ISNUMBER(M209),IF(M180&gt;=M209*SUM(M184)/100,M209*SUM(M184)/100,M180),IF(ISNUMBER(M180),M180,""))</f>
        <v/>
      </c>
      <c r="N215" s="8"/>
      <c r="O215" s="8"/>
      <c r="S215" s="308"/>
    </row>
    <row r="216" spans="2:19" ht="13.8" thickBot="1" x14ac:dyDescent="0.3">
      <c r="B216" s="17"/>
      <c r="C216" s="17"/>
      <c r="D216" s="17"/>
      <c r="E216" s="17"/>
      <c r="F216" s="17"/>
      <c r="G216" s="17"/>
      <c r="H216" s="17"/>
      <c r="I216" s="17"/>
      <c r="J216" s="17"/>
      <c r="K216" s="17"/>
      <c r="L216" s="17"/>
      <c r="M216" s="17"/>
      <c r="N216" s="17"/>
      <c r="O216" s="8"/>
      <c r="S216" s="308"/>
    </row>
    <row r="217" spans="2:19" ht="13.8" thickBot="1" x14ac:dyDescent="0.3">
      <c r="B217" s="8"/>
      <c r="C217" s="15"/>
      <c r="D217" s="15" t="s">
        <v>364</v>
      </c>
      <c r="E217" s="1447" t="str">
        <f>Translations!$B$599</f>
        <v>Sub-installation split - Input method:</v>
      </c>
      <c r="F217" s="1447"/>
      <c r="G217" s="1447"/>
      <c r="H217" s="1508"/>
      <c r="I217" s="1444"/>
      <c r="J217" s="1445"/>
      <c r="K217" s="64" t="str">
        <f>IF(AND(ISBLANK(I217),COUNT(I227:N229)&gt;0),EUconst_Incomplete,"")</f>
        <v/>
      </c>
      <c r="L217" s="8"/>
      <c r="M217" s="8"/>
      <c r="N217" s="8"/>
      <c r="O217" s="8"/>
      <c r="P217" s="251" t="str">
        <f>IF(ISBLANK($I$217),EUconst_NA,MATCH($I$217,EUconst_AbsRel,0))</f>
        <v>N.A.</v>
      </c>
      <c r="S217" s="317" t="b">
        <f>OR(S198,AND(S227:S229))</f>
        <v>0</v>
      </c>
    </row>
    <row r="218" spans="2:19" x14ac:dyDescent="0.25">
      <c r="B218" s="8"/>
      <c r="C218" s="17"/>
      <c r="D218" s="17"/>
      <c r="E218" s="1442" t="str">
        <f>Translations!$B$600</f>
        <v>You can choose the method for entering the values in the table below under point (r). Available options are: "Absolute values" (enter TJ/year), or "percentages".</v>
      </c>
      <c r="F218" s="1443"/>
      <c r="G218" s="1443"/>
      <c r="H218" s="1443"/>
      <c r="I218" s="1443"/>
      <c r="J218" s="1443"/>
      <c r="K218" s="1443"/>
      <c r="L218" s="1443"/>
      <c r="M218" s="1443"/>
      <c r="N218" s="1443"/>
      <c r="O218" s="8"/>
      <c r="P218" s="150" t="s">
        <v>365</v>
      </c>
    </row>
    <row r="219" spans="2:19" x14ac:dyDescent="0.25">
      <c r="B219" s="8"/>
      <c r="C219" s="17"/>
      <c r="D219" s="17"/>
      <c r="E219" s="1442" t="str">
        <f>Translations!$B$494</f>
        <v>For fast data entries in simple cases, where most entries will be "100%" or zero, percentages are the better choice.</v>
      </c>
      <c r="F219" s="1443"/>
      <c r="G219" s="1443"/>
      <c r="H219" s="1443"/>
      <c r="I219" s="1443"/>
      <c r="J219" s="1443"/>
      <c r="K219" s="1443"/>
      <c r="L219" s="1443"/>
      <c r="M219" s="1443"/>
      <c r="N219" s="1443"/>
      <c r="O219" s="8"/>
      <c r="P219" s="190"/>
    </row>
    <row r="220" spans="2:19" ht="5.0999999999999996" customHeight="1" x14ac:dyDescent="0.25">
      <c r="B220" s="8"/>
      <c r="C220" s="8"/>
      <c r="D220" s="8"/>
      <c r="E220" s="8"/>
      <c r="F220" s="8"/>
      <c r="G220" s="8"/>
      <c r="H220" s="8"/>
      <c r="I220" s="8"/>
      <c r="J220" s="8"/>
      <c r="K220" s="8"/>
      <c r="L220" s="8"/>
      <c r="M220" s="8"/>
      <c r="N220" s="8"/>
      <c r="O220" s="8"/>
      <c r="P220" s="190"/>
    </row>
    <row r="221" spans="2:19" x14ac:dyDescent="0.25">
      <c r="B221" s="8"/>
      <c r="C221" s="15"/>
      <c r="D221" s="15" t="s">
        <v>366</v>
      </c>
      <c r="E221" s="1447" t="str">
        <f>Translations!$B$601</f>
        <v>Attribution of heat sub-installations to Carbon Leakage exposure levels:</v>
      </c>
      <c r="F221" s="1443"/>
      <c r="G221" s="1443"/>
      <c r="H221" s="1443"/>
      <c r="I221" s="1443"/>
      <c r="J221" s="1443"/>
      <c r="K221" s="1443"/>
      <c r="L221" s="1443"/>
      <c r="M221" s="1443"/>
      <c r="N221" s="1443"/>
      <c r="O221" s="8"/>
      <c r="P221" s="190"/>
    </row>
    <row r="222" spans="2:19" x14ac:dyDescent="0.25">
      <c r="B222" s="8"/>
      <c r="C222" s="17"/>
      <c r="D222" s="17"/>
      <c r="E222" s="1442" t="str">
        <f>Translations!$B$602</f>
        <v>Please identify here the amount of measurable heat which is consumed by each sub-installation, where 100% refers to the sum calculated under point (p) above.</v>
      </c>
      <c r="F222" s="1443"/>
      <c r="G222" s="1443"/>
      <c r="H222" s="1443"/>
      <c r="I222" s="1443"/>
      <c r="J222" s="1443"/>
      <c r="K222" s="1443"/>
      <c r="L222" s="1443"/>
      <c r="M222" s="1443"/>
      <c r="N222" s="1443"/>
      <c r="O222" s="8"/>
      <c r="P222" s="190"/>
    </row>
    <row r="223" spans="2:19" ht="25.5" customHeight="1" x14ac:dyDescent="0.25">
      <c r="B223" s="8"/>
      <c r="C223" s="17"/>
      <c r="D223" s="17"/>
      <c r="E223" s="1442" t="str">
        <f>Translations!$B$603</f>
        <v>Heat benchmark sub-installation "CL" (exposed to a significant risk of Carbon Leakage), "non-CL" (not exposed to carbon leakage risk; which includes heat exported to non-ETS installations and entities but not for district heating) and district heating sub-installation "non-CL".</v>
      </c>
      <c r="F223" s="1443"/>
      <c r="G223" s="1443"/>
      <c r="H223" s="1443"/>
      <c r="I223" s="1443"/>
      <c r="J223" s="1443"/>
      <c r="K223" s="1443"/>
      <c r="L223" s="1443"/>
      <c r="M223" s="1443"/>
      <c r="N223" s="1443"/>
      <c r="O223" s="8"/>
      <c r="P223" s="190"/>
    </row>
    <row r="224" spans="2:19" ht="12.75" customHeight="1" x14ac:dyDescent="0.25">
      <c r="B224" s="8"/>
      <c r="C224" s="17"/>
      <c r="D224" s="17"/>
      <c r="E224" s="1357" t="str">
        <f>Translations!$B$604</f>
        <v>The data is automatically used again in sheet "G_Fall-back". Therefore data entry is mandatory here, if this tool is used.</v>
      </c>
      <c r="F224" s="1443"/>
      <c r="G224" s="1443"/>
      <c r="H224" s="1443"/>
      <c r="I224" s="1443"/>
      <c r="J224" s="1443"/>
      <c r="K224" s="1443"/>
      <c r="L224" s="1443"/>
      <c r="M224" s="1443"/>
      <c r="N224" s="1443"/>
      <c r="O224" s="8"/>
      <c r="P224" s="190"/>
    </row>
    <row r="225" spans="2:19" ht="5.0999999999999996" customHeight="1" x14ac:dyDescent="0.25">
      <c r="B225" s="8"/>
      <c r="C225" s="8"/>
      <c r="D225" s="8"/>
      <c r="E225" s="8"/>
      <c r="F225" s="8"/>
      <c r="G225" s="8"/>
      <c r="H225" s="8"/>
      <c r="I225" s="8"/>
      <c r="J225" s="8"/>
      <c r="K225" s="8"/>
      <c r="L225" s="8"/>
      <c r="M225" s="8"/>
      <c r="N225" s="8"/>
      <c r="O225" s="8"/>
      <c r="P225" s="190"/>
    </row>
    <row r="226" spans="2:19" ht="13.8" thickBot="1" x14ac:dyDescent="0.3">
      <c r="B226" s="17"/>
      <c r="C226" s="17"/>
      <c r="D226" s="17"/>
      <c r="E226" s="1490" t="str">
        <f>Translations!$B$249</f>
        <v>Measurable heat</v>
      </c>
      <c r="F226" s="1491"/>
      <c r="G226" s="1491"/>
      <c r="H226" s="23" t="str">
        <f>EUconst_Unit</f>
        <v>Unit</v>
      </c>
      <c r="I226" s="128">
        <f>I$380</f>
        <v>2019</v>
      </c>
      <c r="J226" s="128">
        <f>J$380</f>
        <v>2020</v>
      </c>
      <c r="K226" s="128">
        <f>K$380</f>
        <v>2021</v>
      </c>
      <c r="L226" s="128">
        <f>L$380</f>
        <v>2022</v>
      </c>
      <c r="M226" s="128">
        <f>M$380</f>
        <v>2023</v>
      </c>
      <c r="N226" s="8"/>
      <c r="O226" s="8"/>
      <c r="S226" s="150" t="s">
        <v>330</v>
      </c>
    </row>
    <row r="227" spans="2:19" x14ac:dyDescent="0.25">
      <c r="B227" s="17"/>
      <c r="C227" s="113"/>
      <c r="D227" s="113" t="s">
        <v>206</v>
      </c>
      <c r="E227" s="1492" t="str">
        <f>E387</f>
        <v>Heat benchmark sub-installation, CL</v>
      </c>
      <c r="F227" s="1493"/>
      <c r="G227" s="1493"/>
      <c r="H227" s="842" t="str">
        <f>IF(CTRL_InputMethodHeatSubInstSplit=EUconst_NA,EUconst_relOrTJpa,IF(CTRL_InputMethodHeatSubInstSplit=1,EUconst_TJpa,"%"))</f>
        <v>% or TJ / year</v>
      </c>
      <c r="I227" s="843"/>
      <c r="J227" s="843"/>
      <c r="K227" s="843"/>
      <c r="L227" s="843"/>
      <c r="M227" s="844"/>
      <c r="N227" s="8"/>
      <c r="O227" s="8"/>
      <c r="P227" s="626" t="str">
        <f>IF(CTRL_InputMethodHeatSubInstSplit=1,EUconst_CNTR_HAL&amp;E227,"")</f>
        <v/>
      </c>
      <c r="Q227" s="248">
        <v>1</v>
      </c>
      <c r="S227" s="316" t="b">
        <f>IF(ISBLANK(INDEX(CNTR_FallBackSubInstRelevant,Q227)),FALSE,IF(INDEX(CNTR_FallBackSubInstRelevant,Q227),FALSE,TRUE))</f>
        <v>0</v>
      </c>
    </row>
    <row r="228" spans="2:19" x14ac:dyDescent="0.25">
      <c r="B228" s="17"/>
      <c r="C228" s="113"/>
      <c r="D228" s="113" t="s">
        <v>208</v>
      </c>
      <c r="E228" s="1489" t="str">
        <f>E388</f>
        <v>Heat benchmark sub-installation, non-CL</v>
      </c>
      <c r="F228" s="1488"/>
      <c r="G228" s="1488"/>
      <c r="H228" s="845" t="str">
        <f>IF(CTRL_InputMethodHeatSubInstSplit=EUconst_NA,EUconst_relOrTJpa,IF(CTRL_InputMethodHeatSubInstSplit=1,EUconst_TJpa,"%"))</f>
        <v>% or TJ / year</v>
      </c>
      <c r="I228" s="296"/>
      <c r="J228" s="296"/>
      <c r="K228" s="296"/>
      <c r="L228" s="296"/>
      <c r="M228" s="846"/>
      <c r="N228" s="8"/>
      <c r="O228" s="8"/>
      <c r="P228" s="626" t="str">
        <f>IF(CTRL_InputMethodHeatSubInstSplit=1,EUconst_CNTR_HAL&amp;E228,"")</f>
        <v/>
      </c>
      <c r="Q228" s="834">
        <v>2</v>
      </c>
      <c r="S228" s="406" t="b">
        <f>IF(ISBLANK(INDEX(CNTR_FallBackSubInstRelevant,Q228)),FALSE,IF(INDEX(CNTR_FallBackSubInstRelevant,Q228),FALSE,TRUE))</f>
        <v>0</v>
      </c>
    </row>
    <row r="229" spans="2:19" ht="13.8" thickBot="1" x14ac:dyDescent="0.3">
      <c r="B229" s="17"/>
      <c r="C229" s="113"/>
      <c r="D229" s="113" t="s">
        <v>209</v>
      </c>
      <c r="E229" s="1494" t="str">
        <f>E389</f>
        <v>District heating sub-installation</v>
      </c>
      <c r="F229" s="1475"/>
      <c r="G229" s="1475"/>
      <c r="H229" s="847" t="str">
        <f>IF(CTRL_InputMethodHeatSubInstSplit=EUconst_NA,EUconst_relOrTJpa,IF(CTRL_InputMethodHeatSubInstSplit=1,EUconst_TJpa,"%"))</f>
        <v>% or TJ / year</v>
      </c>
      <c r="I229" s="848"/>
      <c r="J229" s="848"/>
      <c r="K229" s="848"/>
      <c r="L229" s="848"/>
      <c r="M229" s="849"/>
      <c r="N229" s="8"/>
      <c r="O229" s="8"/>
      <c r="P229" s="626" t="str">
        <f>IF(CTRL_InputMethodHeatSubInstSplit=1,EUconst_CNTR_HAL&amp;E229,"")</f>
        <v/>
      </c>
      <c r="Q229" s="836">
        <v>3</v>
      </c>
      <c r="S229" s="317" t="b">
        <f>IF(ISBLANK(INDEX(CNTR_FallBackSubInstRelevant,Q229)),FALSE,IF(INDEX(CNTR_FallBackSubInstRelevant,Q229),FALSE,TRUE))</f>
        <v>0</v>
      </c>
    </row>
    <row r="230" spans="2:19" x14ac:dyDescent="0.25">
      <c r="B230" s="17"/>
      <c r="C230" s="113"/>
      <c r="D230" s="113"/>
      <c r="E230" s="1455" t="str">
        <f>Translations!$B$605</f>
        <v>Figures for control:</v>
      </c>
      <c r="F230" s="1456"/>
      <c r="G230" s="1456"/>
      <c r="H230" s="850"/>
      <c r="I230" s="851"/>
      <c r="J230" s="851"/>
      <c r="K230" s="851"/>
      <c r="L230" s="851"/>
      <c r="M230" s="851"/>
      <c r="N230" s="17"/>
      <c r="O230" s="8"/>
      <c r="P230" s="852"/>
    </row>
    <row r="231" spans="2:19" x14ac:dyDescent="0.25">
      <c r="B231" s="17"/>
      <c r="C231" s="113"/>
      <c r="D231" s="113" t="s">
        <v>210</v>
      </c>
      <c r="E231" s="1457" t="str">
        <f>E227</f>
        <v>Heat benchmark sub-installation, CL</v>
      </c>
      <c r="F231" s="1458"/>
      <c r="G231" s="1458"/>
      <c r="H231" s="853" t="str">
        <f>IF(CTRL_InputMethodHeatSubInstSplit=EUconst_NA,EUconst_relOrTJpa,IF(CTRL_InputMethodHeatSubInstSplit=2,EUconst_TJpa,"%"))</f>
        <v>% or TJ / year</v>
      </c>
      <c r="I231" s="840" t="str">
        <f t="shared" ref="I231:M233" si="10">IF(AND(ISNUMBER(I$215),ISNUMBER(I227),CTRL_InputMethodHeatSubInstSplit&lt;&gt;EUconst_NA),IF(CTRL_InputMethodHeatSubInstSplit=1,I227/I$215*100,I227*I$215/100),"")</f>
        <v/>
      </c>
      <c r="J231" s="840" t="str">
        <f t="shared" si="10"/>
        <v/>
      </c>
      <c r="K231" s="840" t="str">
        <f t="shared" si="10"/>
        <v/>
      </c>
      <c r="L231" s="840" t="str">
        <f t="shared" si="10"/>
        <v/>
      </c>
      <c r="M231" s="840" t="str">
        <f t="shared" si="10"/>
        <v/>
      </c>
      <c r="N231" s="8"/>
      <c r="O231" s="8"/>
      <c r="P231" s="626" t="str">
        <f>IF(CTRL_InputMethodHeatSubInstSplit=2,EUconst_CNTR_HAL&amp;E231,"")</f>
        <v/>
      </c>
    </row>
    <row r="232" spans="2:19" x14ac:dyDescent="0.25">
      <c r="B232" s="17"/>
      <c r="C232" s="113"/>
      <c r="D232" s="113" t="s">
        <v>220</v>
      </c>
      <c r="E232" s="1459" t="str">
        <f>E228</f>
        <v>Heat benchmark sub-installation, non-CL</v>
      </c>
      <c r="F232" s="1460"/>
      <c r="G232" s="1460"/>
      <c r="H232" s="854" t="str">
        <f>IF(CTRL_InputMethodHeatSubInstSplit=EUconst_NA,EUconst_relOrTJpa,IF(CTRL_InputMethodHeatSubInstSplit=2,EUconst_TJpa,"%"))</f>
        <v>% or TJ / year</v>
      </c>
      <c r="I232" s="356" t="str">
        <f t="shared" si="10"/>
        <v/>
      </c>
      <c r="J232" s="356" t="str">
        <f t="shared" si="10"/>
        <v/>
      </c>
      <c r="K232" s="356" t="str">
        <f t="shared" si="10"/>
        <v/>
      </c>
      <c r="L232" s="356" t="str">
        <f t="shared" si="10"/>
        <v/>
      </c>
      <c r="M232" s="356" t="str">
        <f t="shared" si="10"/>
        <v/>
      </c>
      <c r="N232" s="8"/>
      <c r="O232" s="8"/>
      <c r="P232" s="626" t="str">
        <f>IF(CTRL_InputMethodHeatSubInstSplit=2,EUconst_CNTR_HAL&amp;E232,"")</f>
        <v/>
      </c>
    </row>
    <row r="233" spans="2:19" x14ac:dyDescent="0.25">
      <c r="B233" s="17"/>
      <c r="C233" s="113"/>
      <c r="D233" s="113" t="s">
        <v>221</v>
      </c>
      <c r="E233" s="1507" t="str">
        <f>E229</f>
        <v>District heating sub-installation</v>
      </c>
      <c r="F233" s="1440"/>
      <c r="G233" s="1440"/>
      <c r="H233" s="855" t="str">
        <f>IF(CTRL_InputMethodHeatSubInstSplit=EUconst_NA,EUconst_relOrTJpa,IF(CTRL_InputMethodHeatSubInstSplit=2,EUconst_TJpa,"%"))</f>
        <v>% or TJ / year</v>
      </c>
      <c r="I233" s="841" t="str">
        <f t="shared" si="10"/>
        <v/>
      </c>
      <c r="J233" s="841" t="str">
        <f t="shared" si="10"/>
        <v/>
      </c>
      <c r="K233" s="841" t="str">
        <f t="shared" si="10"/>
        <v/>
      </c>
      <c r="L233" s="841" t="str">
        <f t="shared" si="10"/>
        <v/>
      </c>
      <c r="M233" s="841" t="str">
        <f t="shared" si="10"/>
        <v/>
      </c>
      <c r="N233" s="8"/>
      <c r="O233" s="8"/>
      <c r="P233" s="626" t="str">
        <f>IF(CTRL_InputMethodHeatSubInstSplit=2,EUconst_CNTR_HAL&amp;E233,"")</f>
        <v/>
      </c>
    </row>
    <row r="234" spans="2:19" x14ac:dyDescent="0.25">
      <c r="B234" s="17"/>
      <c r="C234" s="17"/>
      <c r="D234" s="17"/>
      <c r="E234" s="17"/>
      <c r="F234" s="17"/>
      <c r="G234" s="17"/>
      <c r="H234" s="17"/>
      <c r="I234" s="17"/>
      <c r="J234" s="17"/>
      <c r="K234" s="17"/>
      <c r="L234" s="17"/>
      <c r="M234" s="17"/>
      <c r="N234" s="17"/>
      <c r="O234" s="8"/>
    </row>
    <row r="235" spans="2:19" ht="15.6" x14ac:dyDescent="0.3">
      <c r="B235" s="8"/>
      <c r="C235" s="13" t="s">
        <v>5</v>
      </c>
      <c r="D235" s="1461" t="str">
        <f>Translations!$B$606</f>
        <v>Waste gas balance</v>
      </c>
      <c r="E235" s="1461"/>
      <c r="F235" s="1461"/>
      <c r="G235" s="1461"/>
      <c r="H235" s="1461"/>
      <c r="I235" s="1461"/>
      <c r="J235" s="1461"/>
      <c r="K235" s="1461"/>
      <c r="L235" s="1461"/>
      <c r="M235" s="1461"/>
      <c r="N235" s="1461"/>
      <c r="O235" s="8"/>
      <c r="P235" s="190"/>
    </row>
    <row r="236" spans="2:19" ht="5.0999999999999996" customHeight="1" x14ac:dyDescent="0.25">
      <c r="B236" s="8"/>
      <c r="C236" s="8"/>
      <c r="D236" s="8"/>
      <c r="E236" s="8"/>
      <c r="F236" s="8"/>
      <c r="G236" s="8"/>
      <c r="H236" s="8"/>
      <c r="I236" s="8"/>
      <c r="J236" s="8"/>
      <c r="K236" s="8"/>
      <c r="L236" s="8"/>
      <c r="M236" s="8"/>
      <c r="N236" s="8"/>
      <c r="O236" s="8"/>
      <c r="P236" s="190"/>
    </row>
    <row r="237" spans="2:19" ht="15" customHeight="1" x14ac:dyDescent="0.25">
      <c r="B237" s="8"/>
      <c r="C237" s="19"/>
      <c r="D237" s="1234" t="str">
        <f>Translations!$B$607</f>
        <v>Complete balance of waste gases at the installation</v>
      </c>
      <c r="E237" s="1176"/>
      <c r="F237" s="1176"/>
      <c r="G237" s="1176"/>
      <c r="H237" s="1176"/>
      <c r="I237" s="1176"/>
      <c r="J237" s="1176"/>
      <c r="K237" s="1176"/>
      <c r="L237" s="1176"/>
      <c r="M237" s="1176"/>
      <c r="N237" s="1176"/>
      <c r="O237" s="8"/>
      <c r="P237" s="190"/>
    </row>
    <row r="238" spans="2:19" ht="25.5" customHeight="1" x14ac:dyDescent="0.25">
      <c r="B238" s="8"/>
      <c r="C238" s="8"/>
      <c r="D238" s="1357" t="str">
        <f>Translations!$B$608</f>
        <v>This balance is mainly used for consistency checking between related entries made in the "waste gas tool" in section D.IV and the sub-installation level waste gas balances in sheets F and G.</v>
      </c>
      <c r="E238" s="1443"/>
      <c r="F238" s="1443"/>
      <c r="G238" s="1443"/>
      <c r="H238" s="1443"/>
      <c r="I238" s="1443"/>
      <c r="J238" s="1443"/>
      <c r="K238" s="1443"/>
      <c r="L238" s="1443"/>
      <c r="M238" s="1443"/>
      <c r="N238" s="1443"/>
      <c r="O238" s="8"/>
      <c r="P238" s="190"/>
    </row>
    <row r="239" spans="2:19" ht="12.75" customHeight="1" x14ac:dyDescent="0.25">
      <c r="B239" s="8"/>
      <c r="C239" s="8"/>
      <c r="D239" s="1357" t="str">
        <f>Translations!$B$609</f>
        <v>Where possible sections below are automatically filled with data entered in these sections.</v>
      </c>
      <c r="E239" s="1443"/>
      <c r="F239" s="1443"/>
      <c r="G239" s="1443"/>
      <c r="H239" s="1443"/>
      <c r="I239" s="1443"/>
      <c r="J239" s="1443"/>
      <c r="K239" s="1443"/>
      <c r="L239" s="1443"/>
      <c r="M239" s="1443"/>
      <c r="N239" s="1443"/>
      <c r="O239" s="8"/>
      <c r="P239" s="190"/>
    </row>
    <row r="240" spans="2:19" ht="5.0999999999999996" customHeight="1" x14ac:dyDescent="0.25">
      <c r="B240" s="8"/>
      <c r="C240" s="8"/>
      <c r="D240" s="8"/>
      <c r="E240" s="8"/>
      <c r="F240" s="8"/>
      <c r="G240" s="8"/>
      <c r="H240" s="8"/>
      <c r="I240" s="8"/>
      <c r="J240" s="8"/>
      <c r="K240" s="8"/>
      <c r="L240" s="8"/>
      <c r="M240" s="8"/>
      <c r="N240" s="8"/>
      <c r="O240" s="8"/>
      <c r="P240" s="190"/>
    </row>
    <row r="241" spans="1:19" ht="12.75" customHeight="1" x14ac:dyDescent="0.25">
      <c r="A241" s="145"/>
      <c r="B241" s="8"/>
      <c r="C241" s="8"/>
      <c r="D241" s="287"/>
      <c r="E241" s="1208" t="str">
        <f>Translations!$B$610</f>
        <v>Are any waste gases produced or consumed in, imported to or exported from this installation?</v>
      </c>
      <c r="F241" s="1208"/>
      <c r="G241" s="1208"/>
      <c r="H241" s="1208"/>
      <c r="I241" s="1208"/>
      <c r="J241" s="1208"/>
      <c r="K241" s="1208"/>
      <c r="L241" s="1433"/>
      <c r="M241" s="407"/>
      <c r="N241" s="8"/>
      <c r="O241" s="8"/>
      <c r="P241" s="9"/>
      <c r="Q241" s="145"/>
      <c r="R241" s="145"/>
      <c r="S241" s="145"/>
    </row>
    <row r="242" spans="1:19" ht="12.75" customHeight="1" x14ac:dyDescent="0.25">
      <c r="B242" s="8"/>
      <c r="C242" s="8"/>
      <c r="D242" s="8"/>
      <c r="E242" s="1482" t="str">
        <f>IF(AND(M241&lt;&gt;"",M241=FALSE),HYPERLINK(Q242,EUconst_MsgGoOn),HYPERLINK("",EUconst_MsgEnterThisSection))</f>
        <v>Please enter data in this section!</v>
      </c>
      <c r="F242" s="1483"/>
      <c r="G242" s="1483"/>
      <c r="H242" s="1483"/>
      <c r="I242" s="1483"/>
      <c r="J242" s="1483"/>
      <c r="K242" s="1483"/>
      <c r="L242" s="1483"/>
      <c r="M242" s="1484"/>
      <c r="N242" s="8"/>
      <c r="O242" s="8"/>
      <c r="P242" s="145" t="s">
        <v>334</v>
      </c>
      <c r="Q242" s="372" t="str">
        <f>"#"&amp;ADDRESS(ROW(C341),COLUMN(C341))</f>
        <v>#$C$341</v>
      </c>
    </row>
    <row r="243" spans="1:19" x14ac:dyDescent="0.25">
      <c r="A243" s="145"/>
      <c r="B243" s="17"/>
      <c r="C243" s="17"/>
      <c r="D243" s="17"/>
      <c r="E243" s="1223" t="str">
        <f>Translations!$B$611</f>
        <v>It this question is set to "false", entries here are not relevant and you may proceed with the next point below.</v>
      </c>
      <c r="F243" s="1176"/>
      <c r="G243" s="1176"/>
      <c r="H243" s="1176"/>
      <c r="I243" s="1176"/>
      <c r="J243" s="1176"/>
      <c r="K243" s="1176"/>
      <c r="L243" s="1176"/>
      <c r="M243" s="1176"/>
      <c r="N243" s="1176"/>
      <c r="O243" s="8"/>
    </row>
    <row r="244" spans="1:19" ht="5.0999999999999996" customHeight="1" x14ac:dyDescent="0.25">
      <c r="B244" s="8"/>
      <c r="C244" s="8"/>
      <c r="D244" s="8"/>
      <c r="E244" s="8"/>
      <c r="F244" s="8"/>
      <c r="G244" s="8"/>
      <c r="H244" s="8"/>
      <c r="I244" s="8"/>
      <c r="J244" s="8"/>
      <c r="K244" s="8"/>
      <c r="L244" s="8"/>
      <c r="M244" s="8"/>
      <c r="N244" s="8"/>
      <c r="O244" s="8"/>
      <c r="P244" s="190"/>
    </row>
    <row r="245" spans="1:19" x14ac:dyDescent="0.25">
      <c r="B245" s="8"/>
      <c r="C245" s="15"/>
      <c r="D245" s="15" t="s">
        <v>190</v>
      </c>
      <c r="E245" s="1447" t="str">
        <f>Translations!$B$612</f>
        <v>Waste gases produced within the system boundaries of a product benchmark sub-installation</v>
      </c>
      <c r="F245" s="1443"/>
      <c r="G245" s="1443"/>
      <c r="H245" s="1443"/>
      <c r="I245" s="1443"/>
      <c r="J245" s="1443"/>
      <c r="K245" s="1443"/>
      <c r="L245" s="1443"/>
      <c r="M245" s="1443"/>
      <c r="N245" s="1443"/>
      <c r="O245" s="8"/>
      <c r="P245" s="190"/>
    </row>
    <row r="246" spans="1:19" ht="12.75" customHeight="1" x14ac:dyDescent="0.25">
      <c r="B246" s="8"/>
      <c r="C246" s="17"/>
      <c r="D246" s="17"/>
      <c r="E246" s="1442" t="str">
        <f>Translations!$B$613</f>
        <v>Information is taken from section F.(l).v. If relevant, you must ensure that you have entered complete data there.</v>
      </c>
      <c r="F246" s="1443"/>
      <c r="G246" s="1443"/>
      <c r="H246" s="1443"/>
      <c r="I246" s="1443"/>
      <c r="J246" s="1443"/>
      <c r="K246" s="1443"/>
      <c r="L246" s="1443"/>
      <c r="M246" s="1443"/>
      <c r="N246" s="1443"/>
      <c r="O246" s="8"/>
      <c r="P246" s="190"/>
    </row>
    <row r="247" spans="1:19" x14ac:dyDescent="0.25">
      <c r="B247" s="17"/>
      <c r="C247" s="17"/>
      <c r="D247" s="17"/>
      <c r="E247" s="1452" t="str">
        <f>Translations!$B$614</f>
        <v>Sub-installation</v>
      </c>
      <c r="F247" s="1451"/>
      <c r="G247" s="1451"/>
      <c r="H247" s="23" t="str">
        <f>EUconst_Unit</f>
        <v>Unit</v>
      </c>
      <c r="I247" s="128">
        <f>I$380</f>
        <v>2019</v>
      </c>
      <c r="J247" s="128">
        <f>J$380</f>
        <v>2020</v>
      </c>
      <c r="K247" s="128">
        <f>K$380</f>
        <v>2021</v>
      </c>
      <c r="L247" s="128">
        <f>L$380</f>
        <v>2022</v>
      </c>
      <c r="M247" s="144">
        <f>M$380</f>
        <v>2023</v>
      </c>
      <c r="N247" s="216"/>
      <c r="O247" s="8"/>
    </row>
    <row r="248" spans="1:19" x14ac:dyDescent="0.25">
      <c r="B248" s="17"/>
      <c r="C248" s="17"/>
      <c r="D248" s="113" t="s">
        <v>206</v>
      </c>
      <c r="E248" s="1506" t="str">
        <f t="shared" ref="E248:E257" si="11">E135</f>
        <v/>
      </c>
      <c r="F248" s="1506"/>
      <c r="G248" s="1506"/>
      <c r="H248" s="856" t="str">
        <f t="shared" ref="H248:H258" si="12">EUconst_TJpa</f>
        <v>TJ / year</v>
      </c>
      <c r="I248" s="857" t="str">
        <f>IF(SUMIF(F_ProductBM!$P:$P,$P248,F_ProductBM!I:I)&gt;0,SUMIF(F_ProductBM!$P:$P,$P248,F_ProductBM!I:I),"")</f>
        <v/>
      </c>
      <c r="J248" s="857" t="str">
        <f>IF(SUMIF(F_ProductBM!$P:$P,$P248,F_ProductBM!J:J)&gt;0,SUMIF(F_ProductBM!$P:$P,$P248,F_ProductBM!J:J),"")</f>
        <v/>
      </c>
      <c r="K248" s="857" t="str">
        <f>IF(SUMIF(F_ProductBM!$P:$P,$P248,F_ProductBM!K:K)&gt;0,SUMIF(F_ProductBM!$P:$P,$P248,F_ProductBM!K:K),"")</f>
        <v/>
      </c>
      <c r="L248" s="857" t="str">
        <f>IF(SUMIF(F_ProductBM!$P:$P,$P248,F_ProductBM!L:L)&gt;0,SUMIF(F_ProductBM!$P:$P,$P248,F_ProductBM!L:L),"")</f>
        <v/>
      </c>
      <c r="M248" s="857" t="str">
        <f>IF(SUMIF(F_ProductBM!$P:$P,$P248,F_ProductBM!M:M)&gt;0,SUMIF(F_ProductBM!$P:$P,$P248,F_ProductBM!M:M),"")</f>
        <v/>
      </c>
      <c r="N248" s="8"/>
      <c r="O248" s="8"/>
      <c r="P248" s="626" t="str">
        <f t="shared" ref="P248:P257" si="13">EUconst_CNTR_WGProduced &amp; E248</f>
        <v>WasteGasProd_</v>
      </c>
    </row>
    <row r="249" spans="1:19" x14ac:dyDescent="0.25">
      <c r="B249" s="17"/>
      <c r="C249" s="17"/>
      <c r="D249" s="113" t="s">
        <v>208</v>
      </c>
      <c r="E249" s="1446" t="str">
        <f t="shared" si="11"/>
        <v/>
      </c>
      <c r="F249" s="1446"/>
      <c r="G249" s="1446"/>
      <c r="H249" s="858" t="str">
        <f t="shared" si="12"/>
        <v>TJ / year</v>
      </c>
      <c r="I249" s="859" t="str">
        <f>IF(SUMIF(F_ProductBM!$P:$P,$P249,F_ProductBM!I:I)&gt;0,SUMIF(F_ProductBM!$P:$P,$P249,F_ProductBM!I:I),"")</f>
        <v/>
      </c>
      <c r="J249" s="859" t="str">
        <f>IF(SUMIF(F_ProductBM!$P:$P,$P249,F_ProductBM!J:J)&gt;0,SUMIF(F_ProductBM!$P:$P,$P249,F_ProductBM!J:J),"")</f>
        <v/>
      </c>
      <c r="K249" s="859" t="str">
        <f>IF(SUMIF(F_ProductBM!$P:$P,$P249,F_ProductBM!K:K)&gt;0,SUMIF(F_ProductBM!$P:$P,$P249,F_ProductBM!K:K),"")</f>
        <v/>
      </c>
      <c r="L249" s="859" t="str">
        <f>IF(SUMIF(F_ProductBM!$P:$P,$P249,F_ProductBM!L:L)&gt;0,SUMIF(F_ProductBM!$P:$P,$P249,F_ProductBM!L:L),"")</f>
        <v/>
      </c>
      <c r="M249" s="859" t="str">
        <f>IF(SUMIF(F_ProductBM!$P:$P,$P249,F_ProductBM!M:M)&gt;0,SUMIF(F_ProductBM!$P:$P,$P249,F_ProductBM!M:M),"")</f>
        <v/>
      </c>
      <c r="N249" s="8"/>
      <c r="O249" s="8"/>
      <c r="P249" s="626" t="str">
        <f t="shared" si="13"/>
        <v>WasteGasProd_</v>
      </c>
    </row>
    <row r="250" spans="1:19" x14ac:dyDescent="0.25">
      <c r="B250" s="17"/>
      <c r="C250" s="17"/>
      <c r="D250" s="113" t="s">
        <v>209</v>
      </c>
      <c r="E250" s="1446" t="str">
        <f t="shared" si="11"/>
        <v/>
      </c>
      <c r="F250" s="1446"/>
      <c r="G250" s="1446"/>
      <c r="H250" s="858" t="str">
        <f t="shared" si="12"/>
        <v>TJ / year</v>
      </c>
      <c r="I250" s="859" t="str">
        <f>IF(SUMIF(F_ProductBM!$P:$P,$P250,F_ProductBM!I:I)&gt;0,SUMIF(F_ProductBM!$P:$P,$P250,F_ProductBM!I:I),"")</f>
        <v/>
      </c>
      <c r="J250" s="859" t="str">
        <f>IF(SUMIF(F_ProductBM!$P:$P,$P250,F_ProductBM!J:J)&gt;0,SUMIF(F_ProductBM!$P:$P,$P250,F_ProductBM!J:J),"")</f>
        <v/>
      </c>
      <c r="K250" s="859" t="str">
        <f>IF(SUMIF(F_ProductBM!$P:$P,$P250,F_ProductBM!K:K)&gt;0,SUMIF(F_ProductBM!$P:$P,$P250,F_ProductBM!K:K),"")</f>
        <v/>
      </c>
      <c r="L250" s="859" t="str">
        <f>IF(SUMIF(F_ProductBM!$P:$P,$P250,F_ProductBM!L:L)&gt;0,SUMIF(F_ProductBM!$P:$P,$P250,F_ProductBM!L:L),"")</f>
        <v/>
      </c>
      <c r="M250" s="859" t="str">
        <f>IF(SUMIF(F_ProductBM!$P:$P,$P250,F_ProductBM!M:M)&gt;0,SUMIF(F_ProductBM!$P:$P,$P250,F_ProductBM!M:M),"")</f>
        <v/>
      </c>
      <c r="N250" s="8"/>
      <c r="O250" s="8"/>
      <c r="P250" s="626" t="str">
        <f t="shared" si="13"/>
        <v>WasteGasProd_</v>
      </c>
    </row>
    <row r="251" spans="1:19" x14ac:dyDescent="0.25">
      <c r="B251" s="17"/>
      <c r="C251" s="17"/>
      <c r="D251" s="113" t="s">
        <v>210</v>
      </c>
      <c r="E251" s="1446" t="str">
        <f t="shared" si="11"/>
        <v/>
      </c>
      <c r="F251" s="1446"/>
      <c r="G251" s="1446"/>
      <c r="H251" s="858" t="str">
        <f t="shared" si="12"/>
        <v>TJ / year</v>
      </c>
      <c r="I251" s="859" t="str">
        <f>IF(SUMIF(F_ProductBM!$P:$P,$P251,F_ProductBM!I:I)&gt;0,SUMIF(F_ProductBM!$P:$P,$P251,F_ProductBM!I:I),"")</f>
        <v/>
      </c>
      <c r="J251" s="859" t="str">
        <f>IF(SUMIF(F_ProductBM!$P:$P,$P251,F_ProductBM!J:J)&gt;0,SUMIF(F_ProductBM!$P:$P,$P251,F_ProductBM!J:J),"")</f>
        <v/>
      </c>
      <c r="K251" s="859" t="str">
        <f>IF(SUMIF(F_ProductBM!$P:$P,$P251,F_ProductBM!K:K)&gt;0,SUMIF(F_ProductBM!$P:$P,$P251,F_ProductBM!K:K),"")</f>
        <v/>
      </c>
      <c r="L251" s="859" t="str">
        <f>IF(SUMIF(F_ProductBM!$P:$P,$P251,F_ProductBM!L:L)&gt;0,SUMIF(F_ProductBM!$P:$P,$P251,F_ProductBM!L:L),"")</f>
        <v/>
      </c>
      <c r="M251" s="859" t="str">
        <f>IF(SUMIF(F_ProductBM!$P:$P,$P251,F_ProductBM!M:M)&gt;0,SUMIF(F_ProductBM!$P:$P,$P251,F_ProductBM!M:M),"")</f>
        <v/>
      </c>
      <c r="N251" s="8"/>
      <c r="O251" s="8"/>
      <c r="P251" s="626" t="str">
        <f t="shared" si="13"/>
        <v>WasteGasProd_</v>
      </c>
    </row>
    <row r="252" spans="1:19" x14ac:dyDescent="0.25">
      <c r="B252" s="17"/>
      <c r="C252" s="17"/>
      <c r="D252" s="113" t="s">
        <v>220</v>
      </c>
      <c r="E252" s="1446" t="str">
        <f t="shared" si="11"/>
        <v/>
      </c>
      <c r="F252" s="1446"/>
      <c r="G252" s="1446"/>
      <c r="H252" s="858" t="str">
        <f t="shared" si="12"/>
        <v>TJ / year</v>
      </c>
      <c r="I252" s="859" t="str">
        <f>IF(SUMIF(F_ProductBM!$P:$P,$P252,F_ProductBM!I:I)&gt;0,SUMIF(F_ProductBM!$P:$P,$P252,F_ProductBM!I:I),"")</f>
        <v/>
      </c>
      <c r="J252" s="859" t="str">
        <f>IF(SUMIF(F_ProductBM!$P:$P,$P252,F_ProductBM!J:J)&gt;0,SUMIF(F_ProductBM!$P:$P,$P252,F_ProductBM!J:J),"")</f>
        <v/>
      </c>
      <c r="K252" s="859" t="str">
        <f>IF(SUMIF(F_ProductBM!$P:$P,$P252,F_ProductBM!K:K)&gt;0,SUMIF(F_ProductBM!$P:$P,$P252,F_ProductBM!K:K),"")</f>
        <v/>
      </c>
      <c r="L252" s="859" t="str">
        <f>IF(SUMIF(F_ProductBM!$P:$P,$P252,F_ProductBM!L:L)&gt;0,SUMIF(F_ProductBM!$P:$P,$P252,F_ProductBM!L:L),"")</f>
        <v/>
      </c>
      <c r="M252" s="859" t="str">
        <f>IF(SUMIF(F_ProductBM!$P:$P,$P252,F_ProductBM!M:M)&gt;0,SUMIF(F_ProductBM!$P:$P,$P252,F_ProductBM!M:M),"")</f>
        <v/>
      </c>
      <c r="N252" s="8"/>
      <c r="O252" s="8"/>
      <c r="P252" s="626" t="str">
        <f t="shared" si="13"/>
        <v>WasteGasProd_</v>
      </c>
    </row>
    <row r="253" spans="1:19" x14ac:dyDescent="0.25">
      <c r="B253" s="17"/>
      <c r="C253" s="17"/>
      <c r="D253" s="113" t="s">
        <v>221</v>
      </c>
      <c r="E253" s="1446" t="str">
        <f t="shared" si="11"/>
        <v/>
      </c>
      <c r="F253" s="1446"/>
      <c r="G253" s="1446"/>
      <c r="H253" s="858" t="str">
        <f t="shared" si="12"/>
        <v>TJ / year</v>
      </c>
      <c r="I253" s="859" t="str">
        <f>IF(SUMIF(F_ProductBM!$P:$P,$P253,F_ProductBM!I:I)&gt;0,SUMIF(F_ProductBM!$P:$P,$P253,F_ProductBM!I:I),"")</f>
        <v/>
      </c>
      <c r="J253" s="859" t="str">
        <f>IF(SUMIF(F_ProductBM!$P:$P,$P253,F_ProductBM!J:J)&gt;0,SUMIF(F_ProductBM!$P:$P,$P253,F_ProductBM!J:J),"")</f>
        <v/>
      </c>
      <c r="K253" s="859" t="str">
        <f>IF(SUMIF(F_ProductBM!$P:$P,$P253,F_ProductBM!K:K)&gt;0,SUMIF(F_ProductBM!$P:$P,$P253,F_ProductBM!K:K),"")</f>
        <v/>
      </c>
      <c r="L253" s="859" t="str">
        <f>IF(SUMIF(F_ProductBM!$P:$P,$P253,F_ProductBM!L:L)&gt;0,SUMIF(F_ProductBM!$P:$P,$P253,F_ProductBM!L:L),"")</f>
        <v/>
      </c>
      <c r="M253" s="859" t="str">
        <f>IF(SUMIF(F_ProductBM!$P:$P,$P253,F_ProductBM!M:M)&gt;0,SUMIF(F_ProductBM!$P:$P,$P253,F_ProductBM!M:M),"")</f>
        <v/>
      </c>
      <c r="N253" s="8"/>
      <c r="O253" s="8"/>
      <c r="P253" s="626" t="str">
        <f t="shared" si="13"/>
        <v>WasteGasProd_</v>
      </c>
    </row>
    <row r="254" spans="1:19" x14ac:dyDescent="0.25">
      <c r="B254" s="17"/>
      <c r="C254" s="17"/>
      <c r="D254" s="113" t="s">
        <v>222</v>
      </c>
      <c r="E254" s="1446" t="str">
        <f t="shared" si="11"/>
        <v/>
      </c>
      <c r="F254" s="1446"/>
      <c r="G254" s="1446"/>
      <c r="H254" s="858" t="str">
        <f t="shared" si="12"/>
        <v>TJ / year</v>
      </c>
      <c r="I254" s="859" t="str">
        <f>IF(SUMIF(F_ProductBM!$P:$P,$P254,F_ProductBM!I:I)&gt;0,SUMIF(F_ProductBM!$P:$P,$P254,F_ProductBM!I:I),"")</f>
        <v/>
      </c>
      <c r="J254" s="859" t="str">
        <f>IF(SUMIF(F_ProductBM!$P:$P,$P254,F_ProductBM!J:J)&gt;0,SUMIF(F_ProductBM!$P:$P,$P254,F_ProductBM!J:J),"")</f>
        <v/>
      </c>
      <c r="K254" s="859" t="str">
        <f>IF(SUMIF(F_ProductBM!$P:$P,$P254,F_ProductBM!K:K)&gt;0,SUMIF(F_ProductBM!$P:$P,$P254,F_ProductBM!K:K),"")</f>
        <v/>
      </c>
      <c r="L254" s="859" t="str">
        <f>IF(SUMIF(F_ProductBM!$P:$P,$P254,F_ProductBM!L:L)&gt;0,SUMIF(F_ProductBM!$P:$P,$P254,F_ProductBM!L:L),"")</f>
        <v/>
      </c>
      <c r="M254" s="859" t="str">
        <f>IF(SUMIF(F_ProductBM!$P:$P,$P254,F_ProductBM!M:M)&gt;0,SUMIF(F_ProductBM!$P:$P,$P254,F_ProductBM!M:M),"")</f>
        <v/>
      </c>
      <c r="N254" s="8"/>
      <c r="O254" s="8"/>
      <c r="P254" s="626" t="str">
        <f t="shared" si="13"/>
        <v>WasteGasProd_</v>
      </c>
    </row>
    <row r="255" spans="1:19" x14ac:dyDescent="0.25">
      <c r="B255" s="17"/>
      <c r="C255" s="17"/>
      <c r="D255" s="113" t="s">
        <v>223</v>
      </c>
      <c r="E255" s="1446" t="str">
        <f t="shared" si="11"/>
        <v/>
      </c>
      <c r="F255" s="1446"/>
      <c r="G255" s="1446"/>
      <c r="H255" s="858" t="str">
        <f t="shared" si="12"/>
        <v>TJ / year</v>
      </c>
      <c r="I255" s="859" t="str">
        <f>IF(SUMIF(F_ProductBM!$P:$P,$P255,F_ProductBM!I:I)&gt;0,SUMIF(F_ProductBM!$P:$P,$P255,F_ProductBM!I:I),"")</f>
        <v/>
      </c>
      <c r="J255" s="859" t="str">
        <f>IF(SUMIF(F_ProductBM!$P:$P,$P255,F_ProductBM!J:J)&gt;0,SUMIF(F_ProductBM!$P:$P,$P255,F_ProductBM!J:J),"")</f>
        <v/>
      </c>
      <c r="K255" s="859" t="str">
        <f>IF(SUMIF(F_ProductBM!$P:$P,$P255,F_ProductBM!K:K)&gt;0,SUMIF(F_ProductBM!$P:$P,$P255,F_ProductBM!K:K),"")</f>
        <v/>
      </c>
      <c r="L255" s="859" t="str">
        <f>IF(SUMIF(F_ProductBM!$P:$P,$P255,F_ProductBM!L:L)&gt;0,SUMIF(F_ProductBM!$P:$P,$P255,F_ProductBM!L:L),"")</f>
        <v/>
      </c>
      <c r="M255" s="859" t="str">
        <f>IF(SUMIF(F_ProductBM!$P:$P,$P255,F_ProductBM!M:M)&gt;0,SUMIF(F_ProductBM!$P:$P,$P255,F_ProductBM!M:M),"")</f>
        <v/>
      </c>
      <c r="N255" s="8"/>
      <c r="O255" s="8"/>
      <c r="P255" s="626" t="str">
        <f t="shared" si="13"/>
        <v>WasteGasProd_</v>
      </c>
    </row>
    <row r="256" spans="1:19" x14ac:dyDescent="0.25">
      <c r="B256" s="17"/>
      <c r="C256" s="17"/>
      <c r="D256" s="113" t="s">
        <v>224</v>
      </c>
      <c r="E256" s="1446" t="str">
        <f t="shared" si="11"/>
        <v/>
      </c>
      <c r="F256" s="1446"/>
      <c r="G256" s="1446"/>
      <c r="H256" s="858" t="str">
        <f t="shared" si="12"/>
        <v>TJ / year</v>
      </c>
      <c r="I256" s="859" t="str">
        <f>IF(SUMIF(F_ProductBM!$P:$P,$P256,F_ProductBM!I:I)&gt;0,SUMIF(F_ProductBM!$P:$P,$P256,F_ProductBM!I:I),"")</f>
        <v/>
      </c>
      <c r="J256" s="859" t="str">
        <f>IF(SUMIF(F_ProductBM!$P:$P,$P256,F_ProductBM!J:J)&gt;0,SUMIF(F_ProductBM!$P:$P,$P256,F_ProductBM!J:J),"")</f>
        <v/>
      </c>
      <c r="K256" s="859" t="str">
        <f>IF(SUMIF(F_ProductBM!$P:$P,$P256,F_ProductBM!K:K)&gt;0,SUMIF(F_ProductBM!$P:$P,$P256,F_ProductBM!K:K),"")</f>
        <v/>
      </c>
      <c r="L256" s="859" t="str">
        <f>IF(SUMIF(F_ProductBM!$P:$P,$P256,F_ProductBM!L:L)&gt;0,SUMIF(F_ProductBM!$P:$P,$P256,F_ProductBM!L:L),"")</f>
        <v/>
      </c>
      <c r="M256" s="859" t="str">
        <f>IF(SUMIF(F_ProductBM!$P:$P,$P256,F_ProductBM!M:M)&gt;0,SUMIF(F_ProductBM!$P:$P,$P256,F_ProductBM!M:M),"")</f>
        <v/>
      </c>
      <c r="N256" s="8"/>
      <c r="O256" s="8"/>
      <c r="P256" s="626" t="str">
        <f t="shared" si="13"/>
        <v>WasteGasProd_</v>
      </c>
    </row>
    <row r="257" spans="2:17" x14ac:dyDescent="0.25">
      <c r="B257" s="17"/>
      <c r="C257" s="17"/>
      <c r="D257" s="113" t="s">
        <v>345</v>
      </c>
      <c r="E257" s="1453" t="str">
        <f t="shared" si="11"/>
        <v/>
      </c>
      <c r="F257" s="1453"/>
      <c r="G257" s="1453"/>
      <c r="H257" s="860" t="str">
        <f t="shared" si="12"/>
        <v>TJ / year</v>
      </c>
      <c r="I257" s="861" t="str">
        <f>IF(SUMIF(F_ProductBM!$P:$P,$P257,F_ProductBM!I:I)&gt;0,SUMIF(F_ProductBM!$P:$P,$P257,F_ProductBM!I:I),"")</f>
        <v/>
      </c>
      <c r="J257" s="861" t="str">
        <f>IF(SUMIF(F_ProductBM!$P:$P,$P257,F_ProductBM!J:J)&gt;0,SUMIF(F_ProductBM!$P:$P,$P257,F_ProductBM!J:J),"")</f>
        <v/>
      </c>
      <c r="K257" s="861" t="str">
        <f>IF(SUMIF(F_ProductBM!$P:$P,$P257,F_ProductBM!K:K)&gt;0,SUMIF(F_ProductBM!$P:$P,$P257,F_ProductBM!K:K),"")</f>
        <v/>
      </c>
      <c r="L257" s="861" t="str">
        <f>IF(SUMIF(F_ProductBM!$P:$P,$P257,F_ProductBM!L:L)&gt;0,SUMIF(F_ProductBM!$P:$P,$P257,F_ProductBM!L:L),"")</f>
        <v/>
      </c>
      <c r="M257" s="861" t="str">
        <f>IF(SUMIF(F_ProductBM!$P:$P,$P257,F_ProductBM!M:M)&gt;0,SUMIF(F_ProductBM!$P:$P,$P257,F_ProductBM!M:M),"")</f>
        <v/>
      </c>
      <c r="N257" s="8"/>
      <c r="O257" s="8"/>
      <c r="P257" s="626" t="str">
        <f t="shared" si="13"/>
        <v>WasteGasProd_</v>
      </c>
    </row>
    <row r="258" spans="2:17" ht="12.75" customHeight="1" x14ac:dyDescent="0.25">
      <c r="B258" s="17"/>
      <c r="C258" s="17"/>
      <c r="D258" s="113" t="s">
        <v>346</v>
      </c>
      <c r="E258" s="1449" t="str">
        <f>Translations!$B$536</f>
        <v>Sub-total</v>
      </c>
      <c r="F258" s="1449"/>
      <c r="G258" s="1449"/>
      <c r="H258" s="43" t="str">
        <f t="shared" si="12"/>
        <v>TJ / year</v>
      </c>
      <c r="I258" s="818" t="str">
        <f>IF(COUNT(I248:I257)&gt;0,SUM(I248:I257),"")</f>
        <v/>
      </c>
      <c r="J258" s="818" t="str">
        <f>IF(COUNT(J248:J257)&gt;0,SUM(J248:J257),"")</f>
        <v/>
      </c>
      <c r="K258" s="818" t="str">
        <f>IF(COUNT(K248:K257)&gt;0,SUM(K248:K257),"")</f>
        <v/>
      </c>
      <c r="L258" s="818" t="str">
        <f>IF(COUNT(L248:L257)&gt;0,SUM(L248:L257),"")</f>
        <v/>
      </c>
      <c r="M258" s="818" t="str">
        <f>IF(COUNT(M248:M257)&gt;0,SUM(M248:M257),"")</f>
        <v/>
      </c>
      <c r="N258" s="8"/>
      <c r="O258" s="8"/>
    </row>
    <row r="259" spans="2:17" ht="5.0999999999999996" customHeight="1" x14ac:dyDescent="0.25">
      <c r="B259" s="8"/>
      <c r="C259" s="8"/>
      <c r="D259" s="8"/>
      <c r="E259" s="8"/>
      <c r="F259" s="8"/>
      <c r="G259" s="8"/>
      <c r="H259" s="8"/>
      <c r="I259" s="8"/>
      <c r="J259" s="8"/>
      <c r="K259" s="8"/>
      <c r="L259" s="8"/>
      <c r="M259" s="8"/>
      <c r="N259" s="8"/>
      <c r="O259" s="8"/>
      <c r="P259" s="190"/>
    </row>
    <row r="260" spans="2:17" ht="12.75" customHeight="1" x14ac:dyDescent="0.25">
      <c r="B260" s="8"/>
      <c r="C260" s="15"/>
      <c r="D260" s="15" t="s">
        <v>192</v>
      </c>
      <c r="E260" s="1447" t="str">
        <f>Translations!$B$615</f>
        <v>Waste gases produced outside the system boundaries of a product benchmark sub-installation</v>
      </c>
      <c r="F260" s="1443"/>
      <c r="G260" s="1443"/>
      <c r="H260" s="1443"/>
      <c r="I260" s="1443"/>
      <c r="J260" s="1443"/>
      <c r="K260" s="1443"/>
      <c r="L260" s="1443"/>
      <c r="M260" s="1443"/>
      <c r="N260" s="1443"/>
      <c r="O260" s="8"/>
      <c r="P260" s="190"/>
    </row>
    <row r="261" spans="2:17" ht="12.75" customHeight="1" x14ac:dyDescent="0.25">
      <c r="B261" s="8"/>
      <c r="C261" s="17"/>
      <c r="D261" s="17"/>
      <c r="E261" s="1486" t="str">
        <f>Translations!$B$616</f>
        <v>Information is taken from section D.IV. If relevant, you must ensure that you have entered complete data there.</v>
      </c>
      <c r="F261" s="1486"/>
      <c r="G261" s="1486"/>
      <c r="H261" s="1486"/>
      <c r="I261" s="1486"/>
      <c r="J261" s="1486"/>
      <c r="K261" s="1486"/>
      <c r="L261" s="1486"/>
      <c r="M261" s="1486"/>
      <c r="N261" s="8"/>
      <c r="O261" s="8"/>
      <c r="P261" s="190"/>
    </row>
    <row r="262" spans="2:17" ht="12.75" customHeight="1" x14ac:dyDescent="0.25">
      <c r="B262" s="8"/>
      <c r="C262" s="17"/>
      <c r="D262" s="17"/>
      <c r="E262" s="1442" t="str">
        <f>Translations!$B$617</f>
        <v>Note that entries there might relate to waste gases produced in other installations from which they are imported.</v>
      </c>
      <c r="F262" s="1443"/>
      <c r="G262" s="1443"/>
      <c r="H262" s="1443"/>
      <c r="I262" s="1443"/>
      <c r="J262" s="1443"/>
      <c r="K262" s="1443"/>
      <c r="L262" s="1443"/>
      <c r="M262" s="1443"/>
      <c r="N262" s="1443"/>
      <c r="O262" s="8"/>
      <c r="P262" s="190"/>
    </row>
    <row r="263" spans="2:17" x14ac:dyDescent="0.25">
      <c r="B263" s="17"/>
      <c r="C263" s="17"/>
      <c r="D263" s="17"/>
      <c r="E263" s="1452" t="str">
        <f>Translations!$B$618</f>
        <v>from section D.IV.</v>
      </c>
      <c r="F263" s="1451"/>
      <c r="G263" s="1451"/>
      <c r="H263" s="23" t="str">
        <f>EUconst_Unit</f>
        <v>Unit</v>
      </c>
      <c r="I263" s="128">
        <f>I$380</f>
        <v>2019</v>
      </c>
      <c r="J263" s="128">
        <f>J$380</f>
        <v>2020</v>
      </c>
      <c r="K263" s="128">
        <f>K$380</f>
        <v>2021</v>
      </c>
      <c r="L263" s="128">
        <f>L$380</f>
        <v>2022</v>
      </c>
      <c r="M263" s="144">
        <f>M$380</f>
        <v>2023</v>
      </c>
      <c r="N263" s="216"/>
      <c r="O263" s="8"/>
    </row>
    <row r="264" spans="2:17" x14ac:dyDescent="0.25">
      <c r="B264" s="17"/>
      <c r="C264" s="17"/>
      <c r="D264" s="113" t="s">
        <v>206</v>
      </c>
      <c r="E264" s="1487" t="str">
        <f>Translations!$B$619</f>
        <v>Waste gas 1</v>
      </c>
      <c r="F264" s="1487"/>
      <c r="G264" s="1487"/>
      <c r="H264" s="856" t="str">
        <f>EUconst_TJpa</f>
        <v>TJ / year</v>
      </c>
      <c r="I264" s="857" t="str">
        <f>IF(SUMIF(D_Emissions!$P$234:$P$283,$P264,D_Emissions!S$234:S$283)&gt;0,SUMIF(D_Emissions!$P$234:$P$283,$P264,D_Emissions!S$234:S$283),"")</f>
        <v/>
      </c>
      <c r="J264" s="857" t="str">
        <f>IF(SUMIF(D_Emissions!$P$234:$P$283,$P264,D_Emissions!T$234:T$283)&gt;0,SUMIF(D_Emissions!$P$234:$P$283,$P264,D_Emissions!T$234:T$283),"")</f>
        <v/>
      </c>
      <c r="K264" s="857" t="str">
        <f>IF(SUMIF(D_Emissions!$P$234:$P$283,$P264,D_Emissions!U$234:U$283)&gt;0,SUMIF(D_Emissions!$P$234:$P$283,$P264,D_Emissions!U$234:U$283),"")</f>
        <v/>
      </c>
      <c r="L264" s="857" t="str">
        <f>IF(SUMIF(D_Emissions!$P$234:$P$283,$P264,D_Emissions!V$234:V$283)&gt;0,SUMIF(D_Emissions!$P$234:$P$283,$P264,D_Emissions!V$234:V$283),"")</f>
        <v/>
      </c>
      <c r="M264" s="857" t="str">
        <f>IF(SUMIF(D_Emissions!$P$234:$P$283,$P264,D_Emissions!W$234:W$283)&gt;0,SUMIF(D_Emissions!$P$234:$P$283,$P264,D_Emissions!W$234:W$283),"")</f>
        <v/>
      </c>
      <c r="N264" s="8"/>
      <c r="O264" s="8"/>
      <c r="P264" s="862" t="str">
        <f>EUconst_CNTR_WGProduced &amp; Q264</f>
        <v>WasteGasProd_1</v>
      </c>
      <c r="Q264" s="626">
        <v>1</v>
      </c>
    </row>
    <row r="265" spans="2:17" x14ac:dyDescent="0.25">
      <c r="B265" s="17"/>
      <c r="C265" s="17"/>
      <c r="D265" s="113" t="s">
        <v>208</v>
      </c>
      <c r="E265" s="1488" t="str">
        <f>Translations!$B$620</f>
        <v>Waste gas 2</v>
      </c>
      <c r="F265" s="1488"/>
      <c r="G265" s="1488"/>
      <c r="H265" s="858" t="str">
        <f>EUconst_TJpa</f>
        <v>TJ / year</v>
      </c>
      <c r="I265" s="861" t="str">
        <f>IF(SUMIF(D_Emissions!$P$234:$P$283,$P265,D_Emissions!S$234:S$283)&gt;0,SUMIF(D_Emissions!$P$234:$P$283,$P265,D_Emissions!S$234:S$283),"")</f>
        <v/>
      </c>
      <c r="J265" s="861" t="str">
        <f>IF(SUMIF(D_Emissions!$P$234:$P$283,$P265,D_Emissions!T$234:T$283)&gt;0,SUMIF(D_Emissions!$P$234:$P$283,$P265,D_Emissions!T$234:T$283),"")</f>
        <v/>
      </c>
      <c r="K265" s="861" t="str">
        <f>IF(SUMIF(D_Emissions!$P$234:$P$283,$P265,D_Emissions!U$234:U$283)&gt;0,SUMIF(D_Emissions!$P$234:$P$283,$P265,D_Emissions!U$234:U$283),"")</f>
        <v/>
      </c>
      <c r="L265" s="861" t="str">
        <f>IF(SUMIF(D_Emissions!$P$234:$P$283,$P265,D_Emissions!V$234:V$283)&gt;0,SUMIF(D_Emissions!$P$234:$P$283,$P265,D_Emissions!V$234:V$283),"")</f>
        <v/>
      </c>
      <c r="M265" s="861" t="str">
        <f>IF(SUMIF(D_Emissions!$P$234:$P$283,$P265,D_Emissions!W$234:W$283)&gt;0,SUMIF(D_Emissions!$P$234:$P$283,$P265,D_Emissions!W$234:W$283),"")</f>
        <v/>
      </c>
      <c r="N265" s="8"/>
      <c r="O265" s="8"/>
      <c r="P265" s="862" t="str">
        <f>EUconst_CNTR_WGProduced &amp; Q265</f>
        <v>WasteGasProd_2</v>
      </c>
      <c r="Q265" s="626">
        <v>2</v>
      </c>
    </row>
    <row r="266" spans="2:17" ht="12.75" customHeight="1" x14ac:dyDescent="0.25">
      <c r="B266" s="17"/>
      <c r="C266" s="17"/>
      <c r="D266" s="113" t="s">
        <v>209</v>
      </c>
      <c r="E266" s="1449" t="str">
        <f>Translations!$B$536</f>
        <v>Sub-total</v>
      </c>
      <c r="F266" s="1449"/>
      <c r="G266" s="1449"/>
      <c r="H266" s="43" t="str">
        <f>EUconst_TJpa</f>
        <v>TJ / year</v>
      </c>
      <c r="I266" s="818" t="str">
        <f>IF(COUNT(I264:I265)&gt;0,SUM(I264:I265),"")</f>
        <v/>
      </c>
      <c r="J266" s="818" t="str">
        <f>IF(COUNT(J264:J265)&gt;0,SUM(J264:J265),"")</f>
        <v/>
      </c>
      <c r="K266" s="818" t="str">
        <f>IF(COUNT(K264:K265)&gt;0,SUM(K264:K265),"")</f>
        <v/>
      </c>
      <c r="L266" s="818" t="str">
        <f>IF(COUNT(L264:L265)&gt;0,SUM(L264:L265),"")</f>
        <v/>
      </c>
      <c r="M266" s="818" t="str">
        <f>IF(COUNT(M264:M265)&gt;0,SUM(M264:M265),"")</f>
        <v/>
      </c>
      <c r="N266" s="8"/>
      <c r="O266" s="8"/>
    </row>
    <row r="267" spans="2:17" ht="5.0999999999999996" customHeight="1" x14ac:dyDescent="0.25">
      <c r="B267" s="8"/>
      <c r="C267" s="8"/>
      <c r="D267" s="8"/>
      <c r="E267" s="8"/>
      <c r="F267" s="8"/>
      <c r="G267" s="8"/>
      <c r="H267" s="8"/>
      <c r="I267" s="8"/>
      <c r="J267" s="8"/>
      <c r="K267" s="8"/>
      <c r="L267" s="8"/>
      <c r="M267" s="8"/>
      <c r="N267" s="8"/>
      <c r="O267" s="8"/>
      <c r="P267" s="190"/>
    </row>
    <row r="268" spans="2:17" x14ac:dyDescent="0.25">
      <c r="B268" s="8"/>
      <c r="C268" s="15"/>
      <c r="D268" s="15" t="s">
        <v>195</v>
      </c>
      <c r="E268" s="1447" t="str">
        <f>Translations!$B$621</f>
        <v>Sum of waste gases (=a+b)</v>
      </c>
      <c r="F268" s="1443"/>
      <c r="G268" s="1443"/>
      <c r="H268" s="1443"/>
      <c r="I268" s="1443"/>
      <c r="J268" s="1443"/>
      <c r="K268" s="1443"/>
      <c r="L268" s="1443"/>
      <c r="M268" s="1443"/>
      <c r="N268" s="1443"/>
      <c r="O268" s="8"/>
      <c r="P268" s="190"/>
    </row>
    <row r="269" spans="2:17" x14ac:dyDescent="0.25">
      <c r="B269" s="17"/>
      <c r="C269" s="17"/>
      <c r="D269" s="17"/>
      <c r="E269" s="1449" t="str">
        <f>Translations!$B$622</f>
        <v>Waste gases produced</v>
      </c>
      <c r="F269" s="1449"/>
      <c r="G269" s="1449"/>
      <c r="H269" s="217" t="str">
        <f>EUconst_TJpa</f>
        <v>TJ / year</v>
      </c>
      <c r="I269" s="818" t="str">
        <f>IF(COUNT(I258,I266)&gt;0,SUM(I258,I266),"")</f>
        <v/>
      </c>
      <c r="J269" s="818" t="str">
        <f>IF(COUNT(J258,J266)&gt;0,SUM(J258,J266),"")</f>
        <v/>
      </c>
      <c r="K269" s="818" t="str">
        <f>IF(COUNT(K258,K266)&gt;0,SUM(K258,K266),"")</f>
        <v/>
      </c>
      <c r="L269" s="818" t="str">
        <f>IF(COUNT(L258,L266)&gt;0,SUM(L258,L266),"")</f>
        <v/>
      </c>
      <c r="M269" s="818" t="str">
        <f>IF(COUNT(M258,M266)&gt;0,SUM(M258,M266),"")</f>
        <v/>
      </c>
      <c r="N269" s="8"/>
      <c r="O269" s="8"/>
    </row>
    <row r="270" spans="2:17" ht="5.0999999999999996" customHeight="1" x14ac:dyDescent="0.25">
      <c r="B270" s="17"/>
      <c r="C270" s="17"/>
      <c r="D270" s="17"/>
      <c r="E270" s="17"/>
      <c r="F270" s="17"/>
      <c r="G270" s="17"/>
      <c r="H270" s="17"/>
      <c r="I270" s="17"/>
      <c r="J270" s="17"/>
      <c r="K270" s="17"/>
      <c r="L270" s="17"/>
      <c r="M270" s="17"/>
      <c r="N270" s="17"/>
      <c r="O270" s="8"/>
    </row>
    <row r="271" spans="2:17" x14ac:dyDescent="0.25">
      <c r="B271" s="8"/>
      <c r="C271" s="15"/>
      <c r="D271" s="15" t="s">
        <v>197</v>
      </c>
      <c r="E271" s="1447" t="str">
        <f>Translations!$B$623</f>
        <v>Waste gases imported from other installations or entities</v>
      </c>
      <c r="F271" s="1443"/>
      <c r="G271" s="1443"/>
      <c r="H271" s="1443"/>
      <c r="I271" s="1443"/>
      <c r="J271" s="1443"/>
      <c r="K271" s="1443"/>
      <c r="L271" s="1443"/>
      <c r="M271" s="1443"/>
      <c r="N271" s="1443"/>
      <c r="O271" s="8"/>
      <c r="P271" s="190"/>
    </row>
    <row r="272" spans="2:17" ht="12.75" customHeight="1" x14ac:dyDescent="0.25">
      <c r="B272" s="8"/>
      <c r="C272" s="17"/>
      <c r="D272" s="17"/>
      <c r="E272" s="1442" t="str">
        <f>Translations!$B$534</f>
        <v>Installation names in the drop down list are taken from Section A.IV. Therefore you must ensure that you have entered complete data there.</v>
      </c>
      <c r="F272" s="1443"/>
      <c r="G272" s="1443"/>
      <c r="H272" s="1443"/>
      <c r="I272" s="1443"/>
      <c r="J272" s="1443"/>
      <c r="K272" s="1443"/>
      <c r="L272" s="1443"/>
      <c r="M272" s="1443"/>
      <c r="N272" s="1443"/>
      <c r="O272" s="8"/>
      <c r="P272" s="190"/>
    </row>
    <row r="273" spans="2:19" ht="12.75" customHeight="1" x14ac:dyDescent="0.25">
      <c r="B273" s="8"/>
      <c r="C273" s="17"/>
      <c r="D273" s="17"/>
      <c r="E273" s="1442" t="str">
        <f>Translations!$B$624</f>
        <v>Please make sure that there is no double counting with (b) where imported amounts are included there.</v>
      </c>
      <c r="F273" s="1443"/>
      <c r="G273" s="1443"/>
      <c r="H273" s="1443"/>
      <c r="I273" s="1443"/>
      <c r="J273" s="1443"/>
      <c r="K273" s="1443"/>
      <c r="L273" s="1443"/>
      <c r="M273" s="1443"/>
      <c r="N273" s="1443"/>
      <c r="O273" s="8"/>
      <c r="P273" s="190"/>
    </row>
    <row r="274" spans="2:19" ht="12.75" customHeight="1" thickBot="1" x14ac:dyDescent="0.3">
      <c r="B274" s="17"/>
      <c r="C274" s="17"/>
      <c r="D274" s="17"/>
      <c r="E274" s="1452" t="str">
        <f>Translations!$B$256</f>
        <v>Name of installation or entity</v>
      </c>
      <c r="F274" s="1452"/>
      <c r="G274" s="1452"/>
      <c r="H274" s="23" t="str">
        <f>EUconst_Unit</f>
        <v>Unit</v>
      </c>
      <c r="I274" s="128">
        <f>I$380</f>
        <v>2019</v>
      </c>
      <c r="J274" s="128">
        <f>J$380</f>
        <v>2020</v>
      </c>
      <c r="K274" s="128">
        <f>K$380</f>
        <v>2021</v>
      </c>
      <c r="L274" s="128">
        <f>L$380</f>
        <v>2022</v>
      </c>
      <c r="M274" s="144">
        <f>M$380</f>
        <v>2023</v>
      </c>
      <c r="N274" s="216"/>
      <c r="O274" s="8"/>
      <c r="S274" s="150" t="s">
        <v>330</v>
      </c>
    </row>
    <row r="275" spans="2:19" x14ac:dyDescent="0.25">
      <c r="B275" s="17"/>
      <c r="C275" s="113"/>
      <c r="D275" s="113" t="s">
        <v>206</v>
      </c>
      <c r="E275" s="1324"/>
      <c r="F275" s="1324"/>
      <c r="G275" s="1324"/>
      <c r="H275" s="222" t="str">
        <f>EUconst_TJpa</f>
        <v>TJ / year</v>
      </c>
      <c r="I275" s="825"/>
      <c r="J275" s="825"/>
      <c r="K275" s="825"/>
      <c r="L275" s="825"/>
      <c r="M275" s="825"/>
      <c r="N275" s="8"/>
      <c r="O275" s="8"/>
      <c r="S275" s="316" t="b">
        <f>AND(M241&lt;&gt;"",M241=FALSE)</f>
        <v>0</v>
      </c>
    </row>
    <row r="276" spans="2:19" x14ac:dyDescent="0.25">
      <c r="B276" s="17"/>
      <c r="C276" s="113"/>
      <c r="D276" s="113" t="s">
        <v>208</v>
      </c>
      <c r="E276" s="1325"/>
      <c r="F276" s="1325"/>
      <c r="G276" s="1325"/>
      <c r="H276" s="225" t="str">
        <f>EUconst_TJpa</f>
        <v>TJ / year</v>
      </c>
      <c r="I276" s="296"/>
      <c r="J276" s="296"/>
      <c r="K276" s="296"/>
      <c r="L276" s="296"/>
      <c r="M276" s="296"/>
      <c r="N276" s="8"/>
      <c r="O276" s="8"/>
      <c r="S276" s="636" t="b">
        <f>S275</f>
        <v>0</v>
      </c>
    </row>
    <row r="277" spans="2:19" x14ac:dyDescent="0.25">
      <c r="B277" s="17"/>
      <c r="C277" s="113"/>
      <c r="D277" s="113" t="s">
        <v>209</v>
      </c>
      <c r="E277" s="1320"/>
      <c r="F277" s="1320"/>
      <c r="G277" s="1320"/>
      <c r="H277" s="227" t="str">
        <f>EUconst_TJpa</f>
        <v>TJ / year</v>
      </c>
      <c r="I277" s="826"/>
      <c r="J277" s="826"/>
      <c r="K277" s="826"/>
      <c r="L277" s="826"/>
      <c r="M277" s="826"/>
      <c r="N277" s="8"/>
      <c r="O277" s="8"/>
      <c r="S277" s="636" t="b">
        <f>S276</f>
        <v>0</v>
      </c>
    </row>
    <row r="278" spans="2:19" x14ac:dyDescent="0.25">
      <c r="B278" s="17"/>
      <c r="C278" s="113"/>
      <c r="D278" s="113" t="s">
        <v>210</v>
      </c>
      <c r="E278" s="1449" t="str">
        <f>Translations!$B$536</f>
        <v>Sub-total</v>
      </c>
      <c r="F278" s="1449"/>
      <c r="G278" s="1449"/>
      <c r="H278" s="217" t="str">
        <f>EUconst_TJpa</f>
        <v>TJ / year</v>
      </c>
      <c r="I278" s="818" t="str">
        <f>IF(COUNT(I275:I277)&gt;0,SUM(I275:I277),"")</f>
        <v/>
      </c>
      <c r="J278" s="818" t="str">
        <f>IF(COUNT(J275:J277)&gt;0,SUM(J275:J277),"")</f>
        <v/>
      </c>
      <c r="K278" s="818" t="str">
        <f>IF(COUNT(K275:K277)&gt;0,SUM(K275:K277),"")</f>
        <v/>
      </c>
      <c r="L278" s="818" t="str">
        <f>IF(COUNT(L275:L277)&gt;0,SUM(L275:L277),"")</f>
        <v/>
      </c>
      <c r="M278" s="818" t="str">
        <f>IF(COUNT(M275:M277)&gt;0,SUM(M275:M277),"")</f>
        <v/>
      </c>
      <c r="N278" s="8"/>
      <c r="O278" s="8"/>
      <c r="S278" s="308"/>
    </row>
    <row r="279" spans="2:19" ht="5.0999999999999996" customHeight="1" x14ac:dyDescent="0.25">
      <c r="B279" s="8"/>
      <c r="C279" s="8"/>
      <c r="D279" s="8"/>
      <c r="E279" s="8"/>
      <c r="F279" s="8"/>
      <c r="G279" s="8"/>
      <c r="H279" s="8"/>
      <c r="I279" s="8"/>
      <c r="J279" s="8"/>
      <c r="K279" s="8"/>
      <c r="L279" s="8"/>
      <c r="M279" s="8"/>
      <c r="N279" s="8"/>
      <c r="O279" s="8"/>
      <c r="P279" s="190"/>
      <c r="S279" s="308"/>
    </row>
    <row r="280" spans="2:19" ht="12.75" customHeight="1" x14ac:dyDescent="0.25">
      <c r="B280" s="8"/>
      <c r="C280" s="15"/>
      <c r="D280" s="15" t="s">
        <v>202</v>
      </c>
      <c r="E280" s="1447" t="str">
        <f>Translations!$B$625</f>
        <v>Waste gases exported to other installations or entities</v>
      </c>
      <c r="F280" s="1443"/>
      <c r="G280" s="1443"/>
      <c r="H280" s="1443"/>
      <c r="I280" s="1443"/>
      <c r="J280" s="1443"/>
      <c r="K280" s="1443"/>
      <c r="L280" s="1443"/>
      <c r="M280" s="1443"/>
      <c r="N280" s="1443"/>
      <c r="O280" s="8"/>
      <c r="P280" s="190"/>
      <c r="S280" s="308"/>
    </row>
    <row r="281" spans="2:19" ht="12.75" customHeight="1" x14ac:dyDescent="0.25">
      <c r="B281" s="8"/>
      <c r="C281" s="17"/>
      <c r="D281" s="17"/>
      <c r="E281" s="1442" t="str">
        <f>Translations!$B$534</f>
        <v>Installation names in the drop down list are taken from Section A.IV. Therefore you must ensure that you have entered complete data there.</v>
      </c>
      <c r="F281" s="1443"/>
      <c r="G281" s="1443"/>
      <c r="H281" s="1443"/>
      <c r="I281" s="1443"/>
      <c r="J281" s="1443"/>
      <c r="K281" s="1443"/>
      <c r="L281" s="1443"/>
      <c r="M281" s="1443"/>
      <c r="N281" s="1443"/>
      <c r="O281" s="8"/>
      <c r="P281" s="190"/>
      <c r="S281" s="308"/>
    </row>
    <row r="282" spans="2:19" x14ac:dyDescent="0.25">
      <c r="B282" s="17"/>
      <c r="C282" s="17"/>
      <c r="D282" s="17"/>
      <c r="E282" s="1452" t="str">
        <f>Translations!$B$256</f>
        <v>Name of installation or entity</v>
      </c>
      <c r="F282" s="1451"/>
      <c r="G282" s="1451"/>
      <c r="H282" s="23" t="str">
        <f>EUconst_Unit</f>
        <v>Unit</v>
      </c>
      <c r="I282" s="128">
        <f>I$380</f>
        <v>2019</v>
      </c>
      <c r="J282" s="128">
        <f>J$380</f>
        <v>2020</v>
      </c>
      <c r="K282" s="128">
        <f>K$380</f>
        <v>2021</v>
      </c>
      <c r="L282" s="128">
        <f>L$380</f>
        <v>2022</v>
      </c>
      <c r="M282" s="144">
        <f>M$380</f>
        <v>2023</v>
      </c>
      <c r="N282" s="216"/>
      <c r="O282" s="8"/>
      <c r="S282" s="308"/>
    </row>
    <row r="283" spans="2:19" x14ac:dyDescent="0.25">
      <c r="B283" s="17"/>
      <c r="C283" s="113"/>
      <c r="D283" s="113" t="s">
        <v>206</v>
      </c>
      <c r="E283" s="1324"/>
      <c r="F283" s="1324"/>
      <c r="G283" s="1324"/>
      <c r="H283" s="222" t="str">
        <f>EUconst_TJpa</f>
        <v>TJ / year</v>
      </c>
      <c r="I283" s="825"/>
      <c r="J283" s="825"/>
      <c r="K283" s="825"/>
      <c r="L283" s="825"/>
      <c r="M283" s="827"/>
      <c r="N283" s="8"/>
      <c r="O283" s="8"/>
      <c r="S283" s="636" t="b">
        <f>S277</f>
        <v>0</v>
      </c>
    </row>
    <row r="284" spans="2:19" x14ac:dyDescent="0.25">
      <c r="B284" s="17"/>
      <c r="C284" s="113"/>
      <c r="D284" s="113" t="s">
        <v>208</v>
      </c>
      <c r="E284" s="1325"/>
      <c r="F284" s="1325"/>
      <c r="G284" s="1325"/>
      <c r="H284" s="225" t="str">
        <f>EUconst_TJpa</f>
        <v>TJ / year</v>
      </c>
      <c r="I284" s="296"/>
      <c r="J284" s="296"/>
      <c r="K284" s="296"/>
      <c r="L284" s="296"/>
      <c r="M284" s="828"/>
      <c r="N284" s="8"/>
      <c r="O284" s="8"/>
      <c r="S284" s="636" t="b">
        <f>S283</f>
        <v>0</v>
      </c>
    </row>
    <row r="285" spans="2:19" x14ac:dyDescent="0.25">
      <c r="B285" s="17"/>
      <c r="C285" s="113"/>
      <c r="D285" s="113" t="s">
        <v>209</v>
      </c>
      <c r="E285" s="1320"/>
      <c r="F285" s="1320"/>
      <c r="G285" s="1320"/>
      <c r="H285" s="227" t="str">
        <f>EUconst_TJpa</f>
        <v>TJ / year</v>
      </c>
      <c r="I285" s="826"/>
      <c r="J285" s="826"/>
      <c r="K285" s="826"/>
      <c r="L285" s="826"/>
      <c r="M285" s="829"/>
      <c r="N285" s="8"/>
      <c r="O285" s="8"/>
      <c r="S285" s="636" t="b">
        <f>S284</f>
        <v>0</v>
      </c>
    </row>
    <row r="286" spans="2:19" x14ac:dyDescent="0.25">
      <c r="B286" s="17"/>
      <c r="C286" s="113"/>
      <c r="D286" s="113" t="s">
        <v>210</v>
      </c>
      <c r="E286" s="1449" t="str">
        <f>Translations!$B$536</f>
        <v>Sub-total</v>
      </c>
      <c r="F286" s="1449"/>
      <c r="G286" s="1449"/>
      <c r="H286" s="217" t="str">
        <f>EUconst_TJpa</f>
        <v>TJ / year</v>
      </c>
      <c r="I286" s="818" t="str">
        <f>IF(COUNT(I283:I285)&gt;0,SUM(I283:I285),"")</f>
        <v/>
      </c>
      <c r="J286" s="818" t="str">
        <f>IF(COUNT(J283:J285)&gt;0,SUM(J283:J285),"")</f>
        <v/>
      </c>
      <c r="K286" s="818" t="str">
        <f>IF(COUNT(K283:K285)&gt;0,SUM(K283:K285),"")</f>
        <v/>
      </c>
      <c r="L286" s="818" t="str">
        <f>IF(COUNT(L283:L285)&gt;0,SUM(L283:L285),"")</f>
        <v/>
      </c>
      <c r="M286" s="830" t="str">
        <f>IF(COUNT(M283:M285)&gt;0,SUM(M283:M285),"")</f>
        <v/>
      </c>
      <c r="N286" s="8"/>
      <c r="O286" s="8"/>
      <c r="S286" s="308"/>
    </row>
    <row r="287" spans="2:19" ht="5.0999999999999996" customHeight="1" x14ac:dyDescent="0.25">
      <c r="B287" s="8"/>
      <c r="C287" s="8"/>
      <c r="D287" s="8"/>
      <c r="E287" s="8"/>
      <c r="F287" s="8"/>
      <c r="G287" s="8"/>
      <c r="H287" s="8"/>
      <c r="I287" s="8"/>
      <c r="J287" s="8"/>
      <c r="K287" s="8"/>
      <c r="L287" s="8"/>
      <c r="M287" s="8"/>
      <c r="N287" s="8"/>
      <c r="O287" s="8"/>
      <c r="P287" s="190"/>
      <c r="S287" s="308"/>
    </row>
    <row r="288" spans="2:19" x14ac:dyDescent="0.25">
      <c r="B288" s="8"/>
      <c r="C288" s="15"/>
      <c r="D288" s="15" t="s">
        <v>199</v>
      </c>
      <c r="E288" s="1447" t="str">
        <f>Translations!$B$626</f>
        <v>Sum of waste gases available at installation (=c+d-e)</v>
      </c>
      <c r="F288" s="1443"/>
      <c r="G288" s="1443"/>
      <c r="H288" s="1443"/>
      <c r="I288" s="1443"/>
      <c r="J288" s="1443"/>
      <c r="K288" s="1443"/>
      <c r="L288" s="1443"/>
      <c r="M288" s="1443"/>
      <c r="N288" s="1443"/>
      <c r="O288" s="8"/>
      <c r="P288" s="190"/>
      <c r="S288" s="308"/>
    </row>
    <row r="289" spans="2:19" x14ac:dyDescent="0.25">
      <c r="B289" s="17"/>
      <c r="C289" s="17"/>
      <c r="D289" s="17"/>
      <c r="E289" s="1449" t="str">
        <f>Translations!$B$627</f>
        <v>Waste gases available</v>
      </c>
      <c r="F289" s="1449"/>
      <c r="G289" s="1449"/>
      <c r="H289" s="217" t="str">
        <f>EUconst_TJpa</f>
        <v>TJ / year</v>
      </c>
      <c r="I289" s="818" t="str">
        <f>IF(COUNT(I269,I278,I286)&gt;0,SUM(I269,I278)-SUM(I286),"")</f>
        <v/>
      </c>
      <c r="J289" s="818" t="str">
        <f>IF(COUNT(J269,J278,J286)&gt;0,SUM(J269,J278)-SUM(J286),"")</f>
        <v/>
      </c>
      <c r="K289" s="818" t="str">
        <f>IF(COUNT(K269,K278,K286)&gt;0,SUM(K269,K278)-SUM(K286),"")</f>
        <v/>
      </c>
      <c r="L289" s="818" t="str">
        <f>IF(COUNT(L269,L278,L286)&gt;0,SUM(L269,L278)-SUM(L286),"")</f>
        <v/>
      </c>
      <c r="M289" s="818" t="str">
        <f>IF(COUNT(M269,M278,M286)&gt;0,SUM(M269,M278)-SUM(M286),"")</f>
        <v/>
      </c>
      <c r="N289" s="8"/>
      <c r="O289" s="8"/>
      <c r="S289" s="308"/>
    </row>
    <row r="290" spans="2:19" ht="5.0999999999999996" customHeight="1" x14ac:dyDescent="0.25">
      <c r="B290" s="17"/>
      <c r="C290" s="17"/>
      <c r="D290" s="17"/>
      <c r="E290" s="17"/>
      <c r="F290" s="17"/>
      <c r="G290" s="17"/>
      <c r="H290" s="17"/>
      <c r="I290" s="17"/>
      <c r="J290" s="17"/>
      <c r="K290" s="17"/>
      <c r="L290" s="17"/>
      <c r="M290" s="17"/>
      <c r="N290" s="17"/>
      <c r="O290" s="8"/>
      <c r="S290" s="308"/>
    </row>
    <row r="291" spans="2:19" x14ac:dyDescent="0.25">
      <c r="B291" s="8"/>
      <c r="C291" s="15"/>
      <c r="D291" s="15" t="s">
        <v>212</v>
      </c>
      <c r="E291" s="1447" t="str">
        <f>Translations!$B$628</f>
        <v>Waste gases consumed within product benchmark sub-installations</v>
      </c>
      <c r="F291" s="1443"/>
      <c r="G291" s="1443"/>
      <c r="H291" s="1443"/>
      <c r="I291" s="1443"/>
      <c r="J291" s="1443"/>
      <c r="K291" s="1443"/>
      <c r="L291" s="1443"/>
      <c r="M291" s="1443"/>
      <c r="N291" s="1443"/>
      <c r="O291" s="8"/>
      <c r="P291" s="190"/>
      <c r="S291" s="308"/>
    </row>
    <row r="292" spans="2:19" ht="12.75" customHeight="1" x14ac:dyDescent="0.25">
      <c r="B292" s="8"/>
      <c r="C292" s="17"/>
      <c r="D292" s="17"/>
      <c r="E292" s="1442" t="str">
        <f>Translations!$B$629</f>
        <v>Information is taken from section F.(l).viii. If relevant, you must ensure that you have entered complete data there.</v>
      </c>
      <c r="F292" s="1443"/>
      <c r="G292" s="1443"/>
      <c r="H292" s="1443"/>
      <c r="I292" s="1443"/>
      <c r="J292" s="1443"/>
      <c r="K292" s="1443"/>
      <c r="L292" s="1443"/>
      <c r="M292" s="1443"/>
      <c r="N292" s="1443"/>
      <c r="O292" s="8"/>
      <c r="P292" s="190"/>
      <c r="S292" s="308"/>
    </row>
    <row r="293" spans="2:19" x14ac:dyDescent="0.25">
      <c r="B293" s="17"/>
      <c r="C293" s="17"/>
      <c r="D293" s="17"/>
      <c r="E293" s="1452" t="str">
        <f>Translations!$B$630</f>
        <v>Type of product BM sub-installation</v>
      </c>
      <c r="F293" s="1451"/>
      <c r="G293" s="1451"/>
      <c r="H293" s="23" t="str">
        <f>EUconst_Unit</f>
        <v>Unit</v>
      </c>
      <c r="I293" s="128">
        <f>I$380</f>
        <v>2019</v>
      </c>
      <c r="J293" s="128">
        <f>J$380</f>
        <v>2020</v>
      </c>
      <c r="K293" s="128">
        <f>K$380</f>
        <v>2021</v>
      </c>
      <c r="L293" s="128">
        <f>L$380</f>
        <v>2022</v>
      </c>
      <c r="M293" s="128">
        <f>M$380</f>
        <v>2023</v>
      </c>
      <c r="N293" s="8"/>
      <c r="O293" s="8"/>
      <c r="S293" s="308"/>
    </row>
    <row r="294" spans="2:19" ht="12.75" customHeight="1" x14ac:dyDescent="0.25">
      <c r="B294" s="17"/>
      <c r="C294" s="17"/>
      <c r="D294" s="113" t="s">
        <v>206</v>
      </c>
      <c r="E294" s="1448" t="str">
        <f t="shared" ref="E294:E303" si="14">E248</f>
        <v/>
      </c>
      <c r="F294" s="1448"/>
      <c r="G294" s="1448"/>
      <c r="H294" s="291" t="str">
        <f t="shared" ref="H294:H304" si="15">EUconst_TJpa</f>
        <v>TJ / year</v>
      </c>
      <c r="I294" s="857" t="str">
        <f>IF(SUMIF(F_ProductBM!$P:$P,$P294,F_ProductBM!I:I)&gt;0,SUMIF(F_ProductBM!$P:$P,$P294,F_ProductBM!I:I),"")</f>
        <v/>
      </c>
      <c r="J294" s="857" t="str">
        <f>IF(SUMIF(F_ProductBM!$P:$P,$P294,F_ProductBM!J:J)&gt;0,SUMIF(F_ProductBM!$P:$P,$P294,F_ProductBM!J:J),"")</f>
        <v/>
      </c>
      <c r="K294" s="857" t="str">
        <f>IF(SUMIF(F_ProductBM!$P:$P,$P294,F_ProductBM!K:K)&gt;0,SUMIF(F_ProductBM!$P:$P,$P294,F_ProductBM!K:K),"")</f>
        <v/>
      </c>
      <c r="L294" s="857" t="str">
        <f>IF(SUMIF(F_ProductBM!$P:$P,$P294,F_ProductBM!L:L)&gt;0,SUMIF(F_ProductBM!$P:$P,$P294,F_ProductBM!L:L),"")</f>
        <v/>
      </c>
      <c r="M294" s="857" t="str">
        <f>IF(SUMIF(F_ProductBM!$P:$P,$P294,F_ProductBM!M:M)&gt;0,SUMIF(F_ProductBM!$P:$P,$P294,F_ProductBM!M:M),"")</f>
        <v/>
      </c>
      <c r="N294" s="8"/>
      <c r="O294" s="8"/>
      <c r="P294" s="626" t="str">
        <f t="shared" ref="P294:P303" si="16">EUconst_CNTR_WGConsumed &amp; E294</f>
        <v>WasteGasCons_</v>
      </c>
      <c r="S294" s="308"/>
    </row>
    <row r="295" spans="2:19" x14ac:dyDescent="0.25">
      <c r="B295" s="17"/>
      <c r="C295" s="17"/>
      <c r="D295" s="113" t="s">
        <v>208</v>
      </c>
      <c r="E295" s="1448" t="str">
        <f t="shared" si="14"/>
        <v/>
      </c>
      <c r="F295" s="1448"/>
      <c r="G295" s="1448"/>
      <c r="H295" s="833" t="str">
        <f t="shared" si="15"/>
        <v>TJ / year</v>
      </c>
      <c r="I295" s="859" t="str">
        <f>IF(SUMIF(F_ProductBM!$P:$P,$P295,F_ProductBM!I:I)&gt;0,SUMIF(F_ProductBM!$P:$P,$P295,F_ProductBM!I:I),"")</f>
        <v/>
      </c>
      <c r="J295" s="859" t="str">
        <f>IF(SUMIF(F_ProductBM!$P:$P,$P295,F_ProductBM!J:J)&gt;0,SUMIF(F_ProductBM!$P:$P,$P295,F_ProductBM!J:J),"")</f>
        <v/>
      </c>
      <c r="K295" s="859" t="str">
        <f>IF(SUMIF(F_ProductBM!$P:$P,$P295,F_ProductBM!K:K)&gt;0,SUMIF(F_ProductBM!$P:$P,$P295,F_ProductBM!K:K),"")</f>
        <v/>
      </c>
      <c r="L295" s="859" t="str">
        <f>IF(SUMIF(F_ProductBM!$P:$P,$P295,F_ProductBM!L:L)&gt;0,SUMIF(F_ProductBM!$P:$P,$P295,F_ProductBM!L:L),"")</f>
        <v/>
      </c>
      <c r="M295" s="859" t="str">
        <f>IF(SUMIF(F_ProductBM!$P:$P,$P295,F_ProductBM!M:M)&gt;0,SUMIF(F_ProductBM!$P:$P,$P295,F_ProductBM!M:M),"")</f>
        <v/>
      </c>
      <c r="N295" s="8"/>
      <c r="O295" s="8"/>
      <c r="P295" s="626" t="str">
        <f t="shared" si="16"/>
        <v>WasteGasCons_</v>
      </c>
      <c r="S295" s="308"/>
    </row>
    <row r="296" spans="2:19" ht="12.75" customHeight="1" x14ac:dyDescent="0.25">
      <c r="B296" s="17"/>
      <c r="C296" s="17"/>
      <c r="D296" s="113" t="s">
        <v>209</v>
      </c>
      <c r="E296" s="1448" t="str">
        <f t="shared" si="14"/>
        <v/>
      </c>
      <c r="F296" s="1448"/>
      <c r="G296" s="1448"/>
      <c r="H296" s="833" t="str">
        <f t="shared" si="15"/>
        <v>TJ / year</v>
      </c>
      <c r="I296" s="859" t="str">
        <f>IF(SUMIF(F_ProductBM!$P:$P,$P296,F_ProductBM!I:I)&gt;0,SUMIF(F_ProductBM!$P:$P,$P296,F_ProductBM!I:I),"")</f>
        <v/>
      </c>
      <c r="J296" s="859" t="str">
        <f>IF(SUMIF(F_ProductBM!$P:$P,$P296,F_ProductBM!J:J)&gt;0,SUMIF(F_ProductBM!$P:$P,$P296,F_ProductBM!J:J),"")</f>
        <v/>
      </c>
      <c r="K296" s="859" t="str">
        <f>IF(SUMIF(F_ProductBM!$P:$P,$P296,F_ProductBM!K:K)&gt;0,SUMIF(F_ProductBM!$P:$P,$P296,F_ProductBM!K:K),"")</f>
        <v/>
      </c>
      <c r="L296" s="859" t="str">
        <f>IF(SUMIF(F_ProductBM!$P:$P,$P296,F_ProductBM!L:L)&gt;0,SUMIF(F_ProductBM!$P:$P,$P296,F_ProductBM!L:L),"")</f>
        <v/>
      </c>
      <c r="M296" s="859" t="str">
        <f>IF(SUMIF(F_ProductBM!$P:$P,$P296,F_ProductBM!M:M)&gt;0,SUMIF(F_ProductBM!$P:$P,$P296,F_ProductBM!M:M),"")</f>
        <v/>
      </c>
      <c r="N296" s="8"/>
      <c r="O296" s="8"/>
      <c r="P296" s="626" t="str">
        <f t="shared" si="16"/>
        <v>WasteGasCons_</v>
      </c>
      <c r="S296" s="308"/>
    </row>
    <row r="297" spans="2:19" x14ac:dyDescent="0.25">
      <c r="B297" s="17"/>
      <c r="C297" s="17"/>
      <c r="D297" s="113" t="s">
        <v>210</v>
      </c>
      <c r="E297" s="1448" t="str">
        <f t="shared" si="14"/>
        <v/>
      </c>
      <c r="F297" s="1448"/>
      <c r="G297" s="1448"/>
      <c r="H297" s="833" t="str">
        <f t="shared" si="15"/>
        <v>TJ / year</v>
      </c>
      <c r="I297" s="859" t="str">
        <f>IF(SUMIF(F_ProductBM!$P:$P,$P297,F_ProductBM!I:I)&gt;0,SUMIF(F_ProductBM!$P:$P,$P297,F_ProductBM!I:I),"")</f>
        <v/>
      </c>
      <c r="J297" s="859" t="str">
        <f>IF(SUMIF(F_ProductBM!$P:$P,$P297,F_ProductBM!J:J)&gt;0,SUMIF(F_ProductBM!$P:$P,$P297,F_ProductBM!J:J),"")</f>
        <v/>
      </c>
      <c r="K297" s="859" t="str">
        <f>IF(SUMIF(F_ProductBM!$P:$P,$P297,F_ProductBM!K:K)&gt;0,SUMIF(F_ProductBM!$P:$P,$P297,F_ProductBM!K:K),"")</f>
        <v/>
      </c>
      <c r="L297" s="859" t="str">
        <f>IF(SUMIF(F_ProductBM!$P:$P,$P297,F_ProductBM!L:L)&gt;0,SUMIF(F_ProductBM!$P:$P,$P297,F_ProductBM!L:L),"")</f>
        <v/>
      </c>
      <c r="M297" s="859" t="str">
        <f>IF(SUMIF(F_ProductBM!$P:$P,$P297,F_ProductBM!M:M)&gt;0,SUMIF(F_ProductBM!$P:$P,$P297,F_ProductBM!M:M),"")</f>
        <v/>
      </c>
      <c r="N297" s="8"/>
      <c r="O297" s="8"/>
      <c r="P297" s="626" t="str">
        <f t="shared" si="16"/>
        <v>WasteGasCons_</v>
      </c>
      <c r="S297" s="308"/>
    </row>
    <row r="298" spans="2:19" x14ac:dyDescent="0.25">
      <c r="B298" s="17"/>
      <c r="C298" s="17"/>
      <c r="D298" s="113" t="s">
        <v>220</v>
      </c>
      <c r="E298" s="1448" t="str">
        <f t="shared" si="14"/>
        <v/>
      </c>
      <c r="F298" s="1448"/>
      <c r="G298" s="1448"/>
      <c r="H298" s="833" t="str">
        <f t="shared" si="15"/>
        <v>TJ / year</v>
      </c>
      <c r="I298" s="859" t="str">
        <f>IF(SUMIF(F_ProductBM!$P:$P,$P298,F_ProductBM!I:I)&gt;0,SUMIF(F_ProductBM!$P:$P,$P298,F_ProductBM!I:I),"")</f>
        <v/>
      </c>
      <c r="J298" s="859" t="str">
        <f>IF(SUMIF(F_ProductBM!$P:$P,$P298,F_ProductBM!J:J)&gt;0,SUMIF(F_ProductBM!$P:$P,$P298,F_ProductBM!J:J),"")</f>
        <v/>
      </c>
      <c r="K298" s="859" t="str">
        <f>IF(SUMIF(F_ProductBM!$P:$P,$P298,F_ProductBM!K:K)&gt;0,SUMIF(F_ProductBM!$P:$P,$P298,F_ProductBM!K:K),"")</f>
        <v/>
      </c>
      <c r="L298" s="859" t="str">
        <f>IF(SUMIF(F_ProductBM!$P:$P,$P298,F_ProductBM!L:L)&gt;0,SUMIF(F_ProductBM!$P:$P,$P298,F_ProductBM!L:L),"")</f>
        <v/>
      </c>
      <c r="M298" s="859" t="str">
        <f>IF(SUMIF(F_ProductBM!$P:$P,$P298,F_ProductBM!M:M)&gt;0,SUMIF(F_ProductBM!$P:$P,$P298,F_ProductBM!M:M),"")</f>
        <v/>
      </c>
      <c r="N298" s="8"/>
      <c r="O298" s="8"/>
      <c r="P298" s="626" t="str">
        <f t="shared" si="16"/>
        <v>WasteGasCons_</v>
      </c>
      <c r="S298" s="308"/>
    </row>
    <row r="299" spans="2:19" x14ac:dyDescent="0.25">
      <c r="B299" s="17"/>
      <c r="C299" s="17"/>
      <c r="D299" s="113" t="s">
        <v>221</v>
      </c>
      <c r="E299" s="1448" t="str">
        <f t="shared" si="14"/>
        <v/>
      </c>
      <c r="F299" s="1448"/>
      <c r="G299" s="1448"/>
      <c r="H299" s="833" t="str">
        <f t="shared" si="15"/>
        <v>TJ / year</v>
      </c>
      <c r="I299" s="859" t="str">
        <f>IF(SUMIF(F_ProductBM!$P:$P,$P299,F_ProductBM!I:I)&gt;0,SUMIF(F_ProductBM!$P:$P,$P299,F_ProductBM!I:I),"")</f>
        <v/>
      </c>
      <c r="J299" s="859" t="str">
        <f>IF(SUMIF(F_ProductBM!$P:$P,$P299,F_ProductBM!J:J)&gt;0,SUMIF(F_ProductBM!$P:$P,$P299,F_ProductBM!J:J),"")</f>
        <v/>
      </c>
      <c r="K299" s="859" t="str">
        <f>IF(SUMIF(F_ProductBM!$P:$P,$P299,F_ProductBM!K:K)&gt;0,SUMIF(F_ProductBM!$P:$P,$P299,F_ProductBM!K:K),"")</f>
        <v/>
      </c>
      <c r="L299" s="859" t="str">
        <f>IF(SUMIF(F_ProductBM!$P:$P,$P299,F_ProductBM!L:L)&gt;0,SUMIF(F_ProductBM!$P:$P,$P299,F_ProductBM!L:L),"")</f>
        <v/>
      </c>
      <c r="M299" s="859" t="str">
        <f>IF(SUMIF(F_ProductBM!$P:$P,$P299,F_ProductBM!M:M)&gt;0,SUMIF(F_ProductBM!$P:$P,$P299,F_ProductBM!M:M),"")</f>
        <v/>
      </c>
      <c r="N299" s="8"/>
      <c r="O299" s="8"/>
      <c r="P299" s="626" t="str">
        <f t="shared" si="16"/>
        <v>WasteGasCons_</v>
      </c>
      <c r="S299" s="308"/>
    </row>
    <row r="300" spans="2:19" x14ac:dyDescent="0.25">
      <c r="B300" s="17"/>
      <c r="C300" s="17"/>
      <c r="D300" s="113" t="s">
        <v>222</v>
      </c>
      <c r="E300" s="1448" t="str">
        <f t="shared" si="14"/>
        <v/>
      </c>
      <c r="F300" s="1448"/>
      <c r="G300" s="1448"/>
      <c r="H300" s="833" t="str">
        <f t="shared" si="15"/>
        <v>TJ / year</v>
      </c>
      <c r="I300" s="859" t="str">
        <f>IF(SUMIF(F_ProductBM!$P:$P,$P300,F_ProductBM!I:I)&gt;0,SUMIF(F_ProductBM!$P:$P,$P300,F_ProductBM!I:I),"")</f>
        <v/>
      </c>
      <c r="J300" s="859" t="str">
        <f>IF(SUMIF(F_ProductBM!$P:$P,$P300,F_ProductBM!J:J)&gt;0,SUMIF(F_ProductBM!$P:$P,$P300,F_ProductBM!J:J),"")</f>
        <v/>
      </c>
      <c r="K300" s="859" t="str">
        <f>IF(SUMIF(F_ProductBM!$P:$P,$P300,F_ProductBM!K:K)&gt;0,SUMIF(F_ProductBM!$P:$P,$P300,F_ProductBM!K:K),"")</f>
        <v/>
      </c>
      <c r="L300" s="859" t="str">
        <f>IF(SUMIF(F_ProductBM!$P:$P,$P300,F_ProductBM!L:L)&gt;0,SUMIF(F_ProductBM!$P:$P,$P300,F_ProductBM!L:L),"")</f>
        <v/>
      </c>
      <c r="M300" s="859" t="str">
        <f>IF(SUMIF(F_ProductBM!$P:$P,$P300,F_ProductBM!M:M)&gt;0,SUMIF(F_ProductBM!$P:$P,$P300,F_ProductBM!M:M),"")</f>
        <v/>
      </c>
      <c r="N300" s="8"/>
      <c r="O300" s="8"/>
      <c r="P300" s="626" t="str">
        <f t="shared" si="16"/>
        <v>WasteGasCons_</v>
      </c>
      <c r="S300" s="308"/>
    </row>
    <row r="301" spans="2:19" x14ac:dyDescent="0.25">
      <c r="B301" s="17"/>
      <c r="C301" s="17"/>
      <c r="D301" s="113" t="s">
        <v>223</v>
      </c>
      <c r="E301" s="1448" t="str">
        <f t="shared" si="14"/>
        <v/>
      </c>
      <c r="F301" s="1448"/>
      <c r="G301" s="1448"/>
      <c r="H301" s="833" t="str">
        <f t="shared" si="15"/>
        <v>TJ / year</v>
      </c>
      <c r="I301" s="859" t="str">
        <f>IF(SUMIF(F_ProductBM!$P:$P,$P301,F_ProductBM!I:I)&gt;0,SUMIF(F_ProductBM!$P:$P,$P301,F_ProductBM!I:I),"")</f>
        <v/>
      </c>
      <c r="J301" s="859" t="str">
        <f>IF(SUMIF(F_ProductBM!$P:$P,$P301,F_ProductBM!J:J)&gt;0,SUMIF(F_ProductBM!$P:$P,$P301,F_ProductBM!J:J),"")</f>
        <v/>
      </c>
      <c r="K301" s="859" t="str">
        <f>IF(SUMIF(F_ProductBM!$P:$P,$P301,F_ProductBM!K:K)&gt;0,SUMIF(F_ProductBM!$P:$P,$P301,F_ProductBM!K:K),"")</f>
        <v/>
      </c>
      <c r="L301" s="859" t="str">
        <f>IF(SUMIF(F_ProductBM!$P:$P,$P301,F_ProductBM!L:L)&gt;0,SUMIF(F_ProductBM!$P:$P,$P301,F_ProductBM!L:L),"")</f>
        <v/>
      </c>
      <c r="M301" s="859" t="str">
        <f>IF(SUMIF(F_ProductBM!$P:$P,$P301,F_ProductBM!M:M)&gt;0,SUMIF(F_ProductBM!$P:$P,$P301,F_ProductBM!M:M),"")</f>
        <v/>
      </c>
      <c r="N301" s="8"/>
      <c r="O301" s="8"/>
      <c r="P301" s="626" t="str">
        <f t="shared" si="16"/>
        <v>WasteGasCons_</v>
      </c>
      <c r="S301" s="308"/>
    </row>
    <row r="302" spans="2:19" x14ac:dyDescent="0.25">
      <c r="B302" s="17"/>
      <c r="C302" s="17"/>
      <c r="D302" s="113" t="s">
        <v>224</v>
      </c>
      <c r="E302" s="1448" t="str">
        <f t="shared" si="14"/>
        <v/>
      </c>
      <c r="F302" s="1448"/>
      <c r="G302" s="1448"/>
      <c r="H302" s="833" t="str">
        <f t="shared" si="15"/>
        <v>TJ / year</v>
      </c>
      <c r="I302" s="859" t="str">
        <f>IF(SUMIF(F_ProductBM!$P:$P,$P302,F_ProductBM!I:I)&gt;0,SUMIF(F_ProductBM!$P:$P,$P302,F_ProductBM!I:I),"")</f>
        <v/>
      </c>
      <c r="J302" s="859" t="str">
        <f>IF(SUMIF(F_ProductBM!$P:$P,$P302,F_ProductBM!J:J)&gt;0,SUMIF(F_ProductBM!$P:$P,$P302,F_ProductBM!J:J),"")</f>
        <v/>
      </c>
      <c r="K302" s="859" t="str">
        <f>IF(SUMIF(F_ProductBM!$P:$P,$P302,F_ProductBM!K:K)&gt;0,SUMIF(F_ProductBM!$P:$P,$P302,F_ProductBM!K:K),"")</f>
        <v/>
      </c>
      <c r="L302" s="859" t="str">
        <f>IF(SUMIF(F_ProductBM!$P:$P,$P302,F_ProductBM!L:L)&gt;0,SUMIF(F_ProductBM!$P:$P,$P302,F_ProductBM!L:L),"")</f>
        <v/>
      </c>
      <c r="M302" s="859" t="str">
        <f>IF(SUMIF(F_ProductBM!$P:$P,$P302,F_ProductBM!M:M)&gt;0,SUMIF(F_ProductBM!$P:$P,$P302,F_ProductBM!M:M),"")</f>
        <v/>
      </c>
      <c r="N302" s="8"/>
      <c r="O302" s="8"/>
      <c r="P302" s="626" t="str">
        <f t="shared" si="16"/>
        <v>WasteGasCons_</v>
      </c>
      <c r="S302" s="308"/>
    </row>
    <row r="303" spans="2:19" x14ac:dyDescent="0.25">
      <c r="B303" s="17"/>
      <c r="C303" s="17"/>
      <c r="D303" s="113" t="s">
        <v>345</v>
      </c>
      <c r="E303" s="1465" t="str">
        <f t="shared" si="14"/>
        <v/>
      </c>
      <c r="F303" s="1465"/>
      <c r="G303" s="1465"/>
      <c r="H303" s="835" t="str">
        <f t="shared" si="15"/>
        <v>TJ / year</v>
      </c>
      <c r="I303" s="861" t="str">
        <f>IF(SUMIF(F_ProductBM!$P:$P,$P303,F_ProductBM!I:I)&gt;0,SUMIF(F_ProductBM!$P:$P,$P303,F_ProductBM!I:I),"")</f>
        <v/>
      </c>
      <c r="J303" s="861" t="str">
        <f>IF(SUMIF(F_ProductBM!$P:$P,$P303,F_ProductBM!J:J)&gt;0,SUMIF(F_ProductBM!$P:$P,$P303,F_ProductBM!J:J),"")</f>
        <v/>
      </c>
      <c r="K303" s="861" t="str">
        <f>IF(SUMIF(F_ProductBM!$P:$P,$P303,F_ProductBM!K:K)&gt;0,SUMIF(F_ProductBM!$P:$P,$P303,F_ProductBM!K:K),"")</f>
        <v/>
      </c>
      <c r="L303" s="861" t="str">
        <f>IF(SUMIF(F_ProductBM!$P:$P,$P303,F_ProductBM!L:L)&gt;0,SUMIF(F_ProductBM!$P:$P,$P303,F_ProductBM!L:L),"")</f>
        <v/>
      </c>
      <c r="M303" s="861" t="str">
        <f>IF(SUMIF(F_ProductBM!$P:$P,$P303,F_ProductBM!M:M)&gt;0,SUMIF(F_ProductBM!$P:$P,$P303,F_ProductBM!M:M),"")</f>
        <v/>
      </c>
      <c r="N303" s="8"/>
      <c r="O303" s="8"/>
      <c r="P303" s="626" t="str">
        <f t="shared" si="16"/>
        <v>WasteGasCons_</v>
      </c>
      <c r="S303" s="308"/>
    </row>
    <row r="304" spans="2:19" ht="12.75" customHeight="1" x14ac:dyDescent="0.25">
      <c r="B304" s="17"/>
      <c r="C304" s="113"/>
      <c r="D304" s="113" t="s">
        <v>346</v>
      </c>
      <c r="E304" s="1464" t="str">
        <f>Translations!$B$536</f>
        <v>Sub-total</v>
      </c>
      <c r="F304" s="1464"/>
      <c r="G304" s="1464"/>
      <c r="H304" s="227" t="str">
        <f t="shared" si="15"/>
        <v>TJ / year</v>
      </c>
      <c r="I304" s="163" t="str">
        <f>IF(COUNT(I294:I303)&gt;0,SUM(I294:I303),"")</f>
        <v/>
      </c>
      <c r="J304" s="163" t="str">
        <f>IF(COUNT(J294:J303)&gt;0,SUM(J294:J303),"")</f>
        <v/>
      </c>
      <c r="K304" s="163" t="str">
        <f>IF(COUNT(K294:K303)&gt;0,SUM(K294:K303),"")</f>
        <v/>
      </c>
      <c r="L304" s="163" t="str">
        <f>IF(COUNT(L294:L303)&gt;0,SUM(L294:L303),"")</f>
        <v/>
      </c>
      <c r="M304" s="163" t="str">
        <f>IF(COUNT(M294:M303)&gt;0,SUM(M294:M303),"")</f>
        <v/>
      </c>
      <c r="N304" s="8"/>
      <c r="O304" s="8"/>
      <c r="S304" s="308"/>
    </row>
    <row r="305" spans="1:19" ht="5.0999999999999996" customHeight="1" x14ac:dyDescent="0.25">
      <c r="B305" s="8"/>
      <c r="C305" s="8"/>
      <c r="D305" s="8"/>
      <c r="E305" s="8"/>
      <c r="F305" s="8"/>
      <c r="G305" s="8"/>
      <c r="H305" s="8"/>
      <c r="I305" s="8"/>
      <c r="J305" s="8"/>
      <c r="K305" s="8"/>
      <c r="L305" s="8"/>
      <c r="M305" s="8"/>
      <c r="N305" s="8"/>
      <c r="O305" s="8"/>
      <c r="P305" s="190"/>
      <c r="S305" s="308"/>
    </row>
    <row r="306" spans="1:19" x14ac:dyDescent="0.25">
      <c r="B306" s="8"/>
      <c r="C306" s="15"/>
      <c r="D306" s="15" t="s">
        <v>218</v>
      </c>
      <c r="E306" s="1447" t="str">
        <f>Translations!$B$631</f>
        <v>Waste gases consumed within fall-back sub-installations</v>
      </c>
      <c r="F306" s="1443"/>
      <c r="G306" s="1443"/>
      <c r="H306" s="1443"/>
      <c r="I306" s="1443"/>
      <c r="J306" s="1443"/>
      <c r="K306" s="1443"/>
      <c r="L306" s="1443"/>
      <c r="M306" s="1443"/>
      <c r="N306" s="1443"/>
      <c r="O306" s="8"/>
      <c r="P306" s="190"/>
      <c r="S306" s="308"/>
    </row>
    <row r="307" spans="1:19" ht="12.75" customHeight="1" x14ac:dyDescent="0.25">
      <c r="B307" s="8"/>
      <c r="C307" s="17"/>
      <c r="D307" s="17"/>
      <c r="E307" s="1442" t="str">
        <f>Translations!$B$632</f>
        <v>Information is taken from corresponding entries in sheet "G_Fall-back". If relevant, you must ensure that you have entered complete data there.</v>
      </c>
      <c r="F307" s="1443"/>
      <c r="G307" s="1443"/>
      <c r="H307" s="1443"/>
      <c r="I307" s="1443"/>
      <c r="J307" s="1443"/>
      <c r="K307" s="1443"/>
      <c r="L307" s="1443"/>
      <c r="M307" s="1443"/>
      <c r="N307" s="1443"/>
      <c r="O307" s="8"/>
      <c r="P307" s="190"/>
      <c r="S307" s="308"/>
    </row>
    <row r="308" spans="1:19" x14ac:dyDescent="0.25">
      <c r="B308" s="17"/>
      <c r="C308" s="17"/>
      <c r="D308" s="17"/>
      <c r="E308" s="1447" t="str">
        <f>Translations!$B$633</f>
        <v>Type of fall-back sub-installation</v>
      </c>
      <c r="F308" s="1443"/>
      <c r="G308" s="1443"/>
      <c r="H308" s="15" t="str">
        <f>EUconst_Unit</f>
        <v>Unit</v>
      </c>
      <c r="I308" s="128">
        <f>I$380</f>
        <v>2019</v>
      </c>
      <c r="J308" s="128">
        <f>J$380</f>
        <v>2020</v>
      </c>
      <c r="K308" s="128">
        <f>K$380</f>
        <v>2021</v>
      </c>
      <c r="L308" s="128">
        <f>L$380</f>
        <v>2022</v>
      </c>
      <c r="M308" s="144">
        <f>M$380</f>
        <v>2023</v>
      </c>
      <c r="N308" s="656"/>
      <c r="O308" s="8"/>
      <c r="S308" s="308"/>
    </row>
    <row r="309" spans="1:19" ht="12.75" customHeight="1" x14ac:dyDescent="0.25">
      <c r="A309" s="145"/>
      <c r="B309" s="17"/>
      <c r="C309" s="17"/>
      <c r="D309" s="113" t="s">
        <v>206</v>
      </c>
      <c r="E309" s="1248" t="str">
        <f>INDEX(EUconst_FallBackListNames,Q309)</f>
        <v>Heat benchmark sub-installation, CL</v>
      </c>
      <c r="F309" s="1248"/>
      <c r="G309" s="1248"/>
      <c r="H309" s="291" t="str">
        <f t="shared" ref="H309:H314" si="17">EUconst_TJpa</f>
        <v>TJ / year</v>
      </c>
      <c r="I309" s="857" t="str">
        <f>IF(SUMIF('G_Fall-back'!$P:$P,$P309,'G_Fall-back'!I:I)&gt;0,SUMIF('G_Fall-back'!$P:$P,$P309,'G_Fall-back'!I:I),"")</f>
        <v/>
      </c>
      <c r="J309" s="857" t="str">
        <f>IF(SUMIF('G_Fall-back'!$P:$P,$P309,'G_Fall-back'!J:J)&gt;0,SUMIF('G_Fall-back'!$P:$P,$P309,'G_Fall-back'!J:J),"")</f>
        <v/>
      </c>
      <c r="K309" s="857" t="str">
        <f>IF(SUMIF('G_Fall-back'!$P:$P,$P309,'G_Fall-back'!K:K)&gt;0,SUMIF('G_Fall-back'!$P:$P,$P309,'G_Fall-back'!K:K),"")</f>
        <v/>
      </c>
      <c r="L309" s="857" t="str">
        <f>IF(SUMIF('G_Fall-back'!$P:$P,$P309,'G_Fall-back'!L:L)&gt;0,SUMIF('G_Fall-back'!$P:$P,$P309,'G_Fall-back'!L:L),"")</f>
        <v/>
      </c>
      <c r="M309" s="857" t="str">
        <f>IF(SUMIF('G_Fall-back'!$P:$P,$P309,'G_Fall-back'!M:M)&gt;0,SUMIF('G_Fall-back'!$P:$P,$P309,'G_Fall-back'!M:M),"")</f>
        <v/>
      </c>
      <c r="N309" s="8"/>
      <c r="O309" s="8"/>
      <c r="P309" s="626" t="str">
        <f>EUconst_CNTR_WGConsumed &amp; E309</f>
        <v>WasteGasCons_Heat benchmark sub-installation, CL</v>
      </c>
      <c r="Q309" s="863">
        <v>1</v>
      </c>
      <c r="S309" s="308"/>
    </row>
    <row r="310" spans="1:19" ht="12.75" customHeight="1" x14ac:dyDescent="0.25">
      <c r="A310" s="145"/>
      <c r="B310" s="17"/>
      <c r="C310" s="17"/>
      <c r="D310" s="113" t="s">
        <v>208</v>
      </c>
      <c r="E310" s="1251" t="str">
        <f>INDEX(EUconst_FallBackListNames,Q310)</f>
        <v>Heat benchmark sub-installation, non-CL</v>
      </c>
      <c r="F310" s="1251"/>
      <c r="G310" s="1251"/>
      <c r="H310" s="833" t="str">
        <f t="shared" si="17"/>
        <v>TJ / year</v>
      </c>
      <c r="I310" s="859" t="str">
        <f>IF(SUMIF('G_Fall-back'!$P:$P,$P310,'G_Fall-back'!I:I)&gt;0,SUMIF('G_Fall-back'!$P:$P,$P310,'G_Fall-back'!I:I),"")</f>
        <v/>
      </c>
      <c r="J310" s="859" t="str">
        <f>IF(SUMIF('G_Fall-back'!$P:$P,$P310,'G_Fall-back'!J:J)&gt;0,SUMIF('G_Fall-back'!$P:$P,$P310,'G_Fall-back'!J:J),"")</f>
        <v/>
      </c>
      <c r="K310" s="859" t="str">
        <f>IF(SUMIF('G_Fall-back'!$P:$P,$P310,'G_Fall-back'!K:K)&gt;0,SUMIF('G_Fall-back'!$P:$P,$P310,'G_Fall-back'!K:K),"")</f>
        <v/>
      </c>
      <c r="L310" s="859" t="str">
        <f>IF(SUMIF('G_Fall-back'!$P:$P,$P310,'G_Fall-back'!L:L)&gt;0,SUMIF('G_Fall-back'!$P:$P,$P310,'G_Fall-back'!L:L),"")</f>
        <v/>
      </c>
      <c r="M310" s="859" t="str">
        <f>IF(SUMIF('G_Fall-back'!$P:$P,$P310,'G_Fall-back'!M:M)&gt;0,SUMIF('G_Fall-back'!$P:$P,$P310,'G_Fall-back'!M:M),"")</f>
        <v/>
      </c>
      <c r="N310" s="8"/>
      <c r="O310" s="8"/>
      <c r="P310" s="626" t="str">
        <f>EUconst_CNTR_WGConsumed &amp; E310</f>
        <v>WasteGasCons_Heat benchmark sub-installation, non-CL</v>
      </c>
      <c r="Q310" s="863">
        <v>2</v>
      </c>
      <c r="S310" s="308"/>
    </row>
    <row r="311" spans="1:19" ht="12.75" customHeight="1" x14ac:dyDescent="0.25">
      <c r="A311" s="145"/>
      <c r="B311" s="17"/>
      <c r="C311" s="17"/>
      <c r="D311" s="113" t="s">
        <v>209</v>
      </c>
      <c r="E311" s="1251" t="str">
        <f>INDEX(EUconst_FallBackListNames,Q311)</f>
        <v>District heating sub-installation</v>
      </c>
      <c r="F311" s="1251"/>
      <c r="G311" s="1251"/>
      <c r="H311" s="833" t="str">
        <f t="shared" si="17"/>
        <v>TJ / year</v>
      </c>
      <c r="I311" s="859" t="str">
        <f>IF(SUMIF('G_Fall-back'!$P:$P,$P311,'G_Fall-back'!I:I)&gt;0,SUMIF('G_Fall-back'!$P:$P,$P311,'G_Fall-back'!I:I),"")</f>
        <v/>
      </c>
      <c r="J311" s="859" t="str">
        <f>IF(SUMIF('G_Fall-back'!$P:$P,$P311,'G_Fall-back'!J:J)&gt;0,SUMIF('G_Fall-back'!$P:$P,$P311,'G_Fall-back'!J:J),"")</f>
        <v/>
      </c>
      <c r="K311" s="859" t="str">
        <f>IF(SUMIF('G_Fall-back'!$P:$P,$P311,'G_Fall-back'!K:K)&gt;0,SUMIF('G_Fall-back'!$P:$P,$P311,'G_Fall-back'!K:K),"")</f>
        <v/>
      </c>
      <c r="L311" s="859" t="str">
        <f>IF(SUMIF('G_Fall-back'!$P:$P,$P311,'G_Fall-back'!L:L)&gt;0,SUMIF('G_Fall-back'!$P:$P,$P311,'G_Fall-back'!L:L),"")</f>
        <v/>
      </c>
      <c r="M311" s="859" t="str">
        <f>IF(SUMIF('G_Fall-back'!$P:$P,$P311,'G_Fall-back'!M:M)&gt;0,SUMIF('G_Fall-back'!$P:$P,$P311,'G_Fall-back'!M:M),"")</f>
        <v/>
      </c>
      <c r="N311" s="8"/>
      <c r="O311" s="8"/>
      <c r="P311" s="626" t="str">
        <f>EUconst_CNTR_WGConsumed &amp; E311</f>
        <v>WasteGasCons_District heating sub-installation</v>
      </c>
      <c r="Q311" s="863">
        <v>3</v>
      </c>
      <c r="S311" s="308"/>
    </row>
    <row r="312" spans="1:19" ht="12.75" customHeight="1" x14ac:dyDescent="0.25">
      <c r="A312" s="145"/>
      <c r="B312" s="17"/>
      <c r="C312" s="17"/>
      <c r="D312" s="113" t="s">
        <v>210</v>
      </c>
      <c r="E312" s="1251" t="str">
        <f>INDEX(EUconst_FallBackListNames,Q312)</f>
        <v>Fuel benchmark sub-installation, CL</v>
      </c>
      <c r="F312" s="1251"/>
      <c r="G312" s="1251"/>
      <c r="H312" s="833" t="str">
        <f t="shared" si="17"/>
        <v>TJ / year</v>
      </c>
      <c r="I312" s="859" t="str">
        <f>IF(SUMIF('G_Fall-back'!$P:$P,$P312,'G_Fall-back'!I:I)&gt;0,SUMIF('G_Fall-back'!$P:$P,$P312,'G_Fall-back'!I:I),"")</f>
        <v/>
      </c>
      <c r="J312" s="859" t="str">
        <f>IF(SUMIF('G_Fall-back'!$P:$P,$P312,'G_Fall-back'!J:J)&gt;0,SUMIF('G_Fall-back'!$P:$P,$P312,'G_Fall-back'!J:J),"")</f>
        <v/>
      </c>
      <c r="K312" s="859" t="str">
        <f>IF(SUMIF('G_Fall-back'!$P:$P,$P312,'G_Fall-back'!K:K)&gt;0,SUMIF('G_Fall-back'!$P:$P,$P312,'G_Fall-back'!K:K),"")</f>
        <v/>
      </c>
      <c r="L312" s="859" t="str">
        <f>IF(SUMIF('G_Fall-back'!$P:$P,$P312,'G_Fall-back'!L:L)&gt;0,SUMIF('G_Fall-back'!$P:$P,$P312,'G_Fall-back'!L:L),"")</f>
        <v/>
      </c>
      <c r="M312" s="859" t="str">
        <f>IF(SUMIF('G_Fall-back'!$P:$P,$P312,'G_Fall-back'!M:M)&gt;0,SUMIF('G_Fall-back'!$P:$P,$P312,'G_Fall-back'!M:M),"")</f>
        <v/>
      </c>
      <c r="N312" s="8"/>
      <c r="O312" s="8"/>
      <c r="P312" s="626" t="str">
        <f>EUconst_CNTR_WGConsumed &amp; E312</f>
        <v>WasteGasCons_Fuel benchmark sub-installation, CL</v>
      </c>
      <c r="Q312" s="863">
        <v>4</v>
      </c>
      <c r="S312" s="308"/>
    </row>
    <row r="313" spans="1:19" ht="12.75" customHeight="1" x14ac:dyDescent="0.25">
      <c r="A313" s="145"/>
      <c r="B313" s="17"/>
      <c r="C313" s="17"/>
      <c r="D313" s="113" t="s">
        <v>220</v>
      </c>
      <c r="E313" s="1254" t="str">
        <f>INDEX(EUconst_FallBackListNames,Q313)</f>
        <v>Fuel benchmark sub-installation, non-CL</v>
      </c>
      <c r="F313" s="1254"/>
      <c r="G313" s="1254"/>
      <c r="H313" s="835" t="str">
        <f t="shared" si="17"/>
        <v>TJ / year</v>
      </c>
      <c r="I313" s="861" t="str">
        <f>IF(SUMIF('G_Fall-back'!$P:$P,$P313,'G_Fall-back'!I:I)&gt;0,SUMIF('G_Fall-back'!$P:$P,$P313,'G_Fall-back'!I:I),"")</f>
        <v/>
      </c>
      <c r="J313" s="861" t="str">
        <f>IF(SUMIF('G_Fall-back'!$P:$P,$P313,'G_Fall-back'!J:J)&gt;0,SUMIF('G_Fall-back'!$P:$P,$P313,'G_Fall-back'!J:J),"")</f>
        <v/>
      </c>
      <c r="K313" s="861" t="str">
        <f>IF(SUMIF('G_Fall-back'!$P:$P,$P313,'G_Fall-back'!K:K)&gt;0,SUMIF('G_Fall-back'!$P:$P,$P313,'G_Fall-back'!K:K),"")</f>
        <v/>
      </c>
      <c r="L313" s="861" t="str">
        <f>IF(SUMIF('G_Fall-back'!$P:$P,$P313,'G_Fall-back'!L:L)&gt;0,SUMIF('G_Fall-back'!$P:$P,$P313,'G_Fall-back'!L:L),"")</f>
        <v/>
      </c>
      <c r="M313" s="861" t="str">
        <f>IF(SUMIF('G_Fall-back'!$P:$P,$P313,'G_Fall-back'!M:M)&gt;0,SUMIF('G_Fall-back'!$P:$P,$P313,'G_Fall-back'!M:M),"")</f>
        <v/>
      </c>
      <c r="N313" s="8"/>
      <c r="O313" s="8"/>
      <c r="P313" s="626" t="str">
        <f>EUconst_CNTR_WGConsumed &amp; E313</f>
        <v>WasteGasCons_Fuel benchmark sub-installation, non-CL</v>
      </c>
      <c r="Q313" s="863">
        <v>5</v>
      </c>
      <c r="S313" s="308"/>
    </row>
    <row r="314" spans="1:19" ht="12.75" customHeight="1" x14ac:dyDescent="0.25">
      <c r="B314" s="17"/>
      <c r="C314" s="17"/>
      <c r="D314" s="113" t="s">
        <v>221</v>
      </c>
      <c r="E314" s="1464" t="str">
        <f>Translations!$B$536</f>
        <v>Sub-total</v>
      </c>
      <c r="F314" s="1464"/>
      <c r="G314" s="1464"/>
      <c r="H314" s="864" t="str">
        <f t="shared" si="17"/>
        <v>TJ / year</v>
      </c>
      <c r="I314" s="304" t="str">
        <f>IF(COUNT(I309:I313)&gt;0,SUM(I309:I313),"")</f>
        <v/>
      </c>
      <c r="J314" s="304" t="str">
        <f>IF(COUNT(J309:J313)&gt;0,SUM(J309:J313),"")</f>
        <v/>
      </c>
      <c r="K314" s="304" t="str">
        <f>IF(COUNT(K309:K313)&gt;0,SUM(K309:K313),"")</f>
        <v/>
      </c>
      <c r="L314" s="304" t="str">
        <f>IF(COUNT(L309:L313)&gt;0,SUM(L309:L313),"")</f>
        <v/>
      </c>
      <c r="M314" s="304" t="str">
        <f>IF(COUNT(M309:M313)&gt;0,SUM(M309:M313),"")</f>
        <v/>
      </c>
      <c r="N314" s="8"/>
      <c r="O314" s="8"/>
      <c r="S314" s="308"/>
    </row>
    <row r="315" spans="1:19" ht="5.0999999999999996" customHeight="1" x14ac:dyDescent="0.25">
      <c r="B315" s="17"/>
      <c r="C315" s="17"/>
      <c r="D315" s="17"/>
      <c r="E315" s="17"/>
      <c r="F315" s="17"/>
      <c r="G315" s="17"/>
      <c r="H315" s="17"/>
      <c r="I315" s="17"/>
      <c r="J315" s="17"/>
      <c r="K315" s="17"/>
      <c r="L315" s="17"/>
      <c r="M315" s="17"/>
      <c r="N315" s="17"/>
      <c r="O315" s="8"/>
      <c r="S315" s="308"/>
    </row>
    <row r="316" spans="1:19" x14ac:dyDescent="0.25">
      <c r="B316" s="8"/>
      <c r="C316" s="15"/>
      <c r="D316" s="15" t="s">
        <v>225</v>
      </c>
      <c r="E316" s="1447" t="str">
        <f>Translations!$B$635</f>
        <v>Amount of waste gases consumed for the production of electricity</v>
      </c>
      <c r="F316" s="1443"/>
      <c r="G316" s="1443"/>
      <c r="H316" s="1443"/>
      <c r="I316" s="1443"/>
      <c r="J316" s="1443"/>
      <c r="K316" s="1443"/>
      <c r="L316" s="1443"/>
      <c r="M316" s="1443"/>
      <c r="N316" s="1443"/>
      <c r="O316" s="8"/>
      <c r="P316" s="190"/>
      <c r="S316" s="308"/>
    </row>
    <row r="317" spans="1:19" x14ac:dyDescent="0.25">
      <c r="B317" s="17"/>
      <c r="C317" s="17"/>
      <c r="D317" s="17"/>
      <c r="E317" s="1449" t="str">
        <f>Translations!$B$636</f>
        <v>Waste gases for electricity</v>
      </c>
      <c r="F317" s="1454"/>
      <c r="G317" s="1454"/>
      <c r="H317" s="217" t="str">
        <f>EUconst_TJpa</f>
        <v>TJ / year</v>
      </c>
      <c r="I317" s="293"/>
      <c r="J317" s="293"/>
      <c r="K317" s="293"/>
      <c r="L317" s="293"/>
      <c r="M317" s="293"/>
      <c r="N317" s="8"/>
      <c r="O317" s="8"/>
      <c r="S317" s="636" t="b">
        <f>S285</f>
        <v>0</v>
      </c>
    </row>
    <row r="318" spans="1:19" ht="5.0999999999999996" customHeight="1" x14ac:dyDescent="0.25">
      <c r="B318" s="8"/>
      <c r="C318" s="8"/>
      <c r="D318" s="8"/>
      <c r="E318" s="8"/>
      <c r="F318" s="8"/>
      <c r="G318" s="8"/>
      <c r="H318" s="8"/>
      <c r="I318" s="8"/>
      <c r="J318" s="8"/>
      <c r="K318" s="8"/>
      <c r="L318" s="8"/>
      <c r="M318" s="8"/>
      <c r="N318" s="8"/>
      <c r="O318" s="8"/>
      <c r="P318" s="190"/>
      <c r="S318" s="308"/>
    </row>
    <row r="319" spans="1:19" ht="12.75" customHeight="1" x14ac:dyDescent="0.25">
      <c r="B319" s="8"/>
      <c r="C319" s="15"/>
      <c r="D319" s="15" t="s">
        <v>339</v>
      </c>
      <c r="E319" s="1447" t="str">
        <f>Translations!$B$637</f>
        <v>Amount of waste gases flared other than safety flaring</v>
      </c>
      <c r="F319" s="1443"/>
      <c r="G319" s="1443"/>
      <c r="H319" s="1443"/>
      <c r="I319" s="1443"/>
      <c r="J319" s="1443"/>
      <c r="K319" s="1443"/>
      <c r="L319" s="1443"/>
      <c r="M319" s="1443"/>
      <c r="N319" s="1443"/>
      <c r="O319" s="8"/>
      <c r="P319" s="190"/>
      <c r="S319" s="308"/>
    </row>
    <row r="320" spans="1:19" x14ac:dyDescent="0.25">
      <c r="B320" s="8"/>
      <c r="C320" s="17"/>
      <c r="D320" s="17"/>
      <c r="E320" s="1442" t="str">
        <f>Translations!$B$638</f>
        <v>For product BM sub-installations, information is taken automatically from entries in sheet "F_ProductBM".</v>
      </c>
      <c r="F320" s="1443"/>
      <c r="G320" s="1443"/>
      <c r="H320" s="1443"/>
      <c r="I320" s="1443"/>
      <c r="J320" s="1443"/>
      <c r="K320" s="1443"/>
      <c r="L320" s="1443"/>
      <c r="M320" s="1443"/>
      <c r="N320" s="1443"/>
      <c r="O320" s="8"/>
      <c r="P320" s="190"/>
      <c r="S320" s="308"/>
    </row>
    <row r="321" spans="2:19" x14ac:dyDescent="0.25">
      <c r="B321" s="8"/>
      <c r="C321" s="17"/>
      <c r="D321" s="17"/>
      <c r="E321" s="1442" t="str">
        <f>Translations!$B$639</f>
        <v>For waste gases produced outside product BM sub-installations and flared for non-safety flaring need to be entered here.</v>
      </c>
      <c r="F321" s="1443"/>
      <c r="G321" s="1443"/>
      <c r="H321" s="1443"/>
      <c r="I321" s="1443"/>
      <c r="J321" s="1443"/>
      <c r="K321" s="1443"/>
      <c r="L321" s="1443"/>
      <c r="M321" s="1443"/>
      <c r="N321" s="1443"/>
      <c r="O321" s="8"/>
      <c r="P321" s="190"/>
      <c r="S321" s="308"/>
    </row>
    <row r="322" spans="2:19" x14ac:dyDescent="0.25">
      <c r="B322" s="17"/>
      <c r="C322" s="17"/>
      <c r="D322" s="17"/>
      <c r="E322" s="1452" t="str">
        <f>Translations!$B$614</f>
        <v>Sub-installation</v>
      </c>
      <c r="F322" s="1451"/>
      <c r="G322" s="1451"/>
      <c r="H322" s="23" t="str">
        <f>EUconst_Unit</f>
        <v>Unit</v>
      </c>
      <c r="I322" s="149">
        <f>I$380</f>
        <v>2019</v>
      </c>
      <c r="J322" s="149">
        <f>J$380</f>
        <v>2020</v>
      </c>
      <c r="K322" s="149">
        <f>K$380</f>
        <v>2021</v>
      </c>
      <c r="L322" s="149">
        <f>L$380</f>
        <v>2022</v>
      </c>
      <c r="M322" s="149">
        <f>M$380</f>
        <v>2023</v>
      </c>
      <c r="N322" s="656"/>
      <c r="O322" s="8"/>
      <c r="S322" s="308"/>
    </row>
    <row r="323" spans="2:19" ht="12.75" customHeight="1" x14ac:dyDescent="0.25">
      <c r="B323" s="17"/>
      <c r="C323" s="17"/>
      <c r="D323" s="113" t="s">
        <v>206</v>
      </c>
      <c r="E323" s="1463" t="str">
        <f t="shared" ref="E323:E332" si="18">E294</f>
        <v/>
      </c>
      <c r="F323" s="1463"/>
      <c r="G323" s="1463"/>
      <c r="H323" s="291" t="str">
        <f t="shared" ref="H323:H332" si="19">EUconst_TJpa</f>
        <v>TJ / year</v>
      </c>
      <c r="I323" s="857" t="str">
        <f>IF(SUMIF(F_ProductBM!$P:$P,$P323,F_ProductBM!I:I)&gt;0,SUMIF(F_ProductBM!$P:$P,$P323,F_ProductBM!I:I),"")</f>
        <v/>
      </c>
      <c r="J323" s="857" t="str">
        <f>IF(SUMIF(F_ProductBM!$P:$P,$P323,F_ProductBM!J:J)&gt;0,SUMIF(F_ProductBM!$P:$P,$P323,F_ProductBM!J:J),"")</f>
        <v/>
      </c>
      <c r="K323" s="857" t="str">
        <f>IF(SUMIF(F_ProductBM!$P:$P,$P323,F_ProductBM!K:K)&gt;0,SUMIF(F_ProductBM!$P:$P,$P323,F_ProductBM!K:K),"")</f>
        <v/>
      </c>
      <c r="L323" s="857" t="str">
        <f>IF(SUMIF(F_ProductBM!$P:$P,$P323,F_ProductBM!L:L)&gt;0,SUMIF(F_ProductBM!$P:$P,$P323,F_ProductBM!L:L),"")</f>
        <v/>
      </c>
      <c r="M323" s="857" t="str">
        <f>IF(SUMIF(F_ProductBM!$P:$P,$P323,F_ProductBM!M:M)&gt;0,SUMIF(F_ProductBM!$P:$P,$P323,F_ProductBM!M:M),"")</f>
        <v/>
      </c>
      <c r="N323" s="8"/>
      <c r="O323" s="8"/>
      <c r="P323" s="626" t="str">
        <f t="shared" ref="P323:P332" si="20">EUconst_CNTR_WGFlared &amp; E323</f>
        <v>WasteGasFlare_</v>
      </c>
      <c r="S323" s="308"/>
    </row>
    <row r="324" spans="2:19" ht="12.75" customHeight="1" x14ac:dyDescent="0.25">
      <c r="B324" s="17"/>
      <c r="C324" s="17"/>
      <c r="D324" s="113" t="s">
        <v>208</v>
      </c>
      <c r="E324" s="1448" t="str">
        <f t="shared" si="18"/>
        <v/>
      </c>
      <c r="F324" s="1448"/>
      <c r="G324" s="1448"/>
      <c r="H324" s="833" t="str">
        <f t="shared" si="19"/>
        <v>TJ / year</v>
      </c>
      <c r="I324" s="859" t="str">
        <f>IF(SUMIF(F_ProductBM!$P:$P,$P324,F_ProductBM!I:I)&gt;0,SUMIF(F_ProductBM!$P:$P,$P324,F_ProductBM!I:I),"")</f>
        <v/>
      </c>
      <c r="J324" s="859" t="str">
        <f>IF(SUMIF(F_ProductBM!$P:$P,$P324,F_ProductBM!J:J)&gt;0,SUMIF(F_ProductBM!$P:$P,$P324,F_ProductBM!J:J),"")</f>
        <v/>
      </c>
      <c r="K324" s="859" t="str">
        <f>IF(SUMIF(F_ProductBM!$P:$P,$P324,F_ProductBM!K:K)&gt;0,SUMIF(F_ProductBM!$P:$P,$P324,F_ProductBM!K:K),"")</f>
        <v/>
      </c>
      <c r="L324" s="859" t="str">
        <f>IF(SUMIF(F_ProductBM!$P:$P,$P324,F_ProductBM!L:L)&gt;0,SUMIF(F_ProductBM!$P:$P,$P324,F_ProductBM!L:L),"")</f>
        <v/>
      </c>
      <c r="M324" s="859" t="str">
        <f>IF(SUMIF(F_ProductBM!$P:$P,$P324,F_ProductBM!M:M)&gt;0,SUMIF(F_ProductBM!$P:$P,$P324,F_ProductBM!M:M),"")</f>
        <v/>
      </c>
      <c r="N324" s="8"/>
      <c r="O324" s="8"/>
      <c r="P324" s="626" t="str">
        <f t="shared" si="20"/>
        <v>WasteGasFlare_</v>
      </c>
      <c r="S324" s="308"/>
    </row>
    <row r="325" spans="2:19" ht="12.75" customHeight="1" x14ac:dyDescent="0.25">
      <c r="B325" s="17"/>
      <c r="C325" s="17"/>
      <c r="D325" s="113" t="s">
        <v>209</v>
      </c>
      <c r="E325" s="1448" t="str">
        <f t="shared" si="18"/>
        <v/>
      </c>
      <c r="F325" s="1448"/>
      <c r="G325" s="1448"/>
      <c r="H325" s="833" t="str">
        <f t="shared" si="19"/>
        <v>TJ / year</v>
      </c>
      <c r="I325" s="859" t="str">
        <f>IF(SUMIF(F_ProductBM!$P:$P,$P325,F_ProductBM!I:I)&gt;0,SUMIF(F_ProductBM!$P:$P,$P325,F_ProductBM!I:I),"")</f>
        <v/>
      </c>
      <c r="J325" s="859" t="str">
        <f>IF(SUMIF(F_ProductBM!$P:$P,$P325,F_ProductBM!J:J)&gt;0,SUMIF(F_ProductBM!$P:$P,$P325,F_ProductBM!J:J),"")</f>
        <v/>
      </c>
      <c r="K325" s="859" t="str">
        <f>IF(SUMIF(F_ProductBM!$P:$P,$P325,F_ProductBM!K:K)&gt;0,SUMIF(F_ProductBM!$P:$P,$P325,F_ProductBM!K:K),"")</f>
        <v/>
      </c>
      <c r="L325" s="859" t="str">
        <f>IF(SUMIF(F_ProductBM!$P:$P,$P325,F_ProductBM!L:L)&gt;0,SUMIF(F_ProductBM!$P:$P,$P325,F_ProductBM!L:L),"")</f>
        <v/>
      </c>
      <c r="M325" s="859" t="str">
        <f>IF(SUMIF(F_ProductBM!$P:$P,$P325,F_ProductBM!M:M)&gt;0,SUMIF(F_ProductBM!$P:$P,$P325,F_ProductBM!M:M),"")</f>
        <v/>
      </c>
      <c r="N325" s="8"/>
      <c r="O325" s="8"/>
      <c r="P325" s="626" t="str">
        <f t="shared" si="20"/>
        <v>WasteGasFlare_</v>
      </c>
      <c r="S325" s="308"/>
    </row>
    <row r="326" spans="2:19" ht="12.75" customHeight="1" x14ac:dyDescent="0.25">
      <c r="B326" s="17"/>
      <c r="C326" s="17"/>
      <c r="D326" s="113" t="s">
        <v>210</v>
      </c>
      <c r="E326" s="1448" t="str">
        <f t="shared" si="18"/>
        <v/>
      </c>
      <c r="F326" s="1448"/>
      <c r="G326" s="1448"/>
      <c r="H326" s="833" t="str">
        <f t="shared" si="19"/>
        <v>TJ / year</v>
      </c>
      <c r="I326" s="859" t="str">
        <f>IF(SUMIF(F_ProductBM!$P:$P,$P326,F_ProductBM!I:I)&gt;0,SUMIF(F_ProductBM!$P:$P,$P326,F_ProductBM!I:I),"")</f>
        <v/>
      </c>
      <c r="J326" s="859" t="str">
        <f>IF(SUMIF(F_ProductBM!$P:$P,$P326,F_ProductBM!J:J)&gt;0,SUMIF(F_ProductBM!$P:$P,$P326,F_ProductBM!J:J),"")</f>
        <v/>
      </c>
      <c r="K326" s="859" t="str">
        <f>IF(SUMIF(F_ProductBM!$P:$P,$P326,F_ProductBM!K:K)&gt;0,SUMIF(F_ProductBM!$P:$P,$P326,F_ProductBM!K:K),"")</f>
        <v/>
      </c>
      <c r="L326" s="859" t="str">
        <f>IF(SUMIF(F_ProductBM!$P:$P,$P326,F_ProductBM!L:L)&gt;0,SUMIF(F_ProductBM!$P:$P,$P326,F_ProductBM!L:L),"")</f>
        <v/>
      </c>
      <c r="M326" s="859" t="str">
        <f>IF(SUMIF(F_ProductBM!$P:$P,$P326,F_ProductBM!M:M)&gt;0,SUMIF(F_ProductBM!$P:$P,$P326,F_ProductBM!M:M),"")</f>
        <v/>
      </c>
      <c r="N326" s="8"/>
      <c r="O326" s="8"/>
      <c r="P326" s="626" t="str">
        <f t="shared" si="20"/>
        <v>WasteGasFlare_</v>
      </c>
      <c r="S326" s="308"/>
    </row>
    <row r="327" spans="2:19" ht="12.75" customHeight="1" x14ac:dyDescent="0.25">
      <c r="B327" s="17"/>
      <c r="C327" s="17"/>
      <c r="D327" s="113" t="s">
        <v>220</v>
      </c>
      <c r="E327" s="1448" t="str">
        <f t="shared" si="18"/>
        <v/>
      </c>
      <c r="F327" s="1448"/>
      <c r="G327" s="1448"/>
      <c r="H327" s="833" t="str">
        <f t="shared" si="19"/>
        <v>TJ / year</v>
      </c>
      <c r="I327" s="859" t="str">
        <f>IF(SUMIF(F_ProductBM!$P:$P,$P327,F_ProductBM!I:I)&gt;0,SUMIF(F_ProductBM!$P:$P,$P327,F_ProductBM!I:I),"")</f>
        <v/>
      </c>
      <c r="J327" s="859" t="str">
        <f>IF(SUMIF(F_ProductBM!$P:$P,$P327,F_ProductBM!J:J)&gt;0,SUMIF(F_ProductBM!$P:$P,$P327,F_ProductBM!J:J),"")</f>
        <v/>
      </c>
      <c r="K327" s="859" t="str">
        <f>IF(SUMIF(F_ProductBM!$P:$P,$P327,F_ProductBM!K:K)&gt;0,SUMIF(F_ProductBM!$P:$P,$P327,F_ProductBM!K:K),"")</f>
        <v/>
      </c>
      <c r="L327" s="859" t="str">
        <f>IF(SUMIF(F_ProductBM!$P:$P,$P327,F_ProductBM!L:L)&gt;0,SUMIF(F_ProductBM!$P:$P,$P327,F_ProductBM!L:L),"")</f>
        <v/>
      </c>
      <c r="M327" s="859" t="str">
        <f>IF(SUMIF(F_ProductBM!$P:$P,$P327,F_ProductBM!M:M)&gt;0,SUMIF(F_ProductBM!$P:$P,$P327,F_ProductBM!M:M),"")</f>
        <v/>
      </c>
      <c r="N327" s="8"/>
      <c r="O327" s="8"/>
      <c r="P327" s="626" t="str">
        <f t="shared" si="20"/>
        <v>WasteGasFlare_</v>
      </c>
      <c r="S327" s="308"/>
    </row>
    <row r="328" spans="2:19" ht="12.75" customHeight="1" x14ac:dyDescent="0.25">
      <c r="B328" s="17"/>
      <c r="C328" s="17"/>
      <c r="D328" s="113" t="s">
        <v>221</v>
      </c>
      <c r="E328" s="1448" t="str">
        <f t="shared" si="18"/>
        <v/>
      </c>
      <c r="F328" s="1448"/>
      <c r="G328" s="1448"/>
      <c r="H328" s="833" t="str">
        <f t="shared" si="19"/>
        <v>TJ / year</v>
      </c>
      <c r="I328" s="859" t="str">
        <f>IF(SUMIF(F_ProductBM!$P:$P,$P328,F_ProductBM!I:I)&gt;0,SUMIF(F_ProductBM!$P:$P,$P328,F_ProductBM!I:I),"")</f>
        <v/>
      </c>
      <c r="J328" s="859" t="str">
        <f>IF(SUMIF(F_ProductBM!$P:$P,$P328,F_ProductBM!J:J)&gt;0,SUMIF(F_ProductBM!$P:$P,$P328,F_ProductBM!J:J),"")</f>
        <v/>
      </c>
      <c r="K328" s="859" t="str">
        <f>IF(SUMIF(F_ProductBM!$P:$P,$P328,F_ProductBM!K:K)&gt;0,SUMIF(F_ProductBM!$P:$P,$P328,F_ProductBM!K:K),"")</f>
        <v/>
      </c>
      <c r="L328" s="859" t="str">
        <f>IF(SUMIF(F_ProductBM!$P:$P,$P328,F_ProductBM!L:L)&gt;0,SUMIF(F_ProductBM!$P:$P,$P328,F_ProductBM!L:L),"")</f>
        <v/>
      </c>
      <c r="M328" s="859" t="str">
        <f>IF(SUMIF(F_ProductBM!$P:$P,$P328,F_ProductBM!M:M)&gt;0,SUMIF(F_ProductBM!$P:$P,$P328,F_ProductBM!M:M),"")</f>
        <v/>
      </c>
      <c r="N328" s="8"/>
      <c r="O328" s="8"/>
      <c r="P328" s="626" t="str">
        <f t="shared" si="20"/>
        <v>WasteGasFlare_</v>
      </c>
      <c r="S328" s="308"/>
    </row>
    <row r="329" spans="2:19" ht="12.75" customHeight="1" x14ac:dyDescent="0.25">
      <c r="B329" s="17"/>
      <c r="C329" s="17"/>
      <c r="D329" s="113" t="s">
        <v>222</v>
      </c>
      <c r="E329" s="1448" t="str">
        <f t="shared" si="18"/>
        <v/>
      </c>
      <c r="F329" s="1448"/>
      <c r="G329" s="1448"/>
      <c r="H329" s="833" t="str">
        <f t="shared" si="19"/>
        <v>TJ / year</v>
      </c>
      <c r="I329" s="859" t="str">
        <f>IF(SUMIF(F_ProductBM!$P:$P,$P329,F_ProductBM!I:I)&gt;0,SUMIF(F_ProductBM!$P:$P,$P329,F_ProductBM!I:I),"")</f>
        <v/>
      </c>
      <c r="J329" s="859" t="str">
        <f>IF(SUMIF(F_ProductBM!$P:$P,$P329,F_ProductBM!J:J)&gt;0,SUMIF(F_ProductBM!$P:$P,$P329,F_ProductBM!J:J),"")</f>
        <v/>
      </c>
      <c r="K329" s="859" t="str">
        <f>IF(SUMIF(F_ProductBM!$P:$P,$P329,F_ProductBM!K:K)&gt;0,SUMIF(F_ProductBM!$P:$P,$P329,F_ProductBM!K:K),"")</f>
        <v/>
      </c>
      <c r="L329" s="859" t="str">
        <f>IF(SUMIF(F_ProductBM!$P:$P,$P329,F_ProductBM!L:L)&gt;0,SUMIF(F_ProductBM!$P:$P,$P329,F_ProductBM!L:L),"")</f>
        <v/>
      </c>
      <c r="M329" s="859" t="str">
        <f>IF(SUMIF(F_ProductBM!$P:$P,$P329,F_ProductBM!M:M)&gt;0,SUMIF(F_ProductBM!$P:$P,$P329,F_ProductBM!M:M),"")</f>
        <v/>
      </c>
      <c r="N329" s="8"/>
      <c r="O329" s="8"/>
      <c r="P329" s="626" t="str">
        <f t="shared" si="20"/>
        <v>WasteGasFlare_</v>
      </c>
      <c r="S329" s="308"/>
    </row>
    <row r="330" spans="2:19" ht="12.75" customHeight="1" x14ac:dyDescent="0.25">
      <c r="B330" s="17"/>
      <c r="C330" s="17"/>
      <c r="D330" s="113" t="s">
        <v>223</v>
      </c>
      <c r="E330" s="1448" t="str">
        <f t="shared" si="18"/>
        <v/>
      </c>
      <c r="F330" s="1448"/>
      <c r="G330" s="1448"/>
      <c r="H330" s="833" t="str">
        <f t="shared" si="19"/>
        <v>TJ / year</v>
      </c>
      <c r="I330" s="859" t="str">
        <f>IF(SUMIF(F_ProductBM!$P:$P,$P330,F_ProductBM!I:I)&gt;0,SUMIF(F_ProductBM!$P:$P,$P330,F_ProductBM!I:I),"")</f>
        <v/>
      </c>
      <c r="J330" s="859" t="str">
        <f>IF(SUMIF(F_ProductBM!$P:$P,$P330,F_ProductBM!J:J)&gt;0,SUMIF(F_ProductBM!$P:$P,$P330,F_ProductBM!J:J),"")</f>
        <v/>
      </c>
      <c r="K330" s="859" t="str">
        <f>IF(SUMIF(F_ProductBM!$P:$P,$P330,F_ProductBM!K:K)&gt;0,SUMIF(F_ProductBM!$P:$P,$P330,F_ProductBM!K:K),"")</f>
        <v/>
      </c>
      <c r="L330" s="859" t="str">
        <f>IF(SUMIF(F_ProductBM!$P:$P,$P330,F_ProductBM!L:L)&gt;0,SUMIF(F_ProductBM!$P:$P,$P330,F_ProductBM!L:L),"")</f>
        <v/>
      </c>
      <c r="M330" s="859" t="str">
        <f>IF(SUMIF(F_ProductBM!$P:$P,$P330,F_ProductBM!M:M)&gt;0,SUMIF(F_ProductBM!$P:$P,$P330,F_ProductBM!M:M),"")</f>
        <v/>
      </c>
      <c r="N330" s="8"/>
      <c r="O330" s="8"/>
      <c r="P330" s="626" t="str">
        <f t="shared" si="20"/>
        <v>WasteGasFlare_</v>
      </c>
      <c r="S330" s="308"/>
    </row>
    <row r="331" spans="2:19" ht="12.75" customHeight="1" x14ac:dyDescent="0.25">
      <c r="B331" s="17"/>
      <c r="C331" s="17"/>
      <c r="D331" s="113" t="s">
        <v>224</v>
      </c>
      <c r="E331" s="1448" t="str">
        <f t="shared" si="18"/>
        <v/>
      </c>
      <c r="F331" s="1448"/>
      <c r="G331" s="1448"/>
      <c r="H331" s="833" t="str">
        <f t="shared" si="19"/>
        <v>TJ / year</v>
      </c>
      <c r="I331" s="859" t="str">
        <f>IF(SUMIF(F_ProductBM!$P:$P,$P331,F_ProductBM!I:I)&gt;0,SUMIF(F_ProductBM!$P:$P,$P331,F_ProductBM!I:I),"")</f>
        <v/>
      </c>
      <c r="J331" s="859" t="str">
        <f>IF(SUMIF(F_ProductBM!$P:$P,$P331,F_ProductBM!J:J)&gt;0,SUMIF(F_ProductBM!$P:$P,$P331,F_ProductBM!J:J),"")</f>
        <v/>
      </c>
      <c r="K331" s="859" t="str">
        <f>IF(SUMIF(F_ProductBM!$P:$P,$P331,F_ProductBM!K:K)&gt;0,SUMIF(F_ProductBM!$P:$P,$P331,F_ProductBM!K:K),"")</f>
        <v/>
      </c>
      <c r="L331" s="859" t="str">
        <f>IF(SUMIF(F_ProductBM!$P:$P,$P331,F_ProductBM!L:L)&gt;0,SUMIF(F_ProductBM!$P:$P,$P331,F_ProductBM!L:L),"")</f>
        <v/>
      </c>
      <c r="M331" s="859" t="str">
        <f>IF(SUMIF(F_ProductBM!$P:$P,$P331,F_ProductBM!M:M)&gt;0,SUMIF(F_ProductBM!$P:$P,$P331,F_ProductBM!M:M),"")</f>
        <v/>
      </c>
      <c r="N331" s="8"/>
      <c r="O331" s="8"/>
      <c r="P331" s="626" t="str">
        <f t="shared" si="20"/>
        <v>WasteGasFlare_</v>
      </c>
      <c r="S331" s="308"/>
    </row>
    <row r="332" spans="2:19" ht="12.75" customHeight="1" x14ac:dyDescent="0.25">
      <c r="B332" s="17"/>
      <c r="C332" s="17"/>
      <c r="D332" s="113" t="s">
        <v>345</v>
      </c>
      <c r="E332" s="1465" t="str">
        <f t="shared" si="18"/>
        <v/>
      </c>
      <c r="F332" s="1465"/>
      <c r="G332" s="1465"/>
      <c r="H332" s="835" t="str">
        <f t="shared" si="19"/>
        <v>TJ / year</v>
      </c>
      <c r="I332" s="861" t="str">
        <f>IF(SUMIF(F_ProductBM!$P:$P,$P332,F_ProductBM!I:I)&gt;0,SUMIF(F_ProductBM!$P:$P,$P332,F_ProductBM!I:I),"")</f>
        <v/>
      </c>
      <c r="J332" s="861" t="str">
        <f>IF(SUMIF(F_ProductBM!$P:$P,$P332,F_ProductBM!J:J)&gt;0,SUMIF(F_ProductBM!$P:$P,$P332,F_ProductBM!J:J),"")</f>
        <v/>
      </c>
      <c r="K332" s="861" t="str">
        <f>IF(SUMIF(F_ProductBM!$P:$P,$P332,F_ProductBM!K:K)&gt;0,SUMIF(F_ProductBM!$P:$P,$P332,F_ProductBM!K:K),"")</f>
        <v/>
      </c>
      <c r="L332" s="861" t="str">
        <f>IF(SUMIF(F_ProductBM!$P:$P,$P332,F_ProductBM!L:L)&gt;0,SUMIF(F_ProductBM!$P:$P,$P332,F_ProductBM!L:L),"")</f>
        <v/>
      </c>
      <c r="M332" s="861" t="str">
        <f>IF(SUMIF(F_ProductBM!$P:$P,$P332,F_ProductBM!M:M)&gt;0,SUMIF(F_ProductBM!$P:$P,$P332,F_ProductBM!M:M),"")</f>
        <v/>
      </c>
      <c r="N332" s="8"/>
      <c r="O332" s="8"/>
      <c r="P332" s="626" t="str">
        <f t="shared" si="20"/>
        <v>WasteGasFlare_</v>
      </c>
      <c r="S332" s="308"/>
    </row>
    <row r="333" spans="2:19" ht="25.5" customHeight="1" thickBot="1" x14ac:dyDescent="0.3">
      <c r="B333" s="17"/>
      <c r="C333" s="17"/>
      <c r="D333" s="113" t="s">
        <v>346</v>
      </c>
      <c r="E333" s="1464" t="str">
        <f>Translations!$B$640</f>
        <v>produced outside product BM sub-installations</v>
      </c>
      <c r="F333" s="1451"/>
      <c r="G333" s="1451"/>
      <c r="H333" s="41" t="str">
        <f>EUconst_TJpa</f>
        <v>TJ / year</v>
      </c>
      <c r="I333" s="865"/>
      <c r="J333" s="865"/>
      <c r="K333" s="865"/>
      <c r="L333" s="865"/>
      <c r="M333" s="865"/>
      <c r="N333" s="8"/>
      <c r="O333" s="8"/>
      <c r="S333" s="297" t="b">
        <f>S317</f>
        <v>0</v>
      </c>
    </row>
    <row r="334" spans="2:19" ht="12.75" customHeight="1" x14ac:dyDescent="0.25">
      <c r="B334" s="17"/>
      <c r="C334" s="17"/>
      <c r="D334" s="113" t="s">
        <v>347</v>
      </c>
      <c r="E334" s="1464" t="str">
        <f>Translations!$B$536</f>
        <v>Sub-total</v>
      </c>
      <c r="F334" s="1464"/>
      <c r="G334" s="1464"/>
      <c r="H334" s="217" t="str">
        <f>EUconst_TJpa</f>
        <v>TJ / year</v>
      </c>
      <c r="I334" s="818" t="str">
        <f>IF(COUNT(I323:I333)&gt;0,SUM(I323:I333),"")</f>
        <v/>
      </c>
      <c r="J334" s="818" t="str">
        <f>IF(COUNT(J323:J333)&gt;0,SUM(J323:J333),"")</f>
        <v/>
      </c>
      <c r="K334" s="818" t="str">
        <f>IF(COUNT(K323:K333)&gt;0,SUM(K323:K333),"")</f>
        <v/>
      </c>
      <c r="L334" s="818" t="str">
        <f>IF(COUNT(L323:L333)&gt;0,SUM(L323:L333),"")</f>
        <v/>
      </c>
      <c r="M334" s="818" t="str">
        <f>IF(COUNT(M323:M333)&gt;0,SUM(M323:M333),"")</f>
        <v/>
      </c>
      <c r="N334" s="8"/>
      <c r="O334" s="8"/>
    </row>
    <row r="335" spans="2:19" ht="5.0999999999999996" customHeight="1" x14ac:dyDescent="0.25">
      <c r="B335" s="8"/>
      <c r="C335" s="8"/>
      <c r="D335" s="8"/>
      <c r="E335" s="8"/>
      <c r="F335" s="8"/>
      <c r="G335" s="8"/>
      <c r="H335" s="8"/>
      <c r="I335" s="8"/>
      <c r="J335" s="8"/>
      <c r="K335" s="8"/>
      <c r="L335" s="8"/>
      <c r="M335" s="8"/>
      <c r="N335" s="8"/>
      <c r="O335" s="8"/>
      <c r="P335" s="190"/>
    </row>
    <row r="336" spans="2:19" ht="12.75" customHeight="1" x14ac:dyDescent="0.25">
      <c r="B336" s="8"/>
      <c r="C336" s="15"/>
      <c r="D336" s="15" t="s">
        <v>357</v>
      </c>
      <c r="E336" s="1447" t="str">
        <f>Translations!$B$641</f>
        <v>Plausibility check</v>
      </c>
      <c r="F336" s="1443"/>
      <c r="G336" s="1443"/>
      <c r="H336" s="1443"/>
      <c r="I336" s="1443"/>
      <c r="J336" s="1443"/>
      <c r="K336" s="1443"/>
      <c r="L336" s="1443"/>
      <c r="M336" s="1443"/>
      <c r="N336" s="1443"/>
      <c r="O336" s="8"/>
      <c r="P336" s="190"/>
    </row>
    <row r="337" spans="1:19" x14ac:dyDescent="0.25">
      <c r="B337" s="8"/>
      <c r="C337" s="17"/>
      <c r="D337" s="17"/>
      <c r="E337" s="1442" t="str">
        <f>Translations!$B$642</f>
        <v>This is to check completeness of the waste gas balance. If different from zero, please check for any inconsistencies in the values listed above.</v>
      </c>
      <c r="F337" s="1443"/>
      <c r="G337" s="1443"/>
      <c r="H337" s="1443"/>
      <c r="I337" s="1443"/>
      <c r="J337" s="1443"/>
      <c r="K337" s="1443"/>
      <c r="L337" s="1443"/>
      <c r="M337" s="1443"/>
      <c r="N337" s="1443"/>
      <c r="O337" s="8"/>
      <c r="P337" s="190"/>
    </row>
    <row r="338" spans="1:19" ht="12.75" customHeight="1" x14ac:dyDescent="0.25">
      <c r="B338" s="17"/>
      <c r="C338" s="17"/>
      <c r="D338" s="113" t="s">
        <v>206</v>
      </c>
      <c r="E338" s="1449" t="str">
        <f>Translations!$B$643</f>
        <v>Difference (calculated)</v>
      </c>
      <c r="F338" s="1454"/>
      <c r="G338" s="1454"/>
      <c r="H338" s="217" t="str">
        <f>EUconst_TJpa</f>
        <v>TJ / year</v>
      </c>
      <c r="I338" s="818" t="str">
        <f>IF(COUNT(I289)&gt;0,I289-SUM(I304,I314,I317,I334),"")</f>
        <v/>
      </c>
      <c r="J338" s="818" t="str">
        <f>IF(COUNT(J289)&gt;0,J289-SUM(J304,J314,J317,J334),"")</f>
        <v/>
      </c>
      <c r="K338" s="818" t="str">
        <f>IF(COUNT(K289)&gt;0,K289-SUM(K304,K314,K317,K334),"")</f>
        <v/>
      </c>
      <c r="L338" s="818" t="str">
        <f>IF(COUNT(L289)&gt;0,L289-SUM(L304,L314,L317,L334),"")</f>
        <v/>
      </c>
      <c r="M338" s="818" t="str">
        <f>IF(COUNT(M289)&gt;0,M289-SUM(M304,M314,M317,M334),"")</f>
        <v/>
      </c>
      <c r="N338" s="8"/>
      <c r="O338" s="8"/>
    </row>
    <row r="339" spans="1:19" ht="12.75" customHeight="1" x14ac:dyDescent="0.25">
      <c r="B339" s="17"/>
      <c r="C339" s="17"/>
      <c r="D339" s="113" t="s">
        <v>208</v>
      </c>
      <c r="E339" s="1449" t="str">
        <f>Translations!$B$644</f>
        <v>Difference (as fraction of f)</v>
      </c>
      <c r="F339" s="1454"/>
      <c r="G339" s="1454"/>
      <c r="H339" s="217" t="s">
        <v>354</v>
      </c>
      <c r="I339" s="304" t="str">
        <f>IF(I338="","",IF(I289=0,0,I338/I289*100))</f>
        <v/>
      </c>
      <c r="J339" s="304" t="str">
        <f>IF(J338="","",IF(J289=0,0,J338/J289*100))</f>
        <v/>
      </c>
      <c r="K339" s="304" t="str">
        <f>IF(K338="","",IF(K289=0,0,K338/K289*100))</f>
        <v/>
      </c>
      <c r="L339" s="304" t="str">
        <f>IF(L338="","",IF(L289=0,0,L338/L289*100))</f>
        <v/>
      </c>
      <c r="M339" s="304" t="str">
        <f>IF(M338="","",IF(M289=0,0,M338/M289*100))</f>
        <v/>
      </c>
      <c r="N339" s="8"/>
      <c r="O339" s="8"/>
    </row>
    <row r="340" spans="1:19" x14ac:dyDescent="0.25">
      <c r="B340" s="17"/>
      <c r="C340" s="17"/>
      <c r="D340" s="17"/>
      <c r="E340" s="17"/>
      <c r="F340" s="17"/>
      <c r="G340" s="17"/>
      <c r="H340" s="17"/>
      <c r="I340" s="17"/>
      <c r="J340" s="17"/>
      <c r="K340" s="17"/>
      <c r="L340" s="17"/>
      <c r="M340" s="17"/>
      <c r="N340" s="17"/>
      <c r="O340" s="8"/>
    </row>
    <row r="341" spans="1:19" ht="15.6" x14ac:dyDescent="0.3">
      <c r="B341" s="8"/>
      <c r="C341" s="13" t="s">
        <v>6</v>
      </c>
      <c r="D341" s="1461" t="str">
        <f>Translations!$B$487</f>
        <v>Electricity</v>
      </c>
      <c r="E341" s="1461"/>
      <c r="F341" s="1461"/>
      <c r="G341" s="1461"/>
      <c r="H341" s="1461"/>
      <c r="I341" s="1461"/>
      <c r="J341" s="1461"/>
      <c r="K341" s="1461"/>
      <c r="L341" s="1461"/>
      <c r="M341" s="1461"/>
      <c r="N341" s="1461"/>
      <c r="O341" s="8"/>
      <c r="P341" s="190"/>
    </row>
    <row r="342" spans="1:19" ht="5.0999999999999996" customHeight="1" x14ac:dyDescent="0.25">
      <c r="B342" s="8"/>
      <c r="C342" s="8"/>
      <c r="D342" s="8"/>
      <c r="E342" s="8"/>
      <c r="F342" s="8"/>
      <c r="G342" s="8"/>
      <c r="H342" s="8"/>
      <c r="I342" s="8"/>
      <c r="J342" s="8"/>
      <c r="K342" s="8"/>
      <c r="L342" s="8"/>
      <c r="M342" s="8"/>
      <c r="N342" s="8"/>
      <c r="O342" s="8"/>
      <c r="P342" s="190"/>
    </row>
    <row r="343" spans="1:19" ht="13.8" x14ac:dyDescent="0.25">
      <c r="B343" s="8"/>
      <c r="C343" s="19"/>
      <c r="D343" s="1462" t="str">
        <f>Translations!$B$645</f>
        <v>Complete balance of electricity at the installation</v>
      </c>
      <c r="E343" s="1443"/>
      <c r="F343" s="1443"/>
      <c r="G343" s="1443"/>
      <c r="H343" s="1443"/>
      <c r="I343" s="1443"/>
      <c r="J343" s="1443"/>
      <c r="K343" s="1443"/>
      <c r="L343" s="1443"/>
      <c r="M343" s="1443"/>
      <c r="N343" s="1443"/>
      <c r="O343" s="8"/>
      <c r="P343" s="190"/>
    </row>
    <row r="344" spans="1:19" ht="5.0999999999999996" customHeight="1" thickBot="1" x14ac:dyDescent="0.3">
      <c r="B344" s="8"/>
      <c r="C344" s="8"/>
      <c r="D344" s="8"/>
      <c r="E344" s="8"/>
      <c r="F344" s="8"/>
      <c r="G344" s="8"/>
      <c r="H344" s="8"/>
      <c r="I344" s="8"/>
      <c r="J344" s="8"/>
      <c r="K344" s="8"/>
      <c r="L344" s="8"/>
      <c r="M344" s="8"/>
      <c r="N344" s="8"/>
      <c r="O344" s="8"/>
      <c r="P344" s="190"/>
    </row>
    <row r="345" spans="1:19" ht="13.5" customHeight="1" thickBot="1" x14ac:dyDescent="0.3">
      <c r="A345" s="145"/>
      <c r="B345" s="17"/>
      <c r="C345" s="17"/>
      <c r="D345" s="15" t="s">
        <v>190</v>
      </c>
      <c r="E345" s="1208" t="str">
        <f>Translations!$B$646</f>
        <v>Does the installation produce electricity?</v>
      </c>
      <c r="F345" s="1208"/>
      <c r="G345" s="1208"/>
      <c r="H345" s="1208"/>
      <c r="I345" s="1208"/>
      <c r="J345" s="1208"/>
      <c r="K345" s="1208"/>
      <c r="L345" s="1433"/>
      <c r="M345" s="408"/>
      <c r="N345" s="276"/>
      <c r="O345" s="8"/>
      <c r="P345" s="250" t="s">
        <v>367</v>
      </c>
    </row>
    <row r="346" spans="1:19" ht="25.5" customHeight="1" x14ac:dyDescent="0.25">
      <c r="A346" s="145"/>
      <c r="B346" s="17"/>
      <c r="C346" s="17"/>
      <c r="D346" s="17"/>
      <c r="E346" s="1223" t="s">
        <v>368</v>
      </c>
      <c r="F346" s="1176"/>
      <c r="G346" s="1176"/>
      <c r="H346" s="1176"/>
      <c r="I346" s="1176"/>
      <c r="J346" s="1176"/>
      <c r="K346" s="1176"/>
      <c r="L346" s="1176"/>
      <c r="M346" s="1176"/>
      <c r="N346" s="1176"/>
      <c r="O346" s="8"/>
    </row>
    <row r="347" spans="1:19" ht="5.0999999999999996" customHeight="1" x14ac:dyDescent="0.25">
      <c r="A347" s="145"/>
      <c r="B347" s="8"/>
      <c r="C347" s="8"/>
      <c r="D347" s="17"/>
      <c r="E347" s="17"/>
      <c r="F347" s="17"/>
      <c r="G347" s="17"/>
      <c r="H347" s="17"/>
      <c r="I347" s="17"/>
      <c r="J347" s="17"/>
      <c r="K347" s="17"/>
      <c r="L347" s="17"/>
      <c r="M347" s="17"/>
      <c r="N347" s="17"/>
      <c r="O347" s="8"/>
      <c r="P347" s="190"/>
      <c r="R347" s="190"/>
      <c r="S347" s="190"/>
    </row>
    <row r="348" spans="1:19" x14ac:dyDescent="0.25">
      <c r="B348" s="8"/>
      <c r="C348" s="8"/>
      <c r="D348" s="15" t="s">
        <v>192</v>
      </c>
      <c r="E348" s="1447" t="str">
        <f>Translations!$B$648</f>
        <v>Total net amount of electricity produced in the installation</v>
      </c>
      <c r="F348" s="1443"/>
      <c r="G348" s="1443"/>
      <c r="H348" s="1443"/>
      <c r="I348" s="1443"/>
      <c r="J348" s="1443"/>
      <c r="K348" s="1443"/>
      <c r="L348" s="1443"/>
      <c r="M348" s="1443"/>
      <c r="N348" s="1443"/>
      <c r="O348" s="8"/>
      <c r="P348" s="190"/>
    </row>
    <row r="349" spans="1:19" x14ac:dyDescent="0.25">
      <c r="B349" s="8"/>
      <c r="C349" s="8"/>
      <c r="D349" s="17"/>
      <c r="E349" s="1442" t="str">
        <f>Translations!$B$649</f>
        <v>Other electricity production includes e.g. hydro, wind, solar power, from expansion turbines and other non-ETS processes.</v>
      </c>
      <c r="F349" s="1443"/>
      <c r="G349" s="1443"/>
      <c r="H349" s="1443"/>
      <c r="I349" s="1443"/>
      <c r="J349" s="1443"/>
      <c r="K349" s="1443"/>
      <c r="L349" s="1443"/>
      <c r="M349" s="1443"/>
      <c r="N349" s="1443"/>
      <c r="O349" s="8"/>
      <c r="P349" s="190"/>
    </row>
    <row r="350" spans="1:19" ht="13.8" thickBot="1" x14ac:dyDescent="0.3">
      <c r="B350" s="17"/>
      <c r="C350" s="17"/>
      <c r="D350" s="17"/>
      <c r="E350" s="22"/>
      <c r="F350" s="78"/>
      <c r="G350" s="78"/>
      <c r="H350" s="23" t="str">
        <f>EUconst_Unit</f>
        <v>Unit</v>
      </c>
      <c r="I350" s="128">
        <f>I$380</f>
        <v>2019</v>
      </c>
      <c r="J350" s="128">
        <f>J$380</f>
        <v>2020</v>
      </c>
      <c r="K350" s="128">
        <f>K$380</f>
        <v>2021</v>
      </c>
      <c r="L350" s="128">
        <f>L$380</f>
        <v>2022</v>
      </c>
      <c r="M350" s="128">
        <f>M$380</f>
        <v>2023</v>
      </c>
      <c r="N350" s="17"/>
      <c r="O350" s="8"/>
      <c r="S350" s="150" t="s">
        <v>369</v>
      </c>
    </row>
    <row r="351" spans="1:19" x14ac:dyDescent="0.25">
      <c r="B351" s="17"/>
      <c r="C351" s="17"/>
      <c r="D351" s="113" t="s">
        <v>206</v>
      </c>
      <c r="E351" s="1449" t="str">
        <f>Translations!$B$650</f>
        <v>Net electricity produced from fuels</v>
      </c>
      <c r="F351" s="1449"/>
      <c r="G351" s="1449"/>
      <c r="H351" s="43" t="str">
        <f>EUconst_MWhpa</f>
        <v>MWh / year</v>
      </c>
      <c r="I351" s="293"/>
      <c r="J351" s="293"/>
      <c r="K351" s="293"/>
      <c r="L351" s="293"/>
      <c r="M351" s="293"/>
      <c r="N351" s="17"/>
      <c r="O351" s="8"/>
      <c r="S351" s="284" t="str">
        <f>IF(ISBLANK(CNTR_ProdElec),"",NOT(CNTR_ProdElec))</f>
        <v/>
      </c>
    </row>
    <row r="352" spans="1:19" x14ac:dyDescent="0.25">
      <c r="B352" s="17"/>
      <c r="C352" s="17"/>
      <c r="D352" s="113" t="s">
        <v>208</v>
      </c>
      <c r="E352" s="1449" t="str">
        <f>Translations!$B$651</f>
        <v>Other electricity produced</v>
      </c>
      <c r="F352" s="1449"/>
      <c r="G352" s="1449"/>
      <c r="H352" s="43" t="str">
        <f>EUconst_MWhpa</f>
        <v>MWh / year</v>
      </c>
      <c r="I352" s="293"/>
      <c r="J352" s="293"/>
      <c r="K352" s="293"/>
      <c r="L352" s="293"/>
      <c r="M352" s="293"/>
      <c r="N352" s="17"/>
      <c r="O352" s="8"/>
      <c r="S352" s="636" t="str">
        <f>S351</f>
        <v/>
      </c>
    </row>
    <row r="353" spans="2:19" ht="5.0999999999999996" customHeight="1" x14ac:dyDescent="0.25">
      <c r="B353" s="8"/>
      <c r="C353" s="8"/>
      <c r="D353" s="113"/>
      <c r="E353" s="8"/>
      <c r="F353" s="8"/>
      <c r="G353" s="8"/>
      <c r="H353" s="8"/>
      <c r="I353" s="8"/>
      <c r="J353" s="8"/>
      <c r="K353" s="8"/>
      <c r="L353" s="8"/>
      <c r="M353" s="8"/>
      <c r="N353" s="8"/>
      <c r="O353" s="8"/>
      <c r="P353" s="190"/>
      <c r="S353" s="308"/>
    </row>
    <row r="354" spans="2:19" x14ac:dyDescent="0.25">
      <c r="B354" s="8"/>
      <c r="C354" s="8"/>
      <c r="D354" s="15" t="s">
        <v>195</v>
      </c>
      <c r="E354" s="1452" t="str">
        <f>Translations!$B$652</f>
        <v>Total electricity imported from the grid or from other installations</v>
      </c>
      <c r="F354" s="1451"/>
      <c r="G354" s="1451"/>
      <c r="H354" s="1451"/>
      <c r="I354" s="1451"/>
      <c r="J354" s="1451"/>
      <c r="K354" s="1451"/>
      <c r="L354" s="1451"/>
      <c r="M354" s="1451"/>
      <c r="N354" s="1443"/>
      <c r="O354" s="8"/>
      <c r="P354" s="190"/>
      <c r="S354" s="308"/>
    </row>
    <row r="355" spans="2:19" x14ac:dyDescent="0.25">
      <c r="B355" s="17"/>
      <c r="C355" s="17"/>
      <c r="D355" s="17"/>
      <c r="E355" s="1449" t="str">
        <f>Translations!$B$653</f>
        <v>Electricity imported</v>
      </c>
      <c r="F355" s="1449"/>
      <c r="G355" s="1449"/>
      <c r="H355" s="43" t="str">
        <f>EUconst_MWhpa</f>
        <v>MWh / year</v>
      </c>
      <c r="I355" s="293"/>
      <c r="J355" s="293"/>
      <c r="K355" s="293"/>
      <c r="L355" s="293"/>
      <c r="M355" s="293"/>
      <c r="N355" s="17"/>
      <c r="O355" s="8"/>
      <c r="S355" s="636" t="str">
        <f>S351</f>
        <v/>
      </c>
    </row>
    <row r="356" spans="2:19" ht="5.0999999999999996" customHeight="1" x14ac:dyDescent="0.25">
      <c r="B356" s="8"/>
      <c r="C356" s="8"/>
      <c r="D356" s="8"/>
      <c r="E356" s="8"/>
      <c r="F356" s="8"/>
      <c r="G356" s="8"/>
      <c r="H356" s="8"/>
      <c r="I356" s="8"/>
      <c r="J356" s="8"/>
      <c r="K356" s="8"/>
      <c r="L356" s="8"/>
      <c r="M356" s="8"/>
      <c r="N356" s="8"/>
      <c r="O356" s="8"/>
      <c r="P356" s="190"/>
      <c r="S356" s="308"/>
    </row>
    <row r="357" spans="2:19" x14ac:dyDescent="0.25">
      <c r="B357" s="8"/>
      <c r="C357" s="8"/>
      <c r="D357" s="15" t="s">
        <v>197</v>
      </c>
      <c r="E357" s="1452" t="str">
        <f>Translations!$B$654</f>
        <v>Total electricity exported to the grid or to other installations</v>
      </c>
      <c r="F357" s="1451"/>
      <c r="G357" s="1451"/>
      <c r="H357" s="1451"/>
      <c r="I357" s="1451"/>
      <c r="J357" s="1451"/>
      <c r="K357" s="1451"/>
      <c r="L357" s="1451"/>
      <c r="M357" s="1451"/>
      <c r="N357" s="1443"/>
      <c r="O357" s="8"/>
      <c r="P357" s="190"/>
      <c r="S357" s="308"/>
    </row>
    <row r="358" spans="2:19" x14ac:dyDescent="0.25">
      <c r="B358" s="17"/>
      <c r="C358" s="17"/>
      <c r="D358" s="17"/>
      <c r="E358" s="1449" t="str">
        <f>Translations!$B$655</f>
        <v>Electricity exported</v>
      </c>
      <c r="F358" s="1449"/>
      <c r="G358" s="1449"/>
      <c r="H358" s="43" t="str">
        <f>EUconst_MWhpa</f>
        <v>MWh / year</v>
      </c>
      <c r="I358" s="293"/>
      <c r="J358" s="293"/>
      <c r="K358" s="293"/>
      <c r="L358" s="293"/>
      <c r="M358" s="293"/>
      <c r="N358" s="17"/>
      <c r="O358" s="8"/>
      <c r="S358" s="636" t="str">
        <f>S351</f>
        <v/>
      </c>
    </row>
    <row r="359" spans="2:19" ht="5.0999999999999996" customHeight="1" x14ac:dyDescent="0.25">
      <c r="B359" s="8"/>
      <c r="C359" s="8"/>
      <c r="D359" s="8"/>
      <c r="E359" s="8"/>
      <c r="F359" s="8"/>
      <c r="G359" s="8"/>
      <c r="H359" s="8"/>
      <c r="I359" s="8"/>
      <c r="J359" s="8"/>
      <c r="K359" s="8"/>
      <c r="L359" s="8"/>
      <c r="M359" s="8"/>
      <c r="N359" s="8"/>
      <c r="O359" s="8"/>
      <c r="P359" s="190"/>
      <c r="S359" s="308"/>
    </row>
    <row r="360" spans="2:19" x14ac:dyDescent="0.25">
      <c r="B360" s="8"/>
      <c r="C360" s="8"/>
      <c r="D360" s="15" t="s">
        <v>202</v>
      </c>
      <c r="E360" s="1452" t="str">
        <f>Translations!$B$656</f>
        <v>Total electricity available for use in the installation (= b+c-d)</v>
      </c>
      <c r="F360" s="1451"/>
      <c r="G360" s="1451"/>
      <c r="H360" s="1451"/>
      <c r="I360" s="1451"/>
      <c r="J360" s="1451"/>
      <c r="K360" s="1451"/>
      <c r="L360" s="1451"/>
      <c r="M360" s="1451"/>
      <c r="N360" s="1443"/>
      <c r="O360" s="8"/>
      <c r="P360" s="190"/>
      <c r="S360" s="308"/>
    </row>
    <row r="361" spans="2:19" x14ac:dyDescent="0.25">
      <c r="B361" s="17"/>
      <c r="C361" s="17"/>
      <c r="D361" s="17"/>
      <c r="E361" s="1449" t="str">
        <f>Translations!$B$657</f>
        <v>Electricity useable</v>
      </c>
      <c r="F361" s="1449"/>
      <c r="G361" s="1449"/>
      <c r="H361" s="43" t="str">
        <f>EUconst_MWhpa</f>
        <v>MWh / year</v>
      </c>
      <c r="I361" s="818" t="str">
        <f>IF(COUNT(I351:I352,I355,I358)&gt;0,SUM(I351:I352,I355,-I358),"")</f>
        <v/>
      </c>
      <c r="J361" s="818" t="str">
        <f>IF(COUNT(J351:J352,J355,J358)&gt;0,SUM(J351:J352,J355,-J358),"")</f>
        <v/>
      </c>
      <c r="K361" s="818" t="str">
        <f>IF(COUNT(K351:K352,K355,K358)&gt;0,SUM(K351:K352,K355,-K358),"")</f>
        <v/>
      </c>
      <c r="L361" s="818" t="str">
        <f>IF(COUNT(L351:L352,L355,L358)&gt;0,SUM(L351:L352,L355,-L358),"")</f>
        <v/>
      </c>
      <c r="M361" s="818" t="str">
        <f>IF(COUNT(M351:M352,M355,M358)&gt;0,SUM(M351:M352,M355,-M358),"")</f>
        <v/>
      </c>
      <c r="N361" s="17"/>
      <c r="O361" s="8"/>
      <c r="S361" s="308"/>
    </row>
    <row r="362" spans="2:19" ht="5.0999999999999996" customHeight="1" x14ac:dyDescent="0.25">
      <c r="B362" s="8"/>
      <c r="C362" s="8"/>
      <c r="D362" s="8"/>
      <c r="E362" s="8"/>
      <c r="F362" s="8"/>
      <c r="G362" s="8"/>
      <c r="H362" s="8"/>
      <c r="I362" s="8"/>
      <c r="J362" s="8"/>
      <c r="K362" s="8"/>
      <c r="L362" s="8"/>
      <c r="M362" s="8"/>
      <c r="N362" s="8"/>
      <c r="O362" s="8"/>
      <c r="P362" s="190"/>
      <c r="S362" s="308"/>
    </row>
    <row r="363" spans="2:19" x14ac:dyDescent="0.25">
      <c r="B363" s="8"/>
      <c r="C363" s="8"/>
      <c r="D363" s="15" t="s">
        <v>199</v>
      </c>
      <c r="E363" s="1452" t="str">
        <f>Translations!$B$658</f>
        <v>Total electricity consumed in the installation</v>
      </c>
      <c r="F363" s="1451"/>
      <c r="G363" s="1451"/>
      <c r="H363" s="1451"/>
      <c r="I363" s="1451"/>
      <c r="J363" s="1451"/>
      <c r="K363" s="1451"/>
      <c r="L363" s="1451"/>
      <c r="M363" s="1451"/>
      <c r="N363" s="1443"/>
      <c r="O363" s="8"/>
      <c r="P363" s="190"/>
      <c r="S363" s="308"/>
    </row>
    <row r="364" spans="2:19" ht="13.8" thickBot="1" x14ac:dyDescent="0.3">
      <c r="B364" s="17"/>
      <c r="C364" s="17"/>
      <c r="D364" s="17"/>
      <c r="E364" s="1449" t="str">
        <f>Translations!$B$659</f>
        <v>Electricity consumed in the installation</v>
      </c>
      <c r="F364" s="1449"/>
      <c r="G364" s="1449"/>
      <c r="H364" s="43" t="str">
        <f>EUconst_MWhpa</f>
        <v>MWh / year</v>
      </c>
      <c r="I364" s="293"/>
      <c r="J364" s="293"/>
      <c r="K364" s="293"/>
      <c r="L364" s="293"/>
      <c r="M364" s="293"/>
      <c r="N364" s="17"/>
      <c r="O364" s="8"/>
      <c r="S364" s="297" t="str">
        <f>S351</f>
        <v/>
      </c>
    </row>
    <row r="365" spans="2:19" ht="5.0999999999999996" customHeight="1" x14ac:dyDescent="0.25">
      <c r="B365" s="8"/>
      <c r="C365" s="8"/>
      <c r="D365" s="8"/>
      <c r="E365" s="8"/>
      <c r="F365" s="8"/>
      <c r="G365" s="8"/>
      <c r="H365" s="8"/>
      <c r="I365" s="8"/>
      <c r="J365" s="8"/>
      <c r="K365" s="8"/>
      <c r="L365" s="8"/>
      <c r="M365" s="8"/>
      <c r="N365" s="17"/>
      <c r="O365" s="8"/>
      <c r="P365" s="190"/>
    </row>
    <row r="366" spans="2:19" x14ac:dyDescent="0.25">
      <c r="B366" s="8"/>
      <c r="C366" s="8"/>
      <c r="D366" s="15" t="s">
        <v>212</v>
      </c>
      <c r="E366" s="1452" t="str">
        <f>Translations!$B$660</f>
        <v>Plausibility check: Sum of electricity input in sheet "F_ProductBM" for exchangability of electricity</v>
      </c>
      <c r="F366" s="1451"/>
      <c r="G366" s="1451"/>
      <c r="H366" s="1451"/>
      <c r="I366" s="1451"/>
      <c r="J366" s="1451"/>
      <c r="K366" s="1451"/>
      <c r="L366" s="1451"/>
      <c r="M366" s="1451"/>
      <c r="N366" s="1443"/>
      <c r="O366" s="8"/>
      <c r="P366" s="190"/>
    </row>
    <row r="367" spans="2:19" x14ac:dyDescent="0.25">
      <c r="B367" s="17"/>
      <c r="C367" s="17"/>
      <c r="D367" s="113" t="s">
        <v>206</v>
      </c>
      <c r="E367" s="1449" t="str">
        <f>Translations!$B$661</f>
        <v>Electricity entered as exchangeable</v>
      </c>
      <c r="F367" s="1449"/>
      <c r="G367" s="1449"/>
      <c r="H367" s="43" t="str">
        <f>EUconst_MWhpa</f>
        <v>MWh / year</v>
      </c>
      <c r="I367" s="818" t="str">
        <f>F_ProductBM!I1895</f>
        <v/>
      </c>
      <c r="J367" s="818" t="str">
        <f>F_ProductBM!J1895</f>
        <v/>
      </c>
      <c r="K367" s="818" t="str">
        <f>F_ProductBM!K1895</f>
        <v/>
      </c>
      <c r="L367" s="818" t="str">
        <f>F_ProductBM!L1895</f>
        <v/>
      </c>
      <c r="M367" s="818" t="str">
        <f>F_ProductBM!M1895</f>
        <v/>
      </c>
      <c r="N367" s="17"/>
      <c r="O367" s="8"/>
    </row>
    <row r="368" spans="2:19" x14ac:dyDescent="0.25">
      <c r="B368" s="17"/>
      <c r="C368" s="17"/>
      <c r="D368" s="113" t="s">
        <v>208</v>
      </c>
      <c r="E368" s="1449" t="str">
        <f>Translations!$B$662</f>
        <v>Compare to (f)</v>
      </c>
      <c r="F368" s="1449"/>
      <c r="G368" s="1449"/>
      <c r="H368" s="43" t="s">
        <v>354</v>
      </c>
      <c r="I368" s="818" t="str">
        <f>IF(AND(COUNT(I364,I367)=2,I364&lt;&gt;0),I367/I364*100,"")</f>
        <v/>
      </c>
      <c r="J368" s="818" t="str">
        <f>IF(AND(COUNT(J364,J367)=2,J364&lt;&gt;0),J367/J364*100,"")</f>
        <v/>
      </c>
      <c r="K368" s="818" t="str">
        <f>IF(AND(COUNT(K364,K367)=2,K364&lt;&gt;0),K367/K364*100,"")</f>
        <v/>
      </c>
      <c r="L368" s="818" t="str">
        <f>IF(AND(COUNT(L364,L367)=2,L364&lt;&gt;0),L367/L364*100,"")</f>
        <v/>
      </c>
      <c r="M368" s="818" t="str">
        <f>IF(AND(COUNT(M364,M367)=2,M364&lt;&gt;0),M367/M364*100,"")</f>
        <v/>
      </c>
      <c r="N368" s="17"/>
      <c r="O368" s="8"/>
    </row>
    <row r="369" spans="1:19" ht="5.0999999999999996" customHeight="1" x14ac:dyDescent="0.25">
      <c r="B369" s="8"/>
      <c r="C369" s="8"/>
      <c r="D369" s="8"/>
      <c r="E369" s="8"/>
      <c r="F369" s="8"/>
      <c r="G369" s="8"/>
      <c r="H369" s="8"/>
      <c r="I369" s="8"/>
      <c r="J369" s="8"/>
      <c r="K369" s="8"/>
      <c r="L369" s="8"/>
      <c r="M369" s="8"/>
      <c r="N369" s="8"/>
      <c r="O369" s="8"/>
      <c r="P369" s="190"/>
    </row>
    <row r="370" spans="1:19" x14ac:dyDescent="0.25">
      <c r="B370" s="17"/>
      <c r="C370" s="17"/>
      <c r="D370" s="17"/>
      <c r="E370" s="17"/>
      <c r="F370" s="17"/>
      <c r="G370" s="17"/>
      <c r="H370" s="17"/>
      <c r="I370" s="17"/>
      <c r="J370" s="17"/>
      <c r="K370" s="17"/>
      <c r="L370" s="17"/>
      <c r="M370" s="17"/>
      <c r="N370" s="17"/>
      <c r="O370" s="8"/>
    </row>
    <row r="371" spans="1:19" x14ac:dyDescent="0.25">
      <c r="B371" s="17"/>
      <c r="C371" s="17"/>
      <c r="D371" s="1413" t="str">
        <f>Translations!$B$73</f>
        <v xml:space="preserve">&lt;&lt;&lt; Click here to proceed to next sheet &gt;&gt;&gt; </v>
      </c>
      <c r="E371" s="1413"/>
      <c r="F371" s="1413"/>
      <c r="G371" s="1413"/>
      <c r="H371" s="1413"/>
      <c r="I371" s="1413"/>
      <c r="J371" s="1413"/>
      <c r="K371" s="1413"/>
      <c r="L371" s="1413"/>
      <c r="M371" s="1413"/>
      <c r="N371" s="1413"/>
      <c r="O371" s="8"/>
    </row>
    <row r="372" spans="1:19" x14ac:dyDescent="0.25">
      <c r="B372" s="17"/>
      <c r="C372" s="17"/>
      <c r="D372" s="17"/>
      <c r="E372" s="17"/>
      <c r="F372" s="17"/>
      <c r="G372" s="17"/>
      <c r="H372" s="17"/>
      <c r="I372" s="17"/>
      <c r="J372" s="17"/>
      <c r="K372" s="17"/>
      <c r="L372" s="17"/>
      <c r="M372" s="17"/>
      <c r="N372" s="17"/>
      <c r="O372" s="8"/>
    </row>
    <row r="373" spans="1:19" hidden="1" x14ac:dyDescent="0.25">
      <c r="A373" s="150" t="s">
        <v>187</v>
      </c>
      <c r="B373" s="145" t="s">
        <v>287</v>
      </c>
      <c r="C373" s="145" t="s">
        <v>287</v>
      </c>
      <c r="D373" s="145" t="s">
        <v>287</v>
      </c>
      <c r="E373" s="145" t="s">
        <v>287</v>
      </c>
      <c r="F373" s="145" t="s">
        <v>287</v>
      </c>
      <c r="G373" s="145"/>
      <c r="H373" s="145" t="s">
        <v>287</v>
      </c>
      <c r="I373" s="145" t="s">
        <v>287</v>
      </c>
      <c r="J373" s="145" t="s">
        <v>287</v>
      </c>
      <c r="K373" s="145" t="s">
        <v>287</v>
      </c>
      <c r="L373" s="145" t="s">
        <v>287</v>
      </c>
      <c r="M373" s="145" t="s">
        <v>287</v>
      </c>
      <c r="N373" s="145" t="s">
        <v>287</v>
      </c>
      <c r="O373" s="145" t="s">
        <v>287</v>
      </c>
      <c r="P373" s="150" t="s">
        <v>287</v>
      </c>
      <c r="Q373" s="150" t="s">
        <v>287</v>
      </c>
      <c r="R373" s="150" t="s">
        <v>287</v>
      </c>
      <c r="S373" s="150" t="s">
        <v>287</v>
      </c>
    </row>
    <row r="374" spans="1:19" hidden="1" x14ac:dyDescent="0.25">
      <c r="A374" s="150" t="s">
        <v>187</v>
      </c>
    </row>
    <row r="375" spans="1:19" hidden="1" x14ac:dyDescent="0.25">
      <c r="A375" s="150" t="s">
        <v>187</v>
      </c>
      <c r="B375" s="145"/>
      <c r="C375" s="145"/>
      <c r="D375" s="28" t="s">
        <v>288</v>
      </c>
      <c r="E375" s="145"/>
      <c r="F375" s="145"/>
      <c r="G375" s="145"/>
      <c r="H375" s="145"/>
      <c r="I375" s="145"/>
      <c r="J375" s="145"/>
      <c r="K375" s="145"/>
      <c r="L375" s="145"/>
      <c r="M375" s="145"/>
      <c r="N375" s="145"/>
      <c r="O375" s="145"/>
    </row>
    <row r="376" spans="1:19" ht="13.8" hidden="1" thickBot="1" x14ac:dyDescent="0.3">
      <c r="A376" s="150" t="s">
        <v>187</v>
      </c>
    </row>
    <row r="377" spans="1:19" hidden="1" x14ac:dyDescent="0.25">
      <c r="A377" s="150" t="s">
        <v>187</v>
      </c>
      <c r="E377" s="55" t="s">
        <v>290</v>
      </c>
      <c r="F377" s="690"/>
      <c r="G377" s="690"/>
      <c r="H377" s="690"/>
      <c r="I377" s="690"/>
      <c r="J377" s="690"/>
      <c r="K377" s="690"/>
      <c r="L377" s="690"/>
      <c r="M377" s="690"/>
      <c r="N377" s="691"/>
    </row>
    <row r="378" spans="1:19" hidden="1" x14ac:dyDescent="0.25">
      <c r="A378" s="150" t="s">
        <v>187</v>
      </c>
      <c r="E378" s="49" t="s">
        <v>291</v>
      </c>
      <c r="F378" s="47"/>
      <c r="G378" s="47"/>
      <c r="H378" s="47"/>
      <c r="I378" s="48">
        <v>1</v>
      </c>
      <c r="J378" s="48">
        <v>2</v>
      </c>
      <c r="K378" s="48">
        <v>3</v>
      </c>
      <c r="L378" s="48">
        <v>4</v>
      </c>
      <c r="M378" s="48">
        <v>5</v>
      </c>
      <c r="N378" s="50"/>
    </row>
    <row r="379" spans="1:19" hidden="1" x14ac:dyDescent="0.25">
      <c r="A379" s="145" t="s">
        <v>187</v>
      </c>
      <c r="E379" s="49" t="s">
        <v>292</v>
      </c>
      <c r="F379" s="47"/>
      <c r="G379" s="47"/>
      <c r="H379" s="47"/>
      <c r="I379" s="48">
        <f>INDEX(EUconst_ReportingYears,I378)</f>
        <v>2014</v>
      </c>
      <c r="J379" s="48">
        <f>INDEX(EUconst_ReportingYears,J378)</f>
        <v>2015</v>
      </c>
      <c r="K379" s="48">
        <f>INDEX(EUconst_ReportingYears,K378)</f>
        <v>2016</v>
      </c>
      <c r="L379" s="48">
        <f>INDEX(EUconst_ReportingYears,L378)</f>
        <v>2017</v>
      </c>
      <c r="M379" s="48">
        <f>INDEX(EUconst_ReportingYears,M378)</f>
        <v>2018</v>
      </c>
      <c r="N379" s="50"/>
    </row>
    <row r="380" spans="1:19" hidden="1" x14ac:dyDescent="0.25">
      <c r="A380" s="145" t="s">
        <v>187</v>
      </c>
      <c r="E380" s="49" t="s">
        <v>293</v>
      </c>
      <c r="F380" s="47"/>
      <c r="G380" s="47"/>
      <c r="H380" s="47"/>
      <c r="I380" s="48">
        <f>IF(CNTR_BaselinePeriod=EUconst_NA,I379,INDEX(EUconst_ReportingYears,I378)+(CNTR_BaselinePeriod-1)*5)</f>
        <v>2019</v>
      </c>
      <c r="J380" s="48">
        <f>IF(CNTR_BaselinePeriod=EUconst_NA,J379,INDEX(EUconst_ReportingYears,J378)+(CNTR_BaselinePeriod-1)*5)</f>
        <v>2020</v>
      </c>
      <c r="K380" s="48">
        <f>IF(CNTR_BaselinePeriod=EUconst_NA,K379,INDEX(EUconst_ReportingYears,K378)+(CNTR_BaselinePeriod-1)*5)</f>
        <v>2021</v>
      </c>
      <c r="L380" s="48">
        <f>IF(CNTR_BaselinePeriod=EUconst_NA,L379,INDEX(EUconst_ReportingYears,L378)+(CNTR_BaselinePeriod-1)*5)</f>
        <v>2022</v>
      </c>
      <c r="M380" s="48">
        <f>IF(CNTR_BaselinePeriod=EUconst_NA,M379,INDEX(EUconst_ReportingYears,M378)+(CNTR_BaselinePeriod-1)*5)</f>
        <v>2023</v>
      </c>
      <c r="N380" s="50"/>
      <c r="O380" s="17"/>
    </row>
    <row r="381" spans="1:19" hidden="1" x14ac:dyDescent="0.25">
      <c r="A381" s="150" t="s">
        <v>187</v>
      </c>
      <c r="E381" s="49" t="s">
        <v>294</v>
      </c>
      <c r="F381" s="47"/>
      <c r="G381" s="47"/>
      <c r="H381" s="47"/>
      <c r="I381" s="48">
        <v>1</v>
      </c>
      <c r="J381" s="48">
        <v>1</v>
      </c>
      <c r="K381" s="48">
        <v>1</v>
      </c>
      <c r="L381" s="48">
        <v>1</v>
      </c>
      <c r="M381" s="48">
        <v>1</v>
      </c>
      <c r="N381" s="50"/>
    </row>
    <row r="382" spans="1:19" hidden="1" x14ac:dyDescent="0.25">
      <c r="A382" s="150" t="s">
        <v>187</v>
      </c>
      <c r="E382" s="49" t="s">
        <v>341</v>
      </c>
      <c r="F382" s="47"/>
      <c r="G382" s="47"/>
      <c r="H382" s="47"/>
      <c r="I382" s="47" t="b">
        <f>(I381=CNTR_BaselinePeriod)</f>
        <v>0</v>
      </c>
      <c r="J382" s="47" t="b">
        <f>(J381=CNTR_BaselinePeriod)</f>
        <v>0</v>
      </c>
      <c r="K382" s="47" t="b">
        <f>(K381=CNTR_BaselinePeriod)</f>
        <v>0</v>
      </c>
      <c r="L382" s="47" t="b">
        <f>(L381=CNTR_BaselinePeriod)</f>
        <v>0</v>
      </c>
      <c r="M382" s="47" t="b">
        <f>(M381=CNTR_BaselinePeriod)</f>
        <v>0</v>
      </c>
      <c r="N382" s="51"/>
    </row>
    <row r="383" spans="1:19" ht="13.8" hidden="1" thickBot="1" x14ac:dyDescent="0.3">
      <c r="A383" s="150" t="s">
        <v>187</v>
      </c>
      <c r="E383" s="52" t="s">
        <v>296</v>
      </c>
      <c r="F383" s="53"/>
      <c r="G383" s="53"/>
      <c r="H383" s="53"/>
      <c r="I383" s="53">
        <f>INDEX(CNTR_BaslineYearRelevant,I378)</f>
        <v>0</v>
      </c>
      <c r="J383" s="53">
        <f>INDEX(CNTR_BaslineYearRelevant,J378)</f>
        <v>0</v>
      </c>
      <c r="K383" s="53">
        <f>INDEX(CNTR_BaslineYearRelevant,K378)</f>
        <v>0</v>
      </c>
      <c r="L383" s="53">
        <f>INDEX(CNTR_BaslineYearRelevant,L378)</f>
        <v>0</v>
      </c>
      <c r="M383" s="53">
        <f>INDEX(CNTR_BaslineYearRelevant,M378)</f>
        <v>0</v>
      </c>
      <c r="N383" s="54"/>
    </row>
    <row r="384" spans="1:19" hidden="1" x14ac:dyDescent="0.25">
      <c r="A384" s="150" t="s">
        <v>187</v>
      </c>
    </row>
    <row r="385" spans="1:16" hidden="1" x14ac:dyDescent="0.25">
      <c r="A385" s="150" t="s">
        <v>187</v>
      </c>
    </row>
    <row r="386" spans="1:16" ht="13.8" hidden="1" thickBot="1" x14ac:dyDescent="0.3">
      <c r="A386" s="150" t="s">
        <v>187</v>
      </c>
      <c r="E386" s="220" t="s">
        <v>370</v>
      </c>
    </row>
    <row r="387" spans="1:16" hidden="1" x14ac:dyDescent="0.25">
      <c r="A387" s="150" t="s">
        <v>187</v>
      </c>
      <c r="D387" s="220">
        <v>1</v>
      </c>
      <c r="E387" s="206" t="str">
        <f>INDEX(EUconst_FallBackListNames,D387)</f>
        <v>Heat benchmark sub-installation, CL</v>
      </c>
      <c r="F387" s="207"/>
      <c r="G387" s="207"/>
      <c r="H387" s="60" t="str">
        <f>EUconst_TJpa</f>
        <v>TJ / year</v>
      </c>
      <c r="I387" s="208" t="str">
        <f t="shared" ref="I387:M389" si="21">IF(ISNUMBER(I227),INDEX(I$227:I$233,MATCH(EUconst_CNTR_HAL&amp;$E387,$P$227:$P$233,0)),"")</f>
        <v/>
      </c>
      <c r="J387" s="208" t="str">
        <f t="shared" si="21"/>
        <v/>
      </c>
      <c r="K387" s="208" t="str">
        <f t="shared" si="21"/>
        <v/>
      </c>
      <c r="L387" s="208" t="str">
        <f t="shared" si="21"/>
        <v/>
      </c>
      <c r="M387" s="209" t="str">
        <f t="shared" si="21"/>
        <v/>
      </c>
      <c r="P387" s="150" t="s">
        <v>371</v>
      </c>
    </row>
    <row r="388" spans="1:16" hidden="1" x14ac:dyDescent="0.25">
      <c r="A388" s="150" t="s">
        <v>187</v>
      </c>
      <c r="D388" s="220">
        <v>2</v>
      </c>
      <c r="E388" s="210" t="str">
        <f>INDEX(EUconst_FallBackListNames,D388)</f>
        <v>Heat benchmark sub-installation, non-CL</v>
      </c>
      <c r="F388" s="211"/>
      <c r="G388" s="211"/>
      <c r="H388" s="212" t="str">
        <f>EUconst_TJpa</f>
        <v>TJ / year</v>
      </c>
      <c r="I388" s="213" t="str">
        <f t="shared" si="21"/>
        <v/>
      </c>
      <c r="J388" s="213" t="str">
        <f t="shared" si="21"/>
        <v/>
      </c>
      <c r="K388" s="213" t="str">
        <f t="shared" si="21"/>
        <v/>
      </c>
      <c r="L388" s="213" t="str">
        <f t="shared" si="21"/>
        <v/>
      </c>
      <c r="M388" s="214" t="str">
        <f t="shared" si="21"/>
        <v/>
      </c>
    </row>
    <row r="389" spans="1:16" ht="13.8" hidden="1" thickBot="1" x14ac:dyDescent="0.3">
      <c r="A389" s="150" t="s">
        <v>187</v>
      </c>
      <c r="D389" s="220">
        <v>3</v>
      </c>
      <c r="E389" s="37" t="str">
        <f>INDEX(EUconst_FallBackListNames,D389)</f>
        <v>District heating sub-installation</v>
      </c>
      <c r="F389" s="36"/>
      <c r="G389" s="36"/>
      <c r="H389" s="61" t="str">
        <f>EUconst_TJpa</f>
        <v>TJ / year</v>
      </c>
      <c r="I389" s="33" t="str">
        <f t="shared" si="21"/>
        <v/>
      </c>
      <c r="J389" s="33" t="str">
        <f t="shared" si="21"/>
        <v/>
      </c>
      <c r="K389" s="33" t="str">
        <f t="shared" si="21"/>
        <v/>
      </c>
      <c r="L389" s="33" t="str">
        <f t="shared" si="21"/>
        <v/>
      </c>
      <c r="M389" s="32" t="str">
        <f t="shared" si="21"/>
        <v/>
      </c>
      <c r="P389" s="150" t="s">
        <v>372</v>
      </c>
    </row>
    <row r="390" spans="1:16" hidden="1" x14ac:dyDescent="0.25">
      <c r="A390" s="150" t="s">
        <v>187</v>
      </c>
    </row>
    <row r="391" spans="1:16" ht="13.8" hidden="1" thickBot="1" x14ac:dyDescent="0.3">
      <c r="A391" s="150" t="s">
        <v>187</v>
      </c>
      <c r="E391" s="220" t="s">
        <v>373</v>
      </c>
    </row>
    <row r="392" spans="1:16" hidden="1" x14ac:dyDescent="0.25">
      <c r="A392" s="150" t="s">
        <v>187</v>
      </c>
      <c r="D392" s="220">
        <v>4</v>
      </c>
      <c r="E392" s="39" t="str">
        <f>INDEX(EUconst_FallBackListNames,D392)</f>
        <v>Fuel benchmark sub-installation, CL</v>
      </c>
      <c r="F392" s="38"/>
      <c r="G392" s="38"/>
      <c r="H392" s="60" t="str">
        <f>EUconst_TJpa</f>
        <v>TJ / year</v>
      </c>
      <c r="I392" s="35" t="str">
        <f t="shared" ref="I392:M393" si="22">IF(ISNUMBER(I36),INDEX(I$36:I$47,MATCH(EUconst_CNTR_HAL&amp;$E392,$P$36:$P$47,0)),"")</f>
        <v/>
      </c>
      <c r="J392" s="35" t="str">
        <f t="shared" si="22"/>
        <v/>
      </c>
      <c r="K392" s="35" t="str">
        <f t="shared" si="22"/>
        <v/>
      </c>
      <c r="L392" s="35" t="str">
        <f t="shared" si="22"/>
        <v/>
      </c>
      <c r="M392" s="34" t="str">
        <f t="shared" si="22"/>
        <v/>
      </c>
      <c r="P392" s="150" t="s">
        <v>374</v>
      </c>
    </row>
    <row r="393" spans="1:16" ht="13.8" hidden="1" thickBot="1" x14ac:dyDescent="0.3">
      <c r="A393" s="150" t="s">
        <v>187</v>
      </c>
      <c r="D393" s="220">
        <v>5</v>
      </c>
      <c r="E393" s="37" t="str">
        <f>INDEX(EUconst_FallBackListNames,D393)</f>
        <v>Fuel benchmark sub-installation, non-CL</v>
      </c>
      <c r="F393" s="36"/>
      <c r="G393" s="36"/>
      <c r="H393" s="61" t="str">
        <f>EUconst_TJpa</f>
        <v>TJ / year</v>
      </c>
      <c r="I393" s="33" t="str">
        <f t="shared" si="22"/>
        <v/>
      </c>
      <c r="J393" s="33" t="str">
        <f t="shared" si="22"/>
        <v/>
      </c>
      <c r="K393" s="33" t="str">
        <f t="shared" si="22"/>
        <v/>
      </c>
      <c r="L393" s="33" t="str">
        <f t="shared" si="22"/>
        <v/>
      </c>
      <c r="M393" s="32" t="str">
        <f t="shared" si="22"/>
        <v/>
      </c>
      <c r="P393" s="150" t="s">
        <v>375</v>
      </c>
    </row>
    <row r="394" spans="1:16" hidden="1" x14ac:dyDescent="0.25">
      <c r="A394" s="150" t="s">
        <v>187</v>
      </c>
    </row>
    <row r="395" spans="1:16" ht="5.0999999999999996" hidden="1" customHeight="1" x14ac:dyDescent="0.25">
      <c r="A395" s="150" t="s">
        <v>187</v>
      </c>
      <c r="B395" s="45"/>
      <c r="C395" s="45"/>
      <c r="D395" s="45"/>
      <c r="E395" s="45"/>
      <c r="F395" s="45"/>
      <c r="G395" s="45"/>
      <c r="H395" s="45"/>
      <c r="I395" s="45"/>
      <c r="J395" s="45"/>
      <c r="K395" s="45"/>
      <c r="L395" s="45"/>
      <c r="M395" s="45"/>
      <c r="N395" s="45"/>
      <c r="O395" s="45"/>
      <c r="P395" s="190"/>
    </row>
    <row r="396" spans="1:16" ht="5.0999999999999996" hidden="1" customHeight="1" x14ac:dyDescent="0.25">
      <c r="A396" s="150" t="s">
        <v>187</v>
      </c>
      <c r="B396" s="45"/>
      <c r="C396" s="45"/>
      <c r="D396" s="45"/>
      <c r="E396" s="45"/>
      <c r="F396" s="45"/>
      <c r="G396" s="45"/>
      <c r="H396" s="45"/>
      <c r="I396" s="45"/>
      <c r="J396" s="45"/>
      <c r="K396" s="45"/>
      <c r="L396" s="45"/>
      <c r="M396" s="45"/>
      <c r="N396" s="45"/>
      <c r="O396" s="45"/>
      <c r="P396" s="190"/>
    </row>
    <row r="397" spans="1:16" hidden="1" x14ac:dyDescent="0.25">
      <c r="A397" s="150" t="s">
        <v>187</v>
      </c>
      <c r="E397" s="122" t="s">
        <v>376</v>
      </c>
    </row>
    <row r="398" spans="1:16" hidden="1" x14ac:dyDescent="0.25">
      <c r="A398" s="150" t="s">
        <v>187</v>
      </c>
      <c r="E398" s="220" t="s">
        <v>377</v>
      </c>
      <c r="I398" s="866">
        <f>I$380</f>
        <v>2019</v>
      </c>
      <c r="J398" s="866">
        <f>J$380</f>
        <v>2020</v>
      </c>
      <c r="K398" s="866">
        <f>K$380</f>
        <v>2021</v>
      </c>
      <c r="L398" s="866">
        <f>L$380</f>
        <v>2022</v>
      </c>
      <c r="M398" s="866">
        <f>M$380</f>
        <v>2023</v>
      </c>
    </row>
    <row r="399" spans="1:16" hidden="1" x14ac:dyDescent="0.25">
      <c r="A399" s="150" t="s">
        <v>187</v>
      </c>
      <c r="D399" s="220" t="s">
        <v>197</v>
      </c>
      <c r="E399" s="47" t="s">
        <v>378</v>
      </c>
      <c r="H399" s="48" t="str">
        <f>EUconst_TJpa</f>
        <v>TJ / year</v>
      </c>
      <c r="I399" s="47">
        <f>IF(ISNUMBER(I110),I110*(SUM(I116)/100),0)</f>
        <v>0</v>
      </c>
      <c r="J399" s="47">
        <f>IF(ISNUMBER(J110),J110*(SUM(J116)/100),0)</f>
        <v>0</v>
      </c>
      <c r="K399" s="47">
        <f>IF(ISNUMBER(K110),K110*(SUM(K116)/100),0)</f>
        <v>0</v>
      </c>
      <c r="L399" s="47">
        <f>IF(ISNUMBER(L110),L110*(SUM(L116)/100),0)</f>
        <v>0</v>
      </c>
      <c r="M399" s="47">
        <f>IF(ISNUMBER(M110),M110*(SUM(M116)/100),0)</f>
        <v>0</v>
      </c>
    </row>
    <row r="400" spans="1:16" hidden="1" x14ac:dyDescent="0.25">
      <c r="A400" s="150" t="s">
        <v>187</v>
      </c>
      <c r="E400" s="220" t="s">
        <v>379</v>
      </c>
      <c r="H400" s="48" t="str">
        <f>EUconst_TJpa</f>
        <v>TJ / year</v>
      </c>
      <c r="I400" s="47">
        <f>IF(ISNUMBER(I110),I110*(1-SUM(I116)/100),0)</f>
        <v>0</v>
      </c>
      <c r="J400" s="47">
        <f>IF(ISNUMBER(J110),J110*(1-SUM(J116)/100),0)</f>
        <v>0</v>
      </c>
      <c r="K400" s="47">
        <f>IF(ISNUMBER(K110),K110*(1-SUM(K116)/100),0)</f>
        <v>0</v>
      </c>
      <c r="L400" s="47">
        <f>IF(ISNUMBER(L110),L110*(1-SUM(L116)/100),0)</f>
        <v>0</v>
      </c>
      <c r="M400" s="47">
        <f>IF(ISNUMBER(M110),M110*(1-SUM(M116)/100),0)</f>
        <v>0</v>
      </c>
    </row>
    <row r="401" spans="1:13" hidden="1" x14ac:dyDescent="0.25">
      <c r="A401" s="150" t="s">
        <v>187</v>
      </c>
    </row>
    <row r="402" spans="1:13" hidden="1" x14ac:dyDescent="0.25">
      <c r="A402" s="150" t="s">
        <v>187</v>
      </c>
      <c r="D402" s="220" t="s">
        <v>199</v>
      </c>
      <c r="E402" s="220" t="s">
        <v>380</v>
      </c>
    </row>
    <row r="403" spans="1:13" hidden="1" x14ac:dyDescent="0.25">
      <c r="A403" s="150" t="s">
        <v>187</v>
      </c>
      <c r="E403" s="47" t="s">
        <v>381</v>
      </c>
      <c r="H403" s="48" t="str">
        <f>EUconst_TJpa</f>
        <v>TJ / year</v>
      </c>
      <c r="I403" s="47">
        <f>IF(ISNUMBER(I127),I127-I404,0)</f>
        <v>0</v>
      </c>
      <c r="J403" s="47">
        <f>IF(ISNUMBER(J127),J127-J404,0)</f>
        <v>0</v>
      </c>
      <c r="K403" s="47">
        <f>IF(ISNUMBER(K127),K127-K404,0)</f>
        <v>0</v>
      </c>
      <c r="L403" s="47">
        <f>IF(ISNUMBER(L127),L127-L404,0)</f>
        <v>0</v>
      </c>
      <c r="M403" s="47">
        <f>IF(ISNUMBER(M127),M127-M404,0)</f>
        <v>0</v>
      </c>
    </row>
    <row r="404" spans="1:13" hidden="1" x14ac:dyDescent="0.25">
      <c r="A404" s="150" t="s">
        <v>187</v>
      </c>
      <c r="E404" s="220" t="s">
        <v>379</v>
      </c>
      <c r="H404" s="48" t="str">
        <f>EUconst_TJpa</f>
        <v>TJ / year</v>
      </c>
      <c r="I404" s="47">
        <f>IF(ISNUMBER(I129),IF(I129&lt;I400,I129,I400),IF(ISNUMBER(I128),I128,0))</f>
        <v>0</v>
      </c>
      <c r="J404" s="47">
        <f>IF(ISNUMBER(J129),IF(J129&lt;J400,J129,J400),IF(ISNUMBER(J128),J128,0))</f>
        <v>0</v>
      </c>
      <c r="K404" s="47">
        <f>IF(ISNUMBER(K129),IF(K129&lt;K400,K129,K400),IF(ISNUMBER(K128),K128,0))</f>
        <v>0</v>
      </c>
      <c r="L404" s="47">
        <f>IF(ISNUMBER(L129),IF(L129&lt;L400,L129,L400),IF(ISNUMBER(L128),L128,0))</f>
        <v>0</v>
      </c>
      <c r="M404" s="47">
        <f>IF(ISNUMBER(M129),IF(M129&lt;M400,M129,M400),IF(ISNUMBER(M128),M128,0))</f>
        <v>0</v>
      </c>
    </row>
    <row r="405" spans="1:13" hidden="1" x14ac:dyDescent="0.25">
      <c r="A405" s="150" t="s">
        <v>187</v>
      </c>
      <c r="E405" s="220" t="s">
        <v>382</v>
      </c>
    </row>
    <row r="406" spans="1:13" hidden="1" x14ac:dyDescent="0.25">
      <c r="A406" s="150" t="s">
        <v>187</v>
      </c>
      <c r="E406" s="47" t="s">
        <v>381</v>
      </c>
      <c r="H406" s="48" t="str">
        <f>EUconst_TJpa</f>
        <v>TJ / year</v>
      </c>
      <c r="I406" s="47">
        <f>IF(I403&lt;I399,I399-I403-IF(I404&gt;I400,I404-I400,0),0)</f>
        <v>0</v>
      </c>
      <c r="J406" s="47">
        <f>IF(J403&lt;J399,J399-J403-IF(J404&gt;J400,J404-J400,0),0)</f>
        <v>0</v>
      </c>
      <c r="K406" s="47">
        <f>IF(K403&lt;K399,K399-K403-IF(K404&gt;K400,K404-K400,0),0)</f>
        <v>0</v>
      </c>
      <c r="L406" s="47">
        <f>IF(L403&lt;L399,L399-L403-IF(L404&gt;L400,L404-L400,0),0)</f>
        <v>0</v>
      </c>
      <c r="M406" s="47">
        <f>IF(M403&lt;M399,M399-M403-IF(M404&gt;M400,M404-M400,0),0)</f>
        <v>0</v>
      </c>
    </row>
    <row r="407" spans="1:13" hidden="1" x14ac:dyDescent="0.25">
      <c r="A407" s="150" t="s">
        <v>187</v>
      </c>
      <c r="E407" s="220" t="s">
        <v>379</v>
      </c>
      <c r="H407" s="48" t="str">
        <f>EUconst_TJpa</f>
        <v>TJ / year</v>
      </c>
      <c r="I407" s="47">
        <f>IF(I404&lt;I400,I400-I404-IF(I403&gt;I399,I403-I399,0),0)</f>
        <v>0</v>
      </c>
      <c r="J407" s="47">
        <f>IF(J404&lt;J400,J400-J404-IF(J403&gt;J399,J403-J399,0),0)</f>
        <v>0</v>
      </c>
      <c r="K407" s="47">
        <f>IF(K404&lt;K400,K400-K404-IF(K403&gt;K399,K403-K399,0),0)</f>
        <v>0</v>
      </c>
      <c r="L407" s="47">
        <f>IF(L404&lt;L400,L400-L404-IF(L403&gt;L399,L403-L399,0),0)</f>
        <v>0</v>
      </c>
      <c r="M407" s="47">
        <f>IF(M404&lt;M400,M400-M404-IF(M403&gt;M399,M403-M399,0),0)</f>
        <v>0</v>
      </c>
    </row>
    <row r="408" spans="1:13" hidden="1" x14ac:dyDescent="0.25">
      <c r="A408" s="150" t="s">
        <v>187</v>
      </c>
    </row>
    <row r="409" spans="1:13" hidden="1" x14ac:dyDescent="0.25">
      <c r="A409" s="150" t="s">
        <v>187</v>
      </c>
      <c r="D409" s="220" t="s">
        <v>212</v>
      </c>
      <c r="E409" s="220" t="s">
        <v>383</v>
      </c>
    </row>
    <row r="410" spans="1:13" hidden="1" x14ac:dyDescent="0.25">
      <c r="A410" s="150" t="s">
        <v>187</v>
      </c>
      <c r="E410" s="47" t="s">
        <v>381</v>
      </c>
      <c r="H410" s="48" t="str">
        <f>EUconst_TJpa</f>
        <v>TJ / year</v>
      </c>
      <c r="I410" s="47">
        <f>IF(ISNUMBER(I145),I145-I411,0)</f>
        <v>0</v>
      </c>
      <c r="J410" s="47">
        <f>IF(ISNUMBER(J145),J145-J411,0)</f>
        <v>0</v>
      </c>
      <c r="K410" s="47">
        <f>IF(ISNUMBER(K145),K145-K411,0)</f>
        <v>0</v>
      </c>
      <c r="L410" s="47">
        <f>IF(ISNUMBER(L145),L145-L411,0)</f>
        <v>0</v>
      </c>
      <c r="M410" s="47">
        <f>IF(ISNUMBER(M145),M145-M411,0)</f>
        <v>0</v>
      </c>
    </row>
    <row r="411" spans="1:13" hidden="1" x14ac:dyDescent="0.25">
      <c r="A411" s="150" t="s">
        <v>187</v>
      </c>
      <c r="E411" s="220" t="s">
        <v>379</v>
      </c>
      <c r="H411" s="48" t="str">
        <f>EUconst_TJpa</f>
        <v>TJ / year</v>
      </c>
      <c r="I411" s="47">
        <f>IF(ISNUMBER(I148),IF(I148&lt;I407,I148,I407),0)</f>
        <v>0</v>
      </c>
      <c r="J411" s="47">
        <f>IF(ISNUMBER(J148),IF(J148&lt;J407,J148,J407),0)</f>
        <v>0</v>
      </c>
      <c r="K411" s="47">
        <f>IF(ISNUMBER(K148),IF(K148&lt;K407,K148,K407),0)</f>
        <v>0</v>
      </c>
      <c r="L411" s="47">
        <f>IF(ISNUMBER(L148),IF(L148&lt;L407,L148,L407),0)</f>
        <v>0</v>
      </c>
      <c r="M411" s="47">
        <f>IF(ISNUMBER(M148),IF(M148&lt;M407,M148,M407),0)</f>
        <v>0</v>
      </c>
    </row>
    <row r="412" spans="1:13" hidden="1" x14ac:dyDescent="0.25">
      <c r="A412" s="150" t="s">
        <v>187</v>
      </c>
      <c r="E412" s="220" t="s">
        <v>384</v>
      </c>
    </row>
    <row r="413" spans="1:13" hidden="1" x14ac:dyDescent="0.25">
      <c r="A413" s="150" t="s">
        <v>187</v>
      </c>
      <c r="E413" s="47" t="s">
        <v>381</v>
      </c>
      <c r="H413" s="48" t="str">
        <f>EUconst_TJpa</f>
        <v>TJ / year</v>
      </c>
      <c r="I413" s="47">
        <f>IF(I410&lt;I406,I406-I410-IF(I411&gt;I407,I411-I407,0),0)</f>
        <v>0</v>
      </c>
      <c r="J413" s="47">
        <f>IF(J410&lt;J406,J406-J410-IF(J411&gt;J407,J411-J407,0),0)</f>
        <v>0</v>
      </c>
      <c r="K413" s="47">
        <f>IF(K410&lt;K406,K406-K410-IF(K411&gt;K407,K411-K407,0),0)</f>
        <v>0</v>
      </c>
      <c r="L413" s="47">
        <f>IF(L410&lt;L406,L406-L410-IF(L411&gt;L407,L411-L407,0),0)</f>
        <v>0</v>
      </c>
      <c r="M413" s="47">
        <f>IF(M410&lt;M406,M406-M410-IF(M411&gt;M407,M411-M407,0),0)</f>
        <v>0</v>
      </c>
    </row>
    <row r="414" spans="1:13" hidden="1" x14ac:dyDescent="0.25">
      <c r="A414" s="150" t="s">
        <v>187</v>
      </c>
      <c r="E414" s="220" t="s">
        <v>379</v>
      </c>
      <c r="H414" s="48" t="str">
        <f>EUconst_TJpa</f>
        <v>TJ / year</v>
      </c>
      <c r="I414" s="47">
        <f>IF(I411&lt;I407,I407-I411-IF(I410&gt;I406,I410-I406,0),0)</f>
        <v>0</v>
      </c>
      <c r="J414" s="47">
        <f>IF(J411&lt;J407,J407-J411-IF(J410&gt;J406,J410-J406,0),0)</f>
        <v>0</v>
      </c>
      <c r="K414" s="47">
        <f>IF(K411&lt;K407,K407-K411-IF(K410&gt;K406,K410-K406,0),0)</f>
        <v>0</v>
      </c>
      <c r="L414" s="47">
        <f>IF(L411&lt;L407,L407-L411-IF(L410&gt;L406,L410-L406,0),0)</f>
        <v>0</v>
      </c>
      <c r="M414" s="47">
        <f>IF(M411&lt;M407,M407-M411-IF(M410&gt;M406,M410-M406,0),0)</f>
        <v>0</v>
      </c>
    </row>
    <row r="415" spans="1:13" hidden="1" x14ac:dyDescent="0.25">
      <c r="A415" s="150" t="s">
        <v>187</v>
      </c>
    </row>
    <row r="416" spans="1:13" hidden="1" x14ac:dyDescent="0.25">
      <c r="A416" s="150" t="s">
        <v>187</v>
      </c>
      <c r="D416" s="220" t="s">
        <v>218</v>
      </c>
      <c r="E416" s="220" t="s">
        <v>385</v>
      </c>
    </row>
    <row r="417" spans="1:13" hidden="1" x14ac:dyDescent="0.25">
      <c r="A417" s="150" t="s">
        <v>187</v>
      </c>
      <c r="E417" s="47" t="s">
        <v>381</v>
      </c>
      <c r="H417" s="48" t="str">
        <f>EUconst_TJpa</f>
        <v>TJ / year</v>
      </c>
      <c r="I417" s="47">
        <f>IF(ISNUMBER(I169),I169,0)</f>
        <v>0</v>
      </c>
      <c r="J417" s="47">
        <f>IF(ISNUMBER(J169),J169,0)</f>
        <v>0</v>
      </c>
      <c r="K417" s="47">
        <f>IF(ISNUMBER(K169),K169,0)</f>
        <v>0</v>
      </c>
      <c r="L417" s="47">
        <f>IF(ISNUMBER(L169),L169,0)</f>
        <v>0</v>
      </c>
      <c r="M417" s="47">
        <f>IF(ISNUMBER(M169),M169,0)</f>
        <v>0</v>
      </c>
    </row>
    <row r="418" spans="1:13" hidden="1" x14ac:dyDescent="0.25">
      <c r="A418" s="150" t="s">
        <v>187</v>
      </c>
      <c r="E418" s="220" t="s">
        <v>379</v>
      </c>
      <c r="H418" s="48" t="str">
        <f>EUconst_TJpa</f>
        <v>TJ / year</v>
      </c>
      <c r="I418" s="47"/>
      <c r="J418" s="47"/>
      <c r="K418" s="47"/>
      <c r="L418" s="47"/>
      <c r="M418" s="47"/>
    </row>
    <row r="419" spans="1:13" ht="13.8" hidden="1" thickBot="1" x14ac:dyDescent="0.3">
      <c r="A419" s="150" t="s">
        <v>187</v>
      </c>
      <c r="E419" s="220" t="s">
        <v>386</v>
      </c>
    </row>
    <row r="420" spans="1:13" hidden="1" x14ac:dyDescent="0.25">
      <c r="A420" s="150" t="s">
        <v>187</v>
      </c>
      <c r="E420" s="867" t="s">
        <v>381</v>
      </c>
      <c r="F420" s="868"/>
      <c r="G420" s="868"/>
      <c r="H420" s="869" t="str">
        <f>EUconst_TJpa</f>
        <v>TJ / year</v>
      </c>
      <c r="I420" s="870">
        <f>IF(I417&lt;I413,I413-I417-IF(I418&gt;I414,I418-I414,0),0)</f>
        <v>0</v>
      </c>
      <c r="J420" s="870">
        <f>IF(J417&lt;J413,J413-J417-IF(J418&gt;J414,J418-J414,0),0)</f>
        <v>0</v>
      </c>
      <c r="K420" s="870">
        <f>IF(K417&lt;K413,K413-K417-IF(K418&gt;K414,K418-K414,0),0)</f>
        <v>0</v>
      </c>
      <c r="L420" s="870">
        <f>IF(L417&lt;L413,L413-L417-IF(L418&gt;L414,L418-L414,0),0)</f>
        <v>0</v>
      </c>
      <c r="M420" s="871">
        <f>IF(M417&lt;M413,M413-M417-IF(M418&gt;M414,M418-M414,0),0)</f>
        <v>0</v>
      </c>
    </row>
    <row r="421" spans="1:13" ht="13.8" hidden="1" thickBot="1" x14ac:dyDescent="0.3">
      <c r="A421" s="150" t="s">
        <v>187</v>
      </c>
      <c r="E421" s="872" t="s">
        <v>379</v>
      </c>
      <c r="F421" s="873"/>
      <c r="G421" s="873"/>
      <c r="H421" s="874" t="str">
        <f>EUconst_TJpa</f>
        <v>TJ / year</v>
      </c>
      <c r="I421" s="875">
        <f>IF(I418&lt;I414,I414-I418-IF(I417&gt;I413,I417-I413,0),0)</f>
        <v>0</v>
      </c>
      <c r="J421" s="875">
        <f>IF(J418&lt;J414,J414-J418-IF(J417&gt;J413,J417-J413,0),0)</f>
        <v>0</v>
      </c>
      <c r="K421" s="875">
        <f>IF(K418&lt;K414,K414-K418-IF(K417&gt;K413,K417-K413,0),0)</f>
        <v>0</v>
      </c>
      <c r="L421" s="875">
        <f>IF(L418&lt;L414,L414-L418-IF(L417&gt;L413,L417-L413,0),0)</f>
        <v>0</v>
      </c>
      <c r="M421" s="876">
        <f>IF(M418&lt;M414,M414-M418-IF(M417&gt;M413,M417-M413,0),0)</f>
        <v>0</v>
      </c>
    </row>
    <row r="422" spans="1:13" hidden="1" x14ac:dyDescent="0.25">
      <c r="A422" s="150" t="s">
        <v>187</v>
      </c>
    </row>
    <row r="423" spans="1:13" hidden="1" x14ac:dyDescent="0.25">
      <c r="A423" s="150" t="s">
        <v>187</v>
      </c>
    </row>
  </sheetData>
  <sheetProtection algorithmName="SHA-512" hashValue="N1efA+/MgRKkZwfEdOEzmTpL4uxpZboOIKSckEBolRPh1/ZQ8lp7ZbEBVLXi0Bdl/F6Z4Y35hMLr4hvNny5TpA==" saltValue="x8z7c9m069JqscWm0VboQA==" spinCount="100000" sheet="1" objects="1" scenarios="1" formatColumns="0" formatRows="0"/>
  <mergeCells count="302">
    <mergeCell ref="D53:N53"/>
    <mergeCell ref="E203:N203"/>
    <mergeCell ref="E139:G139"/>
    <mergeCell ref="E143:G143"/>
    <mergeCell ref="E144:G144"/>
    <mergeCell ref="E98:G98"/>
    <mergeCell ref="E102:G102"/>
    <mergeCell ref="E99:G99"/>
    <mergeCell ref="E219:N219"/>
    <mergeCell ref="E101:G101"/>
    <mergeCell ref="E104:N104"/>
    <mergeCell ref="E132:N132"/>
    <mergeCell ref="E131:N131"/>
    <mergeCell ref="E133:N133"/>
    <mergeCell ref="E124:N124"/>
    <mergeCell ref="E105:N105"/>
    <mergeCell ref="E107:G107"/>
    <mergeCell ref="E109:N109"/>
    <mergeCell ref="E112:N112"/>
    <mergeCell ref="E116:G116"/>
    <mergeCell ref="E118:N118"/>
    <mergeCell ref="E119:N119"/>
    <mergeCell ref="E120:N120"/>
    <mergeCell ref="E135:G135"/>
    <mergeCell ref="E110:G110"/>
    <mergeCell ref="E242:M242"/>
    <mergeCell ref="E49:G49"/>
    <mergeCell ref="E76:N76"/>
    <mergeCell ref="E80:N80"/>
    <mergeCell ref="E78:N78"/>
    <mergeCell ref="E212:N212"/>
    <mergeCell ref="E213:N213"/>
    <mergeCell ref="E217:H217"/>
    <mergeCell ref="E218:N218"/>
    <mergeCell ref="E215:G215"/>
    <mergeCell ref="E96:N96"/>
    <mergeCell ref="E193:G193"/>
    <mergeCell ref="E100:G100"/>
    <mergeCell ref="E165:G165"/>
    <mergeCell ref="E206:G206"/>
    <mergeCell ref="E208:N208"/>
    <mergeCell ref="E199:G199"/>
    <mergeCell ref="E209:G209"/>
    <mergeCell ref="E211:N211"/>
    <mergeCell ref="E201:N201"/>
    <mergeCell ref="E202:N202"/>
    <mergeCell ref="E205:G205"/>
    <mergeCell ref="E127:G127"/>
    <mergeCell ref="E180:G180"/>
    <mergeCell ref="E163:G163"/>
    <mergeCell ref="E293:G293"/>
    <mergeCell ref="E292:N292"/>
    <mergeCell ref="E248:G248"/>
    <mergeCell ref="E268:N268"/>
    <mergeCell ref="E195:G195"/>
    <mergeCell ref="E280:N280"/>
    <mergeCell ref="E281:N281"/>
    <mergeCell ref="E277:G277"/>
    <mergeCell ref="D238:N238"/>
    <mergeCell ref="D239:N239"/>
    <mergeCell ref="E249:G249"/>
    <mergeCell ref="E171:N171"/>
    <mergeCell ref="E251:G251"/>
    <mergeCell ref="E253:G253"/>
    <mergeCell ref="E254:G254"/>
    <mergeCell ref="E250:G250"/>
    <mergeCell ref="E241:L241"/>
    <mergeCell ref="E233:G233"/>
    <mergeCell ref="D235:N235"/>
    <mergeCell ref="E266:G266"/>
    <mergeCell ref="E271:N271"/>
    <mergeCell ref="E274:G274"/>
    <mergeCell ref="E36:G36"/>
    <mergeCell ref="E18:H18"/>
    <mergeCell ref="E34:G34"/>
    <mergeCell ref="E46:G46"/>
    <mergeCell ref="F24:N24"/>
    <mergeCell ref="E33:G33"/>
    <mergeCell ref="E35:G35"/>
    <mergeCell ref="E38:G38"/>
    <mergeCell ref="F25:N25"/>
    <mergeCell ref="E45:G45"/>
    <mergeCell ref="F27:N27"/>
    <mergeCell ref="E44:G44"/>
    <mergeCell ref="E142:G142"/>
    <mergeCell ref="E150:N150"/>
    <mergeCell ref="E137:G137"/>
    <mergeCell ref="E275:G275"/>
    <mergeCell ref="D69:N69"/>
    <mergeCell ref="E70:N70"/>
    <mergeCell ref="E184:G184"/>
    <mergeCell ref="E186:N186"/>
    <mergeCell ref="E190:N190"/>
    <mergeCell ref="E261:M261"/>
    <mergeCell ref="E269:G269"/>
    <mergeCell ref="E263:G263"/>
    <mergeCell ref="E264:G264"/>
    <mergeCell ref="E265:G265"/>
    <mergeCell ref="E228:G228"/>
    <mergeCell ref="E224:N224"/>
    <mergeCell ref="E226:G226"/>
    <mergeCell ref="E227:G227"/>
    <mergeCell ref="E229:G229"/>
    <mergeCell ref="E91:G91"/>
    <mergeCell ref="E196:G196"/>
    <mergeCell ref="E161:N161"/>
    <mergeCell ref="E197:G197"/>
    <mergeCell ref="E179:N179"/>
    <mergeCell ref="E303:G303"/>
    <mergeCell ref="E294:G294"/>
    <mergeCell ref="E295:G295"/>
    <mergeCell ref="E296:G296"/>
    <mergeCell ref="E282:G282"/>
    <mergeCell ref="E304:G304"/>
    <mergeCell ref="E327:G327"/>
    <mergeCell ref="E328:G328"/>
    <mergeCell ref="E329:G329"/>
    <mergeCell ref="E309:G309"/>
    <mergeCell ref="E320:N320"/>
    <mergeCell ref="E312:G312"/>
    <mergeCell ref="E310:G310"/>
    <mergeCell ref="E311:G311"/>
    <mergeCell ref="E321:N321"/>
    <mergeCell ref="E306:N306"/>
    <mergeCell ref="E307:N307"/>
    <mergeCell ref="E308:G308"/>
    <mergeCell ref="E319:N319"/>
    <mergeCell ref="E284:G284"/>
    <mergeCell ref="E302:G302"/>
    <mergeCell ref="E300:G300"/>
    <mergeCell ref="E301:G301"/>
    <mergeCell ref="E299:G299"/>
    <mergeCell ref="K4:L4"/>
    <mergeCell ref="E37:G37"/>
    <mergeCell ref="B2:D4"/>
    <mergeCell ref="E339:G339"/>
    <mergeCell ref="E313:G313"/>
    <mergeCell ref="E314:G314"/>
    <mergeCell ref="E316:N316"/>
    <mergeCell ref="E317:G317"/>
    <mergeCell ref="E331:G331"/>
    <mergeCell ref="E166:G166"/>
    <mergeCell ref="E164:G164"/>
    <mergeCell ref="E113:N113"/>
    <mergeCell ref="E114:N114"/>
    <mergeCell ref="E145:G145"/>
    <mergeCell ref="E151:N151"/>
    <mergeCell ref="E152:N152"/>
    <mergeCell ref="E121:N121"/>
    <mergeCell ref="E129:G129"/>
    <mergeCell ref="E138:G138"/>
    <mergeCell ref="E157:N157"/>
    <mergeCell ref="D6:N6"/>
    <mergeCell ref="E57:N57"/>
    <mergeCell ref="E59:L59"/>
    <mergeCell ref="E60:M60"/>
    <mergeCell ref="E86:N86"/>
    <mergeCell ref="E39:G39"/>
    <mergeCell ref="E41:N41"/>
    <mergeCell ref="E19:N19"/>
    <mergeCell ref="E20:N20"/>
    <mergeCell ref="E22:N22"/>
    <mergeCell ref="E29:N29"/>
    <mergeCell ref="E74:N74"/>
    <mergeCell ref="D62:N62"/>
    <mergeCell ref="D64:N64"/>
    <mergeCell ref="E75:N75"/>
    <mergeCell ref="D65:N65"/>
    <mergeCell ref="E68:N68"/>
    <mergeCell ref="E71:N71"/>
    <mergeCell ref="E72:N72"/>
    <mergeCell ref="E84:G84"/>
    <mergeCell ref="D66:N66"/>
    <mergeCell ref="E81:N81"/>
    <mergeCell ref="E47:G47"/>
    <mergeCell ref="E48:G48"/>
    <mergeCell ref="F26:N26"/>
    <mergeCell ref="E30:N30"/>
    <mergeCell ref="E28:M28"/>
    <mergeCell ref="E31:N31"/>
    <mergeCell ref="E4:F4"/>
    <mergeCell ref="G4:H4"/>
    <mergeCell ref="I4:J4"/>
    <mergeCell ref="G2:H2"/>
    <mergeCell ref="E82:N82"/>
    <mergeCell ref="M4:N4"/>
    <mergeCell ref="E43:G43"/>
    <mergeCell ref="I18:J18"/>
    <mergeCell ref="E23:N23"/>
    <mergeCell ref="E16:G16"/>
    <mergeCell ref="M2:N2"/>
    <mergeCell ref="E3:F3"/>
    <mergeCell ref="G3:H3"/>
    <mergeCell ref="I3:J3"/>
    <mergeCell ref="K3:L3"/>
    <mergeCell ref="I2:J2"/>
    <mergeCell ref="K2:L2"/>
    <mergeCell ref="M3:N3"/>
    <mergeCell ref="D51:N51"/>
    <mergeCell ref="E55:L55"/>
    <mergeCell ref="E56:N56"/>
    <mergeCell ref="D10:N10"/>
    <mergeCell ref="E13:N13"/>
    <mergeCell ref="D8:N8"/>
    <mergeCell ref="D371:N371"/>
    <mergeCell ref="E169:G169"/>
    <mergeCell ref="E67:N67"/>
    <mergeCell ref="E141:G141"/>
    <mergeCell ref="E73:N73"/>
    <mergeCell ref="E87:N87"/>
    <mergeCell ref="E123:N123"/>
    <mergeCell ref="E128:G128"/>
    <mergeCell ref="E125:N125"/>
    <mergeCell ref="E148:G148"/>
    <mergeCell ref="E194:G194"/>
    <mergeCell ref="E89:G89"/>
    <mergeCell ref="E93:G93"/>
    <mergeCell ref="E95:N95"/>
    <mergeCell ref="E90:G90"/>
    <mergeCell ref="E140:G140"/>
    <mergeCell ref="E92:G92"/>
    <mergeCell ref="E97:N97"/>
    <mergeCell ref="E272:N272"/>
    <mergeCell ref="E222:N222"/>
    <mergeCell ref="E223:N223"/>
    <mergeCell ref="E173:N173"/>
    <mergeCell ref="E155:G155"/>
    <mergeCell ref="E337:N337"/>
    <mergeCell ref="E338:G338"/>
    <mergeCell ref="E334:G334"/>
    <mergeCell ref="E330:G330"/>
    <mergeCell ref="E367:G367"/>
    <mergeCell ref="E368:G368"/>
    <mergeCell ref="E364:G364"/>
    <mergeCell ref="E366:N366"/>
    <mergeCell ref="E355:G355"/>
    <mergeCell ref="E357:N357"/>
    <mergeCell ref="E358:G358"/>
    <mergeCell ref="E360:N360"/>
    <mergeCell ref="E363:N363"/>
    <mergeCell ref="E361:G361"/>
    <mergeCell ref="E167:G167"/>
    <mergeCell ref="E198:G198"/>
    <mergeCell ref="E147:N147"/>
    <mergeCell ref="E176:G176"/>
    <mergeCell ref="E168:G168"/>
    <mergeCell ref="E183:N183"/>
    <mergeCell ref="E245:N245"/>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E324:G324"/>
    <mergeCell ref="E326:G326"/>
    <mergeCell ref="E298:G298"/>
    <mergeCell ref="E283:G283"/>
    <mergeCell ref="E289:G289"/>
    <mergeCell ref="E286:G286"/>
    <mergeCell ref="E288:N288"/>
    <mergeCell ref="E276:G276"/>
    <mergeCell ref="E285:G285"/>
    <mergeCell ref="E136:G136"/>
    <mergeCell ref="E162:N162"/>
    <mergeCell ref="E158:G158"/>
    <mergeCell ref="E160:N160"/>
    <mergeCell ref="E154:N154"/>
    <mergeCell ref="E255:G255"/>
    <mergeCell ref="E256:G256"/>
    <mergeCell ref="E257:G257"/>
    <mergeCell ref="E278:G278"/>
    <mergeCell ref="E191:N191"/>
    <mergeCell ref="E188:G188"/>
    <mergeCell ref="E178:N178"/>
    <mergeCell ref="E221:N221"/>
    <mergeCell ref="E230:G230"/>
    <mergeCell ref="E231:G231"/>
    <mergeCell ref="E247:G247"/>
    <mergeCell ref="E232:G232"/>
    <mergeCell ref="E181:G181"/>
    <mergeCell ref="E273:N273"/>
    <mergeCell ref="I217:J217"/>
    <mergeCell ref="D237:N237"/>
    <mergeCell ref="E252:G252"/>
    <mergeCell ref="E243:N243"/>
    <mergeCell ref="E291:N291"/>
    <mergeCell ref="E297:G297"/>
    <mergeCell ref="E258:G258"/>
    <mergeCell ref="E260:N260"/>
    <mergeCell ref="E246:N246"/>
    <mergeCell ref="E262:N262"/>
    <mergeCell ref="E187:N187"/>
  </mergeCells>
  <phoneticPr fontId="31" type="noConversion"/>
  <conditionalFormatting sqref="E275:G277 I275:M277 E283:G285 I283:M285 I317:M317 I333:M333">
    <cfRule type="expression" dxfId="240" priority="7" stopIfTrue="1">
      <formula>$S275</formula>
    </cfRule>
  </conditionalFormatting>
  <conditionalFormatting sqref="E28:M28">
    <cfRule type="expression" dxfId="239" priority="3" stopIfTrue="1">
      <formula>INDEX($AA:$AA,MATCH(MAX(INDIRECT(ADDRESS(1,3)&amp;":"&amp;ADDRESS(ROW(F28),3))),$C:$C,0))</formula>
    </cfRule>
  </conditionalFormatting>
  <conditionalFormatting sqref="I34:M34 I36:M37">
    <cfRule type="expression" dxfId="238" priority="4" stopIfTrue="1">
      <formula>$S34</formula>
    </cfRule>
  </conditionalFormatting>
  <conditionalFormatting sqref="I84:M84 E90:G92 I90:M92 E99:G101 I99:M101 I107:M107 I127:M127 I129:M129 I135:M144 E164:G168 I164:M168 I188:M188 E194:G198 I194:M198 I217 I227:M229">
    <cfRule type="expression" dxfId="237" priority="5" stopIfTrue="1">
      <formula>$S84</formula>
    </cfRule>
  </conditionalFormatting>
  <conditionalFormatting sqref="I128:M128">
    <cfRule type="expression" dxfId="236" priority="46" stopIfTrue="1">
      <formula>ISNUMBER(I129)</formula>
    </cfRule>
  </conditionalFormatting>
  <conditionalFormatting sqref="I351:M352 I355:M355 I358:M358 I364:M364">
    <cfRule type="expression" dxfId="235" priority="37" stopIfTrue="1">
      <formula>$S351</formula>
    </cfRule>
  </conditionalFormatting>
  <conditionalFormatting sqref="M59">
    <cfRule type="expression" dxfId="234" priority="356" stopIfTrue="1">
      <formula>$M$55</formula>
    </cfRule>
  </conditionalFormatting>
  <dataValidations count="4">
    <dataValidation type="list" allowBlank="1" showInputMessage="1" showErrorMessage="1" sqref="I217:J217 I18:J18" xr:uid="{77BD1AFB-226D-44B7-9758-FACBE32CB9D2}">
      <formula1>EUconst_AbsRel</formula1>
    </dataValidation>
    <dataValidation type="list" allowBlank="1" showInputMessage="1" showErrorMessage="1" sqref="E194:G198 E164:G168 E90:G92 E275:G277 E283:G285" xr:uid="{CDBC63FD-DFD2-468B-9583-A89330683B0D}">
      <formula1>CNTR_ConnectionEntityList</formula1>
    </dataValidation>
    <dataValidation type="list" allowBlank="1" showInputMessage="1" showErrorMessage="1" sqref="E99:G101" xr:uid="{04ABFEB9-B58D-44EE-A640-463EF3D6189C}">
      <formula1>CNTR_ConnectionListAndWithinInst</formula1>
    </dataValidation>
    <dataValidation type="list" allowBlank="1" showInputMessage="1" showErrorMessage="1" sqref="M345 M241 M59" xr:uid="{6A7ECA05-E02B-414A-B63E-EA2FA7142D3D}">
      <formula1>Euconst_TrueFalse</formula1>
    </dataValidation>
  </dataValidations>
  <hyperlinks>
    <hyperlink ref="G2:H2" location="JUMP_TOC_Home" display="Table of contents" xr:uid="{4EF685FE-363F-4B35-B5E1-31279F518FD9}"/>
    <hyperlink ref="M2:N2" location="JUMP_K_I" display="Summary" xr:uid="{B7FC09D3-65B8-4CB0-ABBB-03A14303854E}"/>
    <hyperlink ref="I2:J2" location="JUMP_D_Top" display="Previous sheet" xr:uid="{AD2EDFC0-7D6B-4D58-B589-104094582E76}"/>
    <hyperlink ref="E3:F3" location="JUMP_E_Top" display="Top of sheet" xr:uid="{2DB4D462-D2B8-4FD4-A399-AC17ABDC0635}"/>
    <hyperlink ref="D371:N371" location="JUMP_F_Top" display="&lt;&lt;&lt; Click here to proceed to next sheet &gt;&gt;&gt; " xr:uid="{B7079C7D-543C-45F9-BA6D-841B5AC1FFD1}"/>
    <hyperlink ref="E4:F4" location="JUMP_E_Bottom" display="End of sheet" xr:uid="{3D4A92DB-8C61-4904-9966-84AD1D85C4C0}"/>
    <hyperlink ref="K2:L2" location="JUMP_F_Top" display="Next sheet" xr:uid="{48BC54E3-DBE7-4C3E-90BA-4B71AEE4A462}"/>
    <hyperlink ref="G3:H3" location="JUMP_E_I" display="Attribution of Fuels" xr:uid="{A143D773-5E30-4B5C-A4F6-5D93459FE218}"/>
    <hyperlink ref="I3:J3" location="JUMP_E_II" display="Measurable heat (general)" xr:uid="{FE13F04E-D092-418D-853C-91CBA1D0E124}"/>
    <hyperlink ref="M3:N3" location="JUMP_E_III" display="Waste gases" xr:uid="{D2D15418-FEB4-43CA-A71B-6B1849F5322E}"/>
    <hyperlink ref="K3:L3" location="JUMP_E_HeatFinal" display="JUMP_E_HeatFinal" xr:uid="{573D03A2-B361-45A9-A93A-F15AB3123619}"/>
    <hyperlink ref="G4:H4" location="JUMP_E_IV" display="JUMP_E_IV" xr:uid="{3195097A-2586-49B2-BF78-23B80F735FDF}"/>
    <hyperlink ref="E261:M261" location="JUMP_D_IV" display="Information is taken from section D.IV. If relevant, you must ensure that you have entered complete data there." xr:uid="{FBF128B7-2922-403A-A706-6818F40F8041}"/>
    <hyperlink ref="E28:M28" location="JUMP_D_III" display="For attributing emissions from cogeneration (CHP) to production of heat and electricity, the &quot;CHP tool&quot; in section D.III. has to be used." xr:uid="{2B0B5886-2F14-4463-BE20-615F0313A668}"/>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F458-4BF8-49BC-AAE4-7145E5EA12DD}">
  <sheetPr codeName="Tabelle8">
    <tabColor indexed="48"/>
    <pageSetUpPr fitToPage="1"/>
  </sheetPr>
  <dimension ref="A1:AA1911"/>
  <sheetViews>
    <sheetView topLeftCell="B1" zoomScaleNormal="100" workbookViewId="0">
      <pane ySplit="5" topLeftCell="A6" activePane="bottomLeft" state="frozen"/>
      <selection activeCell="B2" sqref="B2"/>
      <selection pane="bottomLeft" activeCell="B6" sqref="B6"/>
    </sheetView>
  </sheetViews>
  <sheetFormatPr defaultColWidth="0" defaultRowHeight="13.2" zeroHeight="1" x14ac:dyDescent="0.25"/>
  <cols>
    <col min="1" max="1" width="5" style="145" hidden="1" customWidth="1"/>
    <col min="2" max="2" width="2.6640625" style="220" customWidth="1"/>
    <col min="3" max="4" width="4.6640625" style="220" customWidth="1"/>
    <col min="5" max="14" width="12.6640625" style="220" customWidth="1"/>
    <col min="15" max="15" width="13.109375" style="220" customWidth="1"/>
    <col min="16" max="16" width="12.6640625" style="145" hidden="1" customWidth="1"/>
    <col min="17" max="27" width="11.44140625" style="145" hidden="1" customWidth="1"/>
    <col min="28" max="16384" width="11.44140625" style="276" hidden="1"/>
  </cols>
  <sheetData>
    <row r="1" spans="1:27" ht="13.8" hidden="1" thickBot="1" x14ac:dyDescent="0.3">
      <c r="A1" s="145" t="s">
        <v>187</v>
      </c>
      <c r="B1" s="145"/>
      <c r="C1" s="145"/>
      <c r="D1" s="145"/>
      <c r="E1" s="145"/>
      <c r="F1" s="145"/>
      <c r="G1" s="145"/>
      <c r="H1" s="145"/>
      <c r="I1" s="145"/>
      <c r="J1" s="145"/>
      <c r="K1" s="145"/>
      <c r="L1" s="145"/>
      <c r="M1" s="145"/>
      <c r="N1" s="145"/>
      <c r="O1" s="145"/>
      <c r="P1" s="145" t="s">
        <v>187</v>
      </c>
      <c r="Q1" s="145" t="s">
        <v>187</v>
      </c>
      <c r="R1" s="145" t="s">
        <v>187</v>
      </c>
      <c r="S1" s="145" t="s">
        <v>187</v>
      </c>
      <c r="T1" s="145" t="s">
        <v>187</v>
      </c>
      <c r="U1" s="145" t="s">
        <v>187</v>
      </c>
      <c r="V1" s="145" t="s">
        <v>187</v>
      </c>
      <c r="W1" s="145" t="s">
        <v>187</v>
      </c>
      <c r="X1" s="145" t="s">
        <v>187</v>
      </c>
      <c r="Y1" s="145" t="s">
        <v>187</v>
      </c>
      <c r="Z1" s="145" t="s">
        <v>187</v>
      </c>
      <c r="AA1" s="145" t="s">
        <v>187</v>
      </c>
    </row>
    <row r="2" spans="1:27" ht="13.8" thickBot="1" x14ac:dyDescent="0.3">
      <c r="B2" s="1569" t="str">
        <f>Translations!$B$663</f>
        <v>F. 
Product BM</v>
      </c>
      <c r="C2" s="1184"/>
      <c r="D2" s="1570"/>
      <c r="E2" s="452" t="str">
        <f>Translations!$B$2</f>
        <v>Navigation area:</v>
      </c>
      <c r="F2" s="914"/>
      <c r="G2" s="1291" t="str">
        <f>Translations!$B$18</f>
        <v>Table of contents</v>
      </c>
      <c r="H2" s="1147"/>
      <c r="I2" s="1147" t="str">
        <f>Translations!$B$19</f>
        <v>Previous sheet</v>
      </c>
      <c r="J2" s="1147"/>
      <c r="K2" s="1147" t="str">
        <f>Translations!$B$3</f>
        <v>Next sheet</v>
      </c>
      <c r="L2" s="1147"/>
      <c r="M2" s="1147" t="str">
        <f>Translations!$B$4</f>
        <v>Summary</v>
      </c>
      <c r="N2" s="1147"/>
      <c r="O2" s="17"/>
      <c r="Q2" s="915" t="s">
        <v>387</v>
      </c>
      <c r="R2" s="458" t="str">
        <f>ADDRESS(ROW($B$6),COLUMN($B$6)) &amp; ":" &amp; ADDRESS(MATCH("PRINT",$P:$P,0),COLUMN($O$6))</f>
        <v>$B$6:$O$251</v>
      </c>
      <c r="Y2" s="442"/>
      <c r="Z2" s="442"/>
    </row>
    <row r="3" spans="1:27" ht="13.8" thickBot="1" x14ac:dyDescent="0.3">
      <c r="B3" s="1185"/>
      <c r="C3" s="1186"/>
      <c r="D3" s="1571"/>
      <c r="E3" s="1147" t="str">
        <f>Translations!$B$5</f>
        <v>Top of sheet</v>
      </c>
      <c r="F3" s="1276"/>
      <c r="G3" s="1584" t="str">
        <f>HYPERLINK("#JUMP_F"&amp;P3,IF(INDEX(CNTR_SubInstListIsProdBM,P3),"BM "&amp;P3&amp;": "&amp;INDEX(CNTR_SubInstListNames,P3),IF(CNTR_ExistSubInstEntries,"",EUconst_BM&amp;" "&amp;P3)))</f>
        <v>Benchmark 1</v>
      </c>
      <c r="H3" s="1581"/>
      <c r="I3" s="1581" t="str">
        <f>HYPERLINK("#JUMP_F"&amp;R3,IF(INDEX(CNTR_SubInstListIsProdBM,R3),"BM "&amp;R3&amp;": "&amp;INDEX(CNTR_SubInstListNames,R3),IF(CNTR_ExistSubInstEntries,"",EUconst_BM&amp;" "&amp;R3)))</f>
        <v>Benchmark 2</v>
      </c>
      <c r="J3" s="1581"/>
      <c r="K3" s="1581" t="str">
        <f>HYPERLINK("#JUMP_F"&amp;T3,IF(INDEX(CNTR_SubInstListIsProdBM,T3),"BM "&amp;T3&amp;": "&amp;INDEX(CNTR_SubInstListNames,T3),IF(CNTR_ExistSubInstEntries,"",EUconst_BM&amp;" "&amp;T3)))</f>
        <v>Benchmark 3</v>
      </c>
      <c r="L3" s="1581"/>
      <c r="M3" s="1581" t="str">
        <f>HYPERLINK("#JUMP_F"&amp;V3,IF(INDEX(CNTR_SubInstListIsProdBM,V3),"BM "&amp;V3&amp;": "&amp;INDEX(CNTR_SubInstListNames,V3),IF(CNTR_ExistSubInstEntries,"",EUconst_BM&amp;" "&amp;V3)))</f>
        <v>Benchmark 4</v>
      </c>
      <c r="N3" s="1581"/>
      <c r="O3" s="17"/>
      <c r="P3" s="1578">
        <v>1</v>
      </c>
      <c r="Q3" s="1579"/>
      <c r="R3" s="1577">
        <v>2</v>
      </c>
      <c r="S3" s="1577"/>
      <c r="T3" s="1577">
        <v>3</v>
      </c>
      <c r="U3" s="1577"/>
      <c r="V3" s="1577">
        <v>4</v>
      </c>
      <c r="W3" s="1577"/>
    </row>
    <row r="4" spans="1:27" ht="13.8" thickBot="1" x14ac:dyDescent="0.3">
      <c r="B4" s="1572"/>
      <c r="C4" s="1573"/>
      <c r="D4" s="1574"/>
      <c r="E4" s="1147" t="str">
        <f>Translations!$B$6</f>
        <v>End of sheet</v>
      </c>
      <c r="F4" s="1147"/>
      <c r="G4" s="1583" t="str">
        <f>HYPERLINK("#JUMP_F"&amp;P4,IF(INDEX(CNTR_SubInstListIsProdBM,P4),"BM "&amp;P4&amp;": "&amp;INDEX(CNTR_SubInstListNames,P4),IF(CNTR_ExistSubInstEntries,"",EUconst_BM&amp;" "&amp;P4)))</f>
        <v>Benchmark 5</v>
      </c>
      <c r="H4" s="1567"/>
      <c r="I4" s="1567" t="str">
        <f>HYPERLINK("#JUMP_F"&amp;R4,IF(INDEX(CNTR_SubInstListIsProdBM,R4),"BM "&amp;R4&amp;": "&amp;INDEX(CNTR_SubInstListNames,R4),IF(CNTR_ExistSubInstEntries,"",EUconst_BM&amp;" "&amp;R4)))</f>
        <v>Benchmark 6</v>
      </c>
      <c r="J4" s="1567"/>
      <c r="K4" s="1567" t="str">
        <f>HYPERLINK("#JUMP_F"&amp;T4,IF(INDEX(CNTR_SubInstListIsProdBM,T4),"BM "&amp;T4&amp;": "&amp;INDEX(CNTR_SubInstListNames,T4),IF(CNTR_ExistSubInstEntries,"",EUconst_BM&amp;" "&amp;T4)))</f>
        <v>Benchmark 7</v>
      </c>
      <c r="L4" s="1567"/>
      <c r="M4" s="1582" t="str">
        <f>HYPERLINK("#JUMP_F"&amp;V4,IF(INDEX(CNTR_SubInstListIsProdBM,V4),"BM "&amp;V4&amp;": "&amp;INDEX(CNTR_SubInstListNames,V4),IF(CNTR_ExistSubInstEntries,"",EUconst_BM&amp;" "&amp;V4)))</f>
        <v>Benchmark 8</v>
      </c>
      <c r="N4" s="1567"/>
      <c r="O4" s="17"/>
      <c r="P4" s="1576">
        <v>5</v>
      </c>
      <c r="Q4" s="1467"/>
      <c r="R4" s="1467">
        <v>6</v>
      </c>
      <c r="S4" s="1467"/>
      <c r="T4" s="1467">
        <v>7</v>
      </c>
      <c r="U4" s="1467"/>
      <c r="V4" s="1467">
        <v>8</v>
      </c>
      <c r="W4" s="1467"/>
    </row>
    <row r="5" spans="1:27" x14ac:dyDescent="0.25">
      <c r="B5" s="757"/>
      <c r="C5" s="757"/>
      <c r="D5" s="757"/>
      <c r="E5" s="599"/>
      <c r="F5" s="599"/>
      <c r="G5" s="1567" t="str">
        <f>HYPERLINK("#JUMP_F"&amp;P5,IF(INDEX(CNTR_SubInstListIsProdBM,P5),"BM "&amp;P5&amp;": "&amp;INDEX(CNTR_SubInstListNames,P5),IF(CNTR_ExistSubInstEntries,"",EUconst_BM&amp;" "&amp;P5)))</f>
        <v>Benchmark 9</v>
      </c>
      <c r="H5" s="1567"/>
      <c r="I5" s="1567" t="str">
        <f>HYPERLINK("#JUMP_F"&amp;R5,IF(INDEX(CNTR_SubInstListIsProdBM,R5),"BM "&amp;R5&amp;": "&amp;INDEX(CNTR_SubInstListNames,R5),IF(CNTR_ExistSubInstEntries,"",EUconst_BM&amp;" "&amp;R5)))</f>
        <v>Benchmark 10</v>
      </c>
      <c r="J5" s="1567"/>
      <c r="K5" s="1568"/>
      <c r="L5" s="1568"/>
      <c r="M5" s="1568"/>
      <c r="N5" s="1568"/>
      <c r="O5" s="17"/>
      <c r="P5" s="1467">
        <v>9</v>
      </c>
      <c r="Q5" s="1467"/>
      <c r="R5" s="1580">
        <v>10</v>
      </c>
      <c r="S5" s="1575"/>
      <c r="T5" s="1580"/>
      <c r="U5" s="1575"/>
      <c r="V5" s="1575"/>
      <c r="W5" s="1575"/>
    </row>
    <row r="6" spans="1:27" x14ac:dyDescent="0.25">
      <c r="B6" s="17"/>
      <c r="C6" s="453"/>
      <c r="D6" s="17"/>
      <c r="E6" s="17"/>
      <c r="F6" s="80"/>
      <c r="G6" s="80"/>
      <c r="H6" s="80"/>
      <c r="I6" s="17"/>
      <c r="J6" s="17"/>
      <c r="K6" s="17"/>
      <c r="L6" s="17"/>
      <c r="M6" s="17"/>
      <c r="N6" s="17"/>
      <c r="O6" s="17"/>
      <c r="Q6" s="916"/>
    </row>
    <row r="7" spans="1:27" ht="23.25" customHeight="1" x14ac:dyDescent="0.25">
      <c r="B7" s="17"/>
      <c r="C7" s="10" t="s">
        <v>9</v>
      </c>
      <c r="D7" s="1207" t="str">
        <f>Translations!$B$664</f>
        <v>Sheet "ProductBM" - SUB-INSTALLATION DATA RELATING TO PRODUCT BENCHMARKS</v>
      </c>
      <c r="E7" s="1176"/>
      <c r="F7" s="1176"/>
      <c r="G7" s="1176"/>
      <c r="H7" s="1176"/>
      <c r="I7" s="1176"/>
      <c r="J7" s="1176"/>
      <c r="K7" s="1176"/>
      <c r="L7" s="1176"/>
      <c r="M7" s="1176"/>
      <c r="N7" s="1176"/>
      <c r="O7" s="17"/>
    </row>
    <row r="8" spans="1:27" ht="5.0999999999999996" customHeight="1" x14ac:dyDescent="0.25">
      <c r="B8" s="17"/>
      <c r="C8" s="17"/>
      <c r="D8" s="17"/>
      <c r="E8" s="17"/>
      <c r="F8" s="17"/>
      <c r="G8" s="17"/>
      <c r="H8" s="17"/>
      <c r="I8" s="17"/>
      <c r="J8" s="17"/>
      <c r="K8" s="17"/>
      <c r="L8" s="17"/>
      <c r="M8" s="17"/>
      <c r="N8" s="17"/>
      <c r="O8" s="17"/>
      <c r="P8" s="442"/>
      <c r="Q8" s="442"/>
      <c r="R8" s="442"/>
      <c r="S8" s="442"/>
      <c r="T8" s="442"/>
      <c r="U8" s="442"/>
      <c r="V8" s="442"/>
      <c r="W8" s="442"/>
      <c r="X8" s="442"/>
      <c r="Y8" s="442"/>
      <c r="Z8" s="442"/>
      <c r="AA8" s="442"/>
    </row>
    <row r="9" spans="1:27" ht="15" customHeight="1" x14ac:dyDescent="0.25">
      <c r="B9" s="17"/>
      <c r="C9" s="17"/>
      <c r="D9" s="17"/>
      <c r="E9" s="1566" t="str">
        <f>Translations!$B$665</f>
        <v>The navigation bar above only contains links to the relevant sub-installations listed in section A.III.1.</v>
      </c>
      <c r="F9" s="1566"/>
      <c r="G9" s="1566"/>
      <c r="H9" s="1566"/>
      <c r="I9" s="1566"/>
      <c r="J9" s="1566"/>
      <c r="K9" s="1566"/>
      <c r="L9" s="1566"/>
      <c r="M9" s="1566"/>
      <c r="N9" s="17"/>
      <c r="O9" s="17"/>
      <c r="P9" s="11" t="s">
        <v>188</v>
      </c>
      <c r="Q9" s="11" t="s">
        <v>188</v>
      </c>
      <c r="R9" s="11" t="s">
        <v>188</v>
      </c>
      <c r="S9" s="11" t="s">
        <v>188</v>
      </c>
      <c r="T9" s="11" t="s">
        <v>188</v>
      </c>
      <c r="U9" s="11" t="s">
        <v>188</v>
      </c>
      <c r="V9" s="11" t="s">
        <v>188</v>
      </c>
      <c r="W9" s="11" t="s">
        <v>188</v>
      </c>
      <c r="X9" s="11" t="s">
        <v>188</v>
      </c>
      <c r="Y9" s="11" t="s">
        <v>188</v>
      </c>
      <c r="Z9" s="11" t="s">
        <v>188</v>
      </c>
      <c r="AA9" s="11" t="s">
        <v>188</v>
      </c>
    </row>
    <row r="10" spans="1:27" ht="13.8" thickBot="1" x14ac:dyDescent="0.3">
      <c r="B10" s="17"/>
      <c r="C10" s="17"/>
      <c r="D10" s="17"/>
      <c r="E10" s="17"/>
      <c r="F10" s="17"/>
      <c r="G10" s="17"/>
      <c r="H10" s="17"/>
      <c r="I10" s="17"/>
      <c r="J10" s="17"/>
      <c r="K10" s="17"/>
      <c r="L10" s="17"/>
      <c r="M10" s="17"/>
      <c r="N10" s="17"/>
      <c r="O10" s="17"/>
      <c r="P10" s="454" t="s">
        <v>189</v>
      </c>
      <c r="Q10" s="454" t="s">
        <v>189</v>
      </c>
      <c r="R10" s="454" t="s">
        <v>189</v>
      </c>
      <c r="S10" s="454" t="s">
        <v>189</v>
      </c>
      <c r="T10" s="454" t="s">
        <v>189</v>
      </c>
      <c r="U10" s="454" t="s">
        <v>189</v>
      </c>
      <c r="V10" s="454" t="s">
        <v>189</v>
      </c>
      <c r="W10" s="454" t="s">
        <v>189</v>
      </c>
      <c r="X10" s="454" t="s">
        <v>189</v>
      </c>
      <c r="Y10" s="454" t="s">
        <v>189</v>
      </c>
      <c r="Z10" s="454" t="s">
        <v>189</v>
      </c>
      <c r="AA10" s="454" t="s">
        <v>189</v>
      </c>
    </row>
    <row r="11" spans="1:27" ht="16.2" thickBot="1" x14ac:dyDescent="0.3">
      <c r="B11" s="17"/>
      <c r="C11" s="455" t="s">
        <v>3</v>
      </c>
      <c r="D11" s="1175" t="str">
        <f>Translations!$B$666</f>
        <v>Historic Activity levels and disaggregated production details</v>
      </c>
      <c r="E11" s="1175"/>
      <c r="F11" s="1175"/>
      <c r="G11" s="1175"/>
      <c r="H11" s="1175"/>
      <c r="I11" s="1175"/>
      <c r="J11" s="1175"/>
      <c r="K11" s="1175"/>
      <c r="L11" s="1175"/>
      <c r="M11" s="1175"/>
      <c r="N11" s="1175"/>
      <c r="O11" s="17"/>
      <c r="P11" s="215" t="s">
        <v>388</v>
      </c>
      <c r="Q11" s="917"/>
      <c r="R11" s="917"/>
      <c r="S11" s="917"/>
      <c r="T11" s="917"/>
      <c r="U11" s="917"/>
      <c r="V11" s="917"/>
      <c r="W11" s="917"/>
      <c r="X11" s="443" t="s">
        <v>389</v>
      </c>
      <c r="Y11" s="918"/>
      <c r="Z11" s="917"/>
      <c r="AA11" s="919"/>
    </row>
    <row r="12" spans="1:27" ht="5.0999999999999996" customHeight="1" thickBot="1" x14ac:dyDescent="0.3">
      <c r="B12" s="17"/>
      <c r="C12" s="17"/>
      <c r="D12" s="17"/>
      <c r="E12" s="17"/>
      <c r="F12" s="17"/>
      <c r="G12" s="17"/>
      <c r="H12" s="17"/>
      <c r="I12" s="17"/>
      <c r="J12" s="17"/>
      <c r="K12" s="17"/>
      <c r="L12" s="17"/>
      <c r="M12" s="17"/>
      <c r="N12" s="17"/>
      <c r="O12" s="17"/>
    </row>
    <row r="13" spans="1:27" ht="14.4" thickBot="1" x14ac:dyDescent="0.3">
      <c r="B13" s="17"/>
      <c r="C13" s="456">
        <v>1</v>
      </c>
      <c r="D13" s="1234" t="str">
        <f>EUconst_BMSubinst &amp; ":"</f>
        <v>Sub-installation with product benchmark:</v>
      </c>
      <c r="E13" s="1176"/>
      <c r="F13" s="1176"/>
      <c r="G13" s="1176"/>
      <c r="H13" s="1260"/>
      <c r="I13" s="1550" t="str">
        <f>IF(INDEX(CNTR_SubInstListIsProdBM,$C13),INDEX(CNTR_SubInstListNames,$C13),"")</f>
        <v/>
      </c>
      <c r="J13" s="1509"/>
      <c r="K13" s="1509"/>
      <c r="L13" s="1509"/>
      <c r="M13" s="1509"/>
      <c r="N13" s="1189"/>
      <c r="O13" s="17"/>
      <c r="P13" s="372">
        <f>C13</f>
        <v>1</v>
      </c>
      <c r="Q13" s="288" t="s">
        <v>296</v>
      </c>
      <c r="R13" s="457" t="str">
        <f>IF(I13="","",INDEX(CNTR_SubInstStartDate,MATCH($I13,CNTR_SubInstListNames,0)))</f>
        <v/>
      </c>
      <c r="S13" s="458" t="b">
        <f>IF($I13="",FALSE,AND(I$1885, IF($R13&lt;DATE($L$1882,1,1),YEAR($R13)&lt;=I$1882,YEAR($R13-1)&lt;I$1882) ) )</f>
        <v>0</v>
      </c>
      <c r="T13" s="458" t="b">
        <f>IF($I13="",FALSE,AND(J$1885, IF($R13&lt;DATE($L$1882,1,1),YEAR($R13)&lt;=J$1882,YEAR($R13-1)&lt;J$1882) ) )</f>
        <v>0</v>
      </c>
      <c r="U13" s="458" t="b">
        <f>IF($I13="",FALSE,AND(K$1885, IF($R13&lt;DATE($L$1882,1,1),YEAR($R13)&lt;=K$1882,YEAR($R13-1)&lt;K$1882) ) )</f>
        <v>0</v>
      </c>
      <c r="V13" s="458" t="b">
        <f>IF($I13="",FALSE,AND(L$1885, IF($R13&lt;DATE($L$1882,1,1),YEAR($R13)&lt;=L$1882,YEAR($R13-1)&lt;L$1882) ) )</f>
        <v>0</v>
      </c>
      <c r="W13" s="458" t="b">
        <f>IF($I13="",FALSE,AND(M$1885, IF($R13&lt;DATE($L$1882,1,1),YEAR($R13)&lt;=M$1882,YEAR($R13-1)&lt;M$1882) ) )</f>
        <v>0</v>
      </c>
      <c r="Z13" s="288" t="s">
        <v>390</v>
      </c>
      <c r="AA13" s="410" t="b">
        <f>AND(CNTR_ExistSubInstEntries,I13="")</f>
        <v>0</v>
      </c>
    </row>
    <row r="14" spans="1:27" x14ac:dyDescent="0.25">
      <c r="B14" s="17"/>
      <c r="C14" s="17"/>
      <c r="D14" s="17"/>
      <c r="E14" s="1223" t="str">
        <f>Translations!$B$512</f>
        <v>The name of the product benchmark sub-installation is displayed automatically based in the inputs in sheet "A_InstallationData".</v>
      </c>
      <c r="F14" s="1176"/>
      <c r="G14" s="1176"/>
      <c r="H14" s="1176"/>
      <c r="I14" s="1176"/>
      <c r="J14" s="1176"/>
      <c r="K14" s="1176"/>
      <c r="L14" s="1176"/>
      <c r="M14" s="1176"/>
      <c r="N14" s="1176"/>
      <c r="O14" s="17"/>
    </row>
    <row r="15" spans="1:27" x14ac:dyDescent="0.25">
      <c r="B15" s="17"/>
      <c r="C15" s="17"/>
      <c r="D15" s="17"/>
      <c r="E15" s="1585" t="str">
        <f>Translations!$B$667</f>
        <v>This sheet serves the following two purposes:</v>
      </c>
      <c r="F15" s="1586"/>
      <c r="G15" s="1586"/>
      <c r="H15" s="1586"/>
      <c r="I15" s="1586"/>
      <c r="J15" s="1586"/>
      <c r="K15" s="1586"/>
      <c r="L15" s="1586"/>
      <c r="M15" s="1586"/>
      <c r="N15" s="1586"/>
      <c r="O15" s="17"/>
    </row>
    <row r="16" spans="1:27" ht="12.75" customHeight="1" x14ac:dyDescent="0.25">
      <c r="B16" s="17"/>
      <c r="C16" s="17"/>
      <c r="D16" s="17"/>
      <c r="E16" s="878" t="s">
        <v>214</v>
      </c>
      <c r="F16" s="1585" t="str">
        <f>Translations!$B$668</f>
        <v>data needed to determine the amount of free allocation of product benchmark sub-installations;</v>
      </c>
      <c r="G16" s="1586"/>
      <c r="H16" s="1586"/>
      <c r="I16" s="1586"/>
      <c r="J16" s="1586"/>
      <c r="K16" s="1586"/>
      <c r="L16" s="1586"/>
      <c r="M16" s="1586"/>
      <c r="N16" s="1586"/>
      <c r="O16" s="17"/>
    </row>
    <row r="17" spans="2:27" ht="12.75" customHeight="1" x14ac:dyDescent="0.25">
      <c r="B17" s="17"/>
      <c r="C17" s="17"/>
      <c r="D17" s="17"/>
      <c r="E17" s="878" t="s">
        <v>214</v>
      </c>
      <c r="F17" s="1585" t="str">
        <f>Translations!$B$669</f>
        <v>data needed to determine improvement rates of product benchmark values.</v>
      </c>
      <c r="G17" s="1586"/>
      <c r="H17" s="1586"/>
      <c r="I17" s="1586"/>
      <c r="J17" s="1586"/>
      <c r="K17" s="1586"/>
      <c r="L17" s="1586"/>
      <c r="M17" s="1586"/>
      <c r="N17" s="1586"/>
      <c r="O17" s="17"/>
    </row>
    <row r="18" spans="2:27" ht="5.0999999999999996" customHeight="1" x14ac:dyDescent="0.25">
      <c r="B18" s="17"/>
      <c r="C18" s="17"/>
      <c r="D18" s="17"/>
      <c r="E18" s="17"/>
      <c r="F18" s="17"/>
      <c r="G18" s="17"/>
      <c r="H18" s="17"/>
      <c r="I18" s="17"/>
      <c r="J18" s="17"/>
      <c r="K18" s="17"/>
      <c r="L18" s="17"/>
      <c r="M18" s="17"/>
      <c r="N18" s="17"/>
      <c r="O18" s="17"/>
    </row>
    <row r="19" spans="2:27" x14ac:dyDescent="0.25">
      <c r="B19" s="17"/>
      <c r="C19" s="17"/>
      <c r="D19" s="15" t="s">
        <v>190</v>
      </c>
      <c r="E19" s="1165" t="str">
        <f>Translations!$B$670</f>
        <v>Historic activity levels</v>
      </c>
      <c r="F19" s="1176"/>
      <c r="G19" s="1176"/>
      <c r="H19" s="1176"/>
      <c r="I19" s="1176"/>
      <c r="J19" s="1176"/>
      <c r="K19" s="1176"/>
      <c r="L19" s="1176"/>
      <c r="M19" s="1176"/>
      <c r="N19" s="1176"/>
      <c r="O19" s="17"/>
    </row>
    <row r="20" spans="2:27" x14ac:dyDescent="0.25">
      <c r="B20" s="17"/>
      <c r="C20" s="17"/>
      <c r="D20" s="17"/>
      <c r="E20" s="1223" t="str">
        <f>Translations!$B$671</f>
        <v>Under this point the "main activity levels" should be reported, i.e. the data which is directly applicable for the calculation of the allocation.</v>
      </c>
      <c r="F20" s="1176"/>
      <c r="G20" s="1176"/>
      <c r="H20" s="1176"/>
      <c r="I20" s="1176"/>
      <c r="J20" s="1176"/>
      <c r="K20" s="1176"/>
      <c r="L20" s="1176"/>
      <c r="M20" s="1176"/>
      <c r="N20" s="1176"/>
      <c r="O20" s="17"/>
      <c r="Q20" s="145" t="b">
        <f ca="1">INDEX($AA:$AA,MATCH(MAX(INDIRECT(ADDRESS(1,3)&amp;":"&amp;ADDRESS(ROW(D14),3))),$C:$C,0))</f>
        <v>0</v>
      </c>
    </row>
    <row r="21" spans="2:27" x14ac:dyDescent="0.25">
      <c r="B21" s="17"/>
      <c r="C21" s="17"/>
      <c r="D21" s="17"/>
      <c r="E21" s="1223" t="s">
        <v>391</v>
      </c>
      <c r="F21" s="1176"/>
      <c r="G21" s="1176"/>
      <c r="H21" s="1176"/>
      <c r="I21" s="1176"/>
      <c r="J21" s="1176"/>
      <c r="K21" s="1176"/>
      <c r="L21" s="1176"/>
      <c r="M21" s="1176"/>
      <c r="N21" s="1176"/>
      <c r="O21" s="17"/>
    </row>
    <row r="22" spans="2:27" x14ac:dyDescent="0.25">
      <c r="B22" s="17"/>
      <c r="C22" s="17"/>
      <c r="D22" s="17"/>
      <c r="E22" s="1223" t="str">
        <f>Translations!$B$673</f>
        <v>However, if a message appears under point (b), the appropriate calculation tool has to be used, and its results are automatically copied into this table under (ii).</v>
      </c>
      <c r="F22" s="1176"/>
      <c r="G22" s="1176"/>
      <c r="H22" s="1176"/>
      <c r="I22" s="1176"/>
      <c r="J22" s="1176"/>
      <c r="K22" s="1176"/>
      <c r="L22" s="1176"/>
      <c r="M22" s="1176"/>
      <c r="N22" s="1176"/>
      <c r="O22" s="17"/>
    </row>
    <row r="23" spans="2:27" ht="25.5" customHeight="1" x14ac:dyDescent="0.25">
      <c r="B23" s="17"/>
      <c r="C23" s="17"/>
      <c r="D23" s="17"/>
      <c r="E23" s="1223" t="s">
        <v>392</v>
      </c>
      <c r="F23" s="1176"/>
      <c r="G23" s="1176"/>
      <c r="H23" s="1176"/>
      <c r="I23" s="1176"/>
      <c r="J23" s="1176"/>
      <c r="K23" s="1176"/>
      <c r="L23" s="1176"/>
      <c r="M23" s="1176"/>
      <c r="N23" s="1176"/>
      <c r="O23" s="17"/>
    </row>
    <row r="24" spans="2:27" ht="16.2" customHeight="1" thickBot="1" x14ac:dyDescent="0.3">
      <c r="B24" s="17"/>
      <c r="C24" s="17"/>
      <c r="D24" s="17"/>
      <c r="E24" s="1223" t="s">
        <v>393</v>
      </c>
      <c r="F24" s="1176"/>
      <c r="G24" s="1176"/>
      <c r="H24" s="1176"/>
      <c r="I24" s="1176"/>
      <c r="J24" s="1176"/>
      <c r="K24" s="1176"/>
      <c r="L24" s="1176"/>
      <c r="M24" s="1176"/>
      <c r="N24" s="1176"/>
      <c r="O24" s="17"/>
      <c r="Y24" s="145" t="s">
        <v>394</v>
      </c>
    </row>
    <row r="25" spans="2:27" ht="13.5" customHeight="1" thickBot="1" x14ac:dyDescent="0.3">
      <c r="B25" s="17"/>
      <c r="C25" s="17"/>
      <c r="D25" s="15"/>
      <c r="E25" s="1259" t="str">
        <f>Translations!$B$676</f>
        <v>Annual activity levels:</v>
      </c>
      <c r="F25" s="1259"/>
      <c r="G25" s="1259"/>
      <c r="H25" s="23" t="str">
        <f>EUconst_Unit</f>
        <v>Unit</v>
      </c>
      <c r="I25" s="128">
        <f>I$1882</f>
        <v>2019</v>
      </c>
      <c r="J25" s="128">
        <f>J$1882</f>
        <v>2020</v>
      </c>
      <c r="K25" s="128">
        <f>K$1882</f>
        <v>2021</v>
      </c>
      <c r="L25" s="128">
        <f>L$1882</f>
        <v>2022</v>
      </c>
      <c r="M25" s="144">
        <f>M$1882</f>
        <v>2023</v>
      </c>
      <c r="N25" s="376" t="str">
        <f>IF(I13="","",IF(S30,YEAR(R13)+1,""))</f>
        <v/>
      </c>
      <c r="O25" s="17"/>
      <c r="Q25" s="147" t="s">
        <v>395</v>
      </c>
      <c r="R25" s="920"/>
      <c r="S25" s="920"/>
      <c r="T25" s="920"/>
      <c r="U25" s="920"/>
      <c r="V25" s="920"/>
      <c r="W25" s="921"/>
      <c r="Y25" s="316" t="b">
        <f>IF(CNTR_ExistSubInstEntries,IF(I13&lt;&gt;"",NOT(S30),TRUE),FALSE)</f>
        <v>0</v>
      </c>
      <c r="AA25" s="145" t="s">
        <v>396</v>
      </c>
    </row>
    <row r="26" spans="2:27" ht="13.8" thickBot="1" x14ac:dyDescent="0.3">
      <c r="B26" s="17"/>
      <c r="C26" s="17"/>
      <c r="D26" s="113" t="s">
        <v>206</v>
      </c>
      <c r="E26" s="1560" t="str">
        <f>I13</f>
        <v/>
      </c>
      <c r="F26" s="1560"/>
      <c r="G26" s="1560"/>
      <c r="H26" s="820" t="str">
        <f>IF(INDEX(CNTR_SubInstListIsProdBM,$C13),INDEX(CNTR_SubInstListHALUnit,$C13),EUconst_Tons)</f>
        <v>tonnes</v>
      </c>
      <c r="I26" s="231"/>
      <c r="J26" s="231"/>
      <c r="K26" s="231"/>
      <c r="L26" s="231"/>
      <c r="M26" s="375"/>
      <c r="N26" s="922"/>
      <c r="O26" s="17"/>
      <c r="P26" s="392" t="s">
        <v>397</v>
      </c>
      <c r="Q26" s="581" t="s">
        <v>398</v>
      </c>
      <c r="R26" s="65" t="s">
        <v>399</v>
      </c>
      <c r="S26" s="808">
        <f>I25</f>
        <v>2019</v>
      </c>
      <c r="T26" s="809">
        <f>J25</f>
        <v>2020</v>
      </c>
      <c r="U26" s="809">
        <f>K25</f>
        <v>2021</v>
      </c>
      <c r="V26" s="809">
        <f>L25</f>
        <v>2022</v>
      </c>
      <c r="W26" s="810">
        <f>M25</f>
        <v>2023</v>
      </c>
      <c r="Y26" s="406" t="b">
        <f>IF(CNTR_ExistSubInstEntries,IF(AND(I13&lt;&gt;"",N27=""),NOT(S30),TRUE),FALSE)</f>
        <v>0</v>
      </c>
      <c r="AA26" s="316" t="b">
        <f>IF(CNTR_ExistSubInstEntries,AND(I13&lt;&gt;"",Q30),FALSE)</f>
        <v>0</v>
      </c>
    </row>
    <row r="27" spans="2:27" ht="13.8" thickBot="1" x14ac:dyDescent="0.3">
      <c r="B27" s="17"/>
      <c r="C27" s="17"/>
      <c r="D27" s="113" t="s">
        <v>208</v>
      </c>
      <c r="E27" s="1560" t="str">
        <f>Translations!$B$677</f>
        <v>From sheet "H_SpecialBM":</v>
      </c>
      <c r="F27" s="1560"/>
      <c r="G27" s="1560"/>
      <c r="H27" s="820" t="str">
        <f>H26</f>
        <v>tonnes</v>
      </c>
      <c r="I27" s="148" t="str">
        <f>IF($I13="","",IF($Q30,SUMIF(H_SpecialBM!$P$9:$P$384,$P27,H_SpecialBM!I$9:I$384),""))</f>
        <v/>
      </c>
      <c r="J27" s="148" t="str">
        <f>IF($I13="","",IF($Q30,SUMIF(H_SpecialBM!$P$9:$P$384,$P27,H_SpecialBM!J$9:J$384),""))</f>
        <v/>
      </c>
      <c r="K27" s="148" t="str">
        <f>IF($I13="","",IF($Q30,SUMIF(H_SpecialBM!$P$9:$P$384,$P27,H_SpecialBM!K$9:K$384),""))</f>
        <v/>
      </c>
      <c r="L27" s="148" t="str">
        <f>IF($I13="","",IF($Q30,SUMIF(H_SpecialBM!$P$9:$P$384,$P27,H_SpecialBM!L$9:L$384),""))</f>
        <v/>
      </c>
      <c r="M27" s="923" t="str">
        <f>IF($I13="","",IF($Q30,SUMIF(H_SpecialBM!$P$9:$P$384,$P27,H_SpecialBM!M$9:M$384),""))</f>
        <v/>
      </c>
      <c r="N27" s="924" t="str">
        <f>IF($I13="","",IF(AND($Q30,$S30),SUMIF(H_SpecialBM!$P$9:$P$384,$P27,H_SpecialBM!N$9:N$384),""))</f>
        <v/>
      </c>
      <c r="O27" s="17"/>
      <c r="P27" s="392" t="str">
        <f>EUconst_CNTR_HALspecial&amp;I13</f>
        <v>HALspecial_</v>
      </c>
      <c r="Q27" s="391" t="str">
        <f>IF(COUNT($U27:$V27)&gt;0,SUM($U27:$V27),"")</f>
        <v/>
      </c>
      <c r="R27" s="925" t="str">
        <f>IF(COUNT(S27:W27)&gt;0,AVERAGE(S27:W27),"")</f>
        <v/>
      </c>
      <c r="S27" s="385" t="str">
        <f>IF(S13,IF(ISNUMBER(I27),I27,""),"")</f>
        <v/>
      </c>
      <c r="T27" s="926" t="str">
        <f>IF(T13,IF(ISNUMBER(J27),J27,""),"")</f>
        <v/>
      </c>
      <c r="U27" s="926" t="str">
        <f>IF(U13,IF(ISNUMBER(K27),K27,""),"")</f>
        <v/>
      </c>
      <c r="V27" s="926" t="str">
        <f>IF(V13,IF(ISNUMBER(L27),L27,""),"")</f>
        <v/>
      </c>
      <c r="W27" s="925" t="str">
        <f>IF(W13,IF(ISNUMBER(M27),M27,""),"")</f>
        <v/>
      </c>
      <c r="Y27" s="406" t="b">
        <f>OR(Y25,AA27)</f>
        <v>0</v>
      </c>
      <c r="AA27" s="317" t="b">
        <f>Q30=FALSE</f>
        <v>0</v>
      </c>
    </row>
    <row r="28" spans="2:27" ht="13.8" thickBot="1" x14ac:dyDescent="0.3">
      <c r="B28" s="17"/>
      <c r="C28" s="17"/>
      <c r="D28" s="113" t="s">
        <v>209</v>
      </c>
      <c r="E28" s="1560" t="str">
        <f>Translations!$B$678</f>
        <v>Values used for calculation:</v>
      </c>
      <c r="F28" s="1560"/>
      <c r="G28" s="1560"/>
      <c r="H28" s="820" t="str">
        <f>H27</f>
        <v>tonnes</v>
      </c>
      <c r="I28" s="148" t="str">
        <f>IF($I13="","",IF($Q30=TRUE,IF(ISNUMBER(I27),I27,0),IF(ISNUMBER(I26),I26,0)))</f>
        <v/>
      </c>
      <c r="J28" s="148" t="str">
        <f>IF($I13="","",IF($Q30=TRUE,IF(ISNUMBER(J27),J27,0),IF(ISNUMBER(J26),J26,0)))</f>
        <v/>
      </c>
      <c r="K28" s="148" t="str">
        <f>IF($I13="","",IF($Q30=TRUE,IF(ISNUMBER(K27),K27,0),IF(ISNUMBER(K26),K26,0)))</f>
        <v/>
      </c>
      <c r="L28" s="148" t="str">
        <f>IF($I13="","",IF($Q30=TRUE,IF(ISNUMBER(L27),L27,0),IF(ISNUMBER(L26),L26,0)))</f>
        <v/>
      </c>
      <c r="M28" s="923" t="str">
        <f>IF($I13="","",IF($Q30=TRUE,IF(ISNUMBER(M27),M27,0),IF(ISNUMBER(M26),M26,0)))</f>
        <v/>
      </c>
      <c r="N28" s="924" t="str">
        <f>IF($I13="","",IF(S30,IF($Q30=TRUE,IF(ISNUMBER(N27),N27,0),IF(ISNUMBER(N26),N26,0)),""))</f>
        <v/>
      </c>
      <c r="O28" s="17"/>
      <c r="P28" s="392" t="str">
        <f>EUconst_CNTR_HAL&amp;I13</f>
        <v>HAL_</v>
      </c>
      <c r="Q28" s="286" t="str">
        <f>IF(COUNT($U28:$V28)&gt;0,SUM($U28:$V28),"")</f>
        <v/>
      </c>
      <c r="R28" s="390" t="str">
        <f>IF(COUNT(S28:W28)&gt;0,AVERAGE(S28:W28),"")</f>
        <v/>
      </c>
      <c r="S28" s="388" t="str">
        <f>IF(S13,IF(ISNUMBER(I28),I28,""),"")</f>
        <v/>
      </c>
      <c r="T28" s="389" t="str">
        <f>IF(T13,IF(ISNUMBER(J28),J28,""),"")</f>
        <v/>
      </c>
      <c r="U28" s="389" t="str">
        <f>IF(U13,IF(ISNUMBER(K28),K28,""),"")</f>
        <v/>
      </c>
      <c r="V28" s="389" t="str">
        <f>IF(V13,IF(ISNUMBER(L28),L28,""),"")</f>
        <v/>
      </c>
      <c r="W28" s="390" t="str">
        <f>IF(W13,IF(ISNUMBER(M28),M28,""),"")</f>
        <v/>
      </c>
      <c r="Y28" s="286" t="b">
        <f>Y25</f>
        <v>0</v>
      </c>
    </row>
    <row r="29" spans="2:27" ht="5.0999999999999996" customHeight="1" x14ac:dyDescent="0.25">
      <c r="B29" s="17"/>
      <c r="C29" s="17"/>
      <c r="D29" s="17"/>
      <c r="E29" s="17"/>
      <c r="F29" s="17"/>
      <c r="G29" s="17"/>
      <c r="H29" s="17"/>
      <c r="I29" s="17"/>
      <c r="J29" s="17"/>
      <c r="K29" s="17"/>
      <c r="L29" s="17"/>
      <c r="M29" s="17"/>
      <c r="N29" s="17"/>
      <c r="O29" s="17"/>
    </row>
    <row r="30" spans="2:27" x14ac:dyDescent="0.25">
      <c r="B30" s="17"/>
      <c r="C30" s="17"/>
      <c r="D30" s="15" t="s">
        <v>192</v>
      </c>
      <c r="E30" s="1165" t="str">
        <f>Translations!$B$679</f>
        <v>Special reporting requirements:</v>
      </c>
      <c r="F30" s="1165"/>
      <c r="G30" s="1425"/>
      <c r="H30" s="1561" t="str">
        <f>IF(I13="","",HYPERLINK(INDEX(EUconst_BMlistSpecialJumpTable,MATCH(I13,EUconst_BMlistNames,0)),INDEX(EUconst_BMlistSpecialReporting,MATCH(I13,EUconst_BMlistNames,0))))</f>
        <v/>
      </c>
      <c r="I30" s="1562"/>
      <c r="J30" s="1562"/>
      <c r="K30" s="1562"/>
      <c r="L30" s="1562"/>
      <c r="M30" s="1562"/>
      <c r="N30" s="1563"/>
      <c r="O30" s="17"/>
      <c r="P30" s="288" t="s">
        <v>400</v>
      </c>
      <c r="Q30" s="63" t="str">
        <f>IF(I13="","",IF(AND(INDEX(EUconst_BMlistSpecialJumpTable,MATCH(I13,EUconst_BMlistNames,0))&lt;&gt;"",MATCH(I13,EUconst_BMlistNames,0)&lt;&gt;47),TRUE,FALSE))</f>
        <v/>
      </c>
      <c r="R30" s="288" t="s">
        <v>304</v>
      </c>
      <c r="S30" s="63" t="b">
        <f>IF(I13="",FALSE,INDEX(CNTR_SubInstLess1Year,MATCH(I13,CNTR_SubInstListNames,0)))</f>
        <v>0</v>
      </c>
    </row>
    <row r="31" spans="2:27" x14ac:dyDescent="0.25">
      <c r="B31" s="17"/>
      <c r="C31" s="17"/>
      <c r="D31" s="17"/>
      <c r="E31" s="1223" t="str">
        <f>Translations!$B$680</f>
        <v>Some product benchmarks require special information to be reported (e.g. CWT values). If relevant, an automatically generated message will appear here.</v>
      </c>
      <c r="F31" s="1176"/>
      <c r="G31" s="1176"/>
      <c r="H31" s="1176"/>
      <c r="I31" s="1176"/>
      <c r="J31" s="1176"/>
      <c r="K31" s="1176"/>
      <c r="L31" s="1176"/>
      <c r="M31" s="1176"/>
      <c r="N31" s="1176"/>
      <c r="O31" s="17"/>
    </row>
    <row r="32" spans="2:27" ht="12.75" customHeight="1" x14ac:dyDescent="0.25">
      <c r="B32" s="17"/>
      <c r="C32" s="17"/>
      <c r="D32" s="17"/>
      <c r="E32" s="17"/>
      <c r="F32" s="17"/>
      <c r="G32" s="17"/>
      <c r="H32" s="17"/>
      <c r="I32" s="17"/>
      <c r="J32" s="17"/>
      <c r="K32" s="17"/>
      <c r="L32" s="17"/>
      <c r="M32" s="17"/>
      <c r="N32" s="17"/>
      <c r="O32" s="17"/>
    </row>
    <row r="33" spans="2:27" ht="15" customHeight="1" x14ac:dyDescent="0.25">
      <c r="B33" s="17"/>
      <c r="C33" s="17"/>
      <c r="D33" s="1234" t="str">
        <f>Translations!$B$681</f>
        <v>Further correction factors</v>
      </c>
      <c r="E33" s="1176"/>
      <c r="F33" s="1176"/>
      <c r="G33" s="1176"/>
      <c r="H33" s="1176"/>
      <c r="I33" s="1176"/>
      <c r="J33" s="1176"/>
      <c r="K33" s="1176"/>
      <c r="L33" s="1176"/>
      <c r="M33" s="1176"/>
      <c r="N33" s="1176"/>
      <c r="O33" s="17"/>
    </row>
    <row r="34" spans="2:27" ht="5.0999999999999996" customHeight="1" x14ac:dyDescent="0.25">
      <c r="B34" s="17"/>
      <c r="C34" s="17"/>
      <c r="D34" s="17"/>
      <c r="E34" s="17"/>
      <c r="F34" s="17"/>
      <c r="G34" s="17"/>
      <c r="H34" s="17"/>
      <c r="I34" s="17"/>
      <c r="J34" s="17"/>
      <c r="K34" s="17"/>
      <c r="L34" s="17"/>
      <c r="M34" s="17"/>
      <c r="N34" s="17"/>
      <c r="O34" s="17"/>
    </row>
    <row r="35" spans="2:27" x14ac:dyDescent="0.25">
      <c r="B35" s="17"/>
      <c r="C35" s="17"/>
      <c r="D35" s="15" t="s">
        <v>195</v>
      </c>
      <c r="E35" s="1165" t="str">
        <f>Translations!$B$682</f>
        <v>Exchangeability of fuel and electricity:</v>
      </c>
      <c r="F35" s="1176"/>
      <c r="G35" s="1176"/>
      <c r="H35" s="1176"/>
      <c r="I35" s="1260"/>
      <c r="J35" s="1561" t="str">
        <f>IF(I13="","",IF(INDEX(EUconst_BMlistElExchangability,MATCH(I13,EUconst_BMlistNames,0))=TRUE,"",HYPERLINK(Q35,EUconst_MsgGoOn)))</f>
        <v/>
      </c>
      <c r="K35" s="1564"/>
      <c r="L35" s="1564"/>
      <c r="M35" s="1564"/>
      <c r="N35" s="1205"/>
      <c r="O35" s="17"/>
      <c r="P35" s="145" t="s">
        <v>334</v>
      </c>
      <c r="Q35" s="372" t="str">
        <f>"#"&amp;ADDRESS(ROW(D46),COLUMN(D46))</f>
        <v>#$D$46</v>
      </c>
    </row>
    <row r="36" spans="2:27" x14ac:dyDescent="0.25">
      <c r="B36" s="17"/>
      <c r="C36" s="17"/>
      <c r="D36" s="17"/>
      <c r="E36" s="1223" t="str">
        <f>Translations!$B$683</f>
        <v>If relevant, an automatically generated message will appear here demanding the input needed for taking into account the exchangeability of fuels and electricity.</v>
      </c>
      <c r="F36" s="1176"/>
      <c r="G36" s="1176"/>
      <c r="H36" s="1176"/>
      <c r="I36" s="1176"/>
      <c r="J36" s="1176"/>
      <c r="K36" s="1176"/>
      <c r="L36" s="1176"/>
      <c r="M36" s="1176"/>
      <c r="N36" s="1176"/>
      <c r="O36" s="17"/>
    </row>
    <row r="37" spans="2:27" ht="12.75" customHeight="1" x14ac:dyDescent="0.25">
      <c r="B37" s="17"/>
      <c r="C37" s="17"/>
      <c r="D37" s="17"/>
      <c r="E37" s="1223" t="s">
        <v>401</v>
      </c>
      <c r="F37" s="1176"/>
      <c r="G37" s="1176"/>
      <c r="H37" s="1176"/>
      <c r="I37" s="1176"/>
      <c r="J37" s="1176"/>
      <c r="K37" s="1176"/>
      <c r="L37" s="1176"/>
      <c r="M37" s="1176"/>
      <c r="N37" s="1176"/>
      <c r="O37" s="17"/>
      <c r="Y37" s="145" t="s">
        <v>394</v>
      </c>
    </row>
    <row r="38" spans="2:27" ht="25.5" customHeight="1" thickBot="1" x14ac:dyDescent="0.3">
      <c r="B38" s="17"/>
      <c r="C38" s="17"/>
      <c r="D38" s="17"/>
      <c r="E38" s="1223" t="str">
        <f>Translations!$B$685</f>
        <v>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v>
      </c>
      <c r="F38" s="1176"/>
      <c r="G38" s="1176"/>
      <c r="H38" s="1176"/>
      <c r="I38" s="1176"/>
      <c r="J38" s="1176"/>
      <c r="K38" s="1176"/>
      <c r="L38" s="1176"/>
      <c r="M38" s="1176"/>
      <c r="N38" s="1176"/>
      <c r="O38" s="17"/>
    </row>
    <row r="39" spans="2:27" ht="13.8" thickBot="1" x14ac:dyDescent="0.3">
      <c r="B39" s="17"/>
      <c r="C39" s="17"/>
      <c r="D39" s="15"/>
      <c r="E39" s="1259" t="str">
        <f>Translations!$B$686</f>
        <v>Parameter</v>
      </c>
      <c r="F39" s="1212"/>
      <c r="G39" s="1212"/>
      <c r="H39" s="23" t="str">
        <f>EUconst_Unit</f>
        <v>Unit</v>
      </c>
      <c r="I39" s="128">
        <f>I$66</f>
        <v>2019</v>
      </c>
      <c r="J39" s="128">
        <f>J$66</f>
        <v>2020</v>
      </c>
      <c r="K39" s="128">
        <f>K$66</f>
        <v>2021</v>
      </c>
      <c r="L39" s="128">
        <f>L$66</f>
        <v>2022</v>
      </c>
      <c r="M39" s="144">
        <f>M$66</f>
        <v>2023</v>
      </c>
      <c r="N39" s="376" t="str">
        <f>IF(AA40=FALSE,N25,"")</f>
        <v/>
      </c>
      <c r="O39" s="17"/>
      <c r="Y39" s="316" t="b">
        <f>OR(Y25,AA40)</f>
        <v>0</v>
      </c>
      <c r="AA39" s="145" t="s">
        <v>402</v>
      </c>
    </row>
    <row r="40" spans="2:27" ht="13.8" thickBot="1" x14ac:dyDescent="0.3">
      <c r="B40" s="17"/>
      <c r="C40" s="17"/>
      <c r="D40" s="113" t="s">
        <v>206</v>
      </c>
      <c r="E40" s="1248" t="str">
        <f>Translations!$B$687</f>
        <v>Direct emissions</v>
      </c>
      <c r="F40" s="1248"/>
      <c r="G40" s="1248"/>
      <c r="H40" s="222" t="str">
        <f>EUconst_tCO2pa</f>
        <v>t CO2 / year</v>
      </c>
      <c r="I40" s="331"/>
      <c r="J40" s="331"/>
      <c r="K40" s="332"/>
      <c r="L40" s="331"/>
      <c r="M40" s="377"/>
      <c r="N40" s="383"/>
      <c r="O40" s="17"/>
      <c r="Y40" s="285" t="b">
        <f>Y39</f>
        <v>0</v>
      </c>
      <c r="AA40" s="316" t="b">
        <f>IF(CNTR_ExistSubInstEntries,IF(I13&lt;&gt;"",IF(INDEX(EUconst_BMlistElExchangability,MATCH(I13,EUconst_BMlistNames,0)),FALSE,TRUE),TRUE),FALSE)</f>
        <v>0</v>
      </c>
    </row>
    <row r="41" spans="2:27" x14ac:dyDescent="0.25">
      <c r="B41" s="17"/>
      <c r="C41" s="17"/>
      <c r="D41" s="113" t="s">
        <v>208</v>
      </c>
      <c r="E41" s="1251" t="str">
        <f>Translations!$B$688</f>
        <v>Net imported heat</v>
      </c>
      <c r="F41" s="1251"/>
      <c r="G41" s="1251"/>
      <c r="H41" s="225" t="str">
        <f>EUconst_TJpa</f>
        <v>TJ / year</v>
      </c>
      <c r="I41" s="226" t="str">
        <f>IF($I13&lt;&gt;"",IF(INDEX(EUconst_BMlistElExchangability,MATCH($I13,EUconst_BMlistNames,0)),SUM(I160),""),"")</f>
        <v/>
      </c>
      <c r="J41" s="226" t="str">
        <f>IF($I13&lt;&gt;"",IF(INDEX(EUconst_BMlistElExchangability,MATCH($I13,EUconst_BMlistNames,0)),SUM(J160),""),"")</f>
        <v/>
      </c>
      <c r="K41" s="226" t="str">
        <f>IF($I13&lt;&gt;"",IF(INDEX(EUconst_BMlistElExchangability,MATCH($I13,EUconst_BMlistNames,0)),SUM(K160),""),"")</f>
        <v/>
      </c>
      <c r="L41" s="226" t="str">
        <f>IF($I13&lt;&gt;"",IF(INDEX(EUconst_BMlistElExchangability,MATCH($I13,EUconst_BMlistNames,0)),SUM(L160),""),"")</f>
        <v/>
      </c>
      <c r="M41" s="378" t="str">
        <f>IF($I13&lt;&gt;"",IF(INDEX(EUconst_BMlistElExchangability,MATCH($I13,EUconst_BMlistNames,0)),SUM(M160),""),"")</f>
        <v/>
      </c>
      <c r="N41" s="384"/>
      <c r="O41" s="17"/>
      <c r="R41" s="459"/>
      <c r="S41" s="326">
        <f>I39</f>
        <v>2019</v>
      </c>
      <c r="T41" s="326">
        <f>J39</f>
        <v>2020</v>
      </c>
      <c r="U41" s="326">
        <f>K39</f>
        <v>2021</v>
      </c>
      <c r="V41" s="326">
        <f>L39</f>
        <v>2022</v>
      </c>
      <c r="W41" s="327">
        <f>M39</f>
        <v>2023</v>
      </c>
      <c r="Y41" s="285" t="b">
        <f>Y40</f>
        <v>0</v>
      </c>
      <c r="AA41" s="285" t="b">
        <f>AA40</f>
        <v>0</v>
      </c>
    </row>
    <row r="42" spans="2:27" ht="12.75" customHeight="1" thickBot="1" x14ac:dyDescent="0.3">
      <c r="B42" s="17"/>
      <c r="C42" s="17"/>
      <c r="D42" s="113" t="s">
        <v>209</v>
      </c>
      <c r="E42" s="1565" t="str">
        <f>Translations!$B$689</f>
        <v>Relevant electricity consumption</v>
      </c>
      <c r="F42" s="1565"/>
      <c r="G42" s="1565"/>
      <c r="H42" s="927" t="str">
        <f>EUconst_MWhpa</f>
        <v>MWh / year</v>
      </c>
      <c r="I42" s="928"/>
      <c r="J42" s="928"/>
      <c r="K42" s="928"/>
      <c r="L42" s="928"/>
      <c r="M42" s="929"/>
      <c r="N42" s="930"/>
      <c r="O42" s="17"/>
      <c r="P42" s="63" t="str">
        <f>EUconst_CNTR_HAL&amp;EUconst_CNTR_ELEXCH</f>
        <v>HAL_ELEXCH_</v>
      </c>
      <c r="Q42" s="63" t="str">
        <f>EUconst_CNTR_HAL&amp;EUconst_CNTR_ELEXCH &amp; I13</f>
        <v>HAL_ELEXCH_</v>
      </c>
      <c r="R42" s="484" t="str">
        <f>EUconst_CNTR_AttributedEmissions &amp; I13</f>
        <v>AttrEmissions_</v>
      </c>
      <c r="S42" s="389" t="str">
        <f>IF(S13,SUM(I42)*EUconst_ElBM,"")</f>
        <v/>
      </c>
      <c r="T42" s="389" t="str">
        <f>IF(T13,SUM(J42)*EUconst_ElBM,"")</f>
        <v/>
      </c>
      <c r="U42" s="389" t="str">
        <f>IF(U13,SUM(K42)*EUconst_ElBM,"")</f>
        <v/>
      </c>
      <c r="V42" s="389" t="str">
        <f>IF(V13,SUM(L42)*EUconst_ElBM,"")</f>
        <v/>
      </c>
      <c r="W42" s="390" t="str">
        <f>IF(W13,SUM(M42)*EUconst_ElBM,"")</f>
        <v/>
      </c>
      <c r="X42" s="145" t="str">
        <f>N39</f>
        <v/>
      </c>
      <c r="Y42" s="285" t="b">
        <f>Y41</f>
        <v>0</v>
      </c>
      <c r="AA42" s="285" t="b">
        <f>AA41</f>
        <v>0</v>
      </c>
    </row>
    <row r="43" spans="2:27" ht="13.8" thickBot="1" x14ac:dyDescent="0.3">
      <c r="B43" s="17"/>
      <c r="C43" s="17"/>
      <c r="D43" s="113" t="s">
        <v>210</v>
      </c>
      <c r="E43" s="1248" t="str">
        <f>Translations!$B$690</f>
        <v>Total direct emissions</v>
      </c>
      <c r="F43" s="1248"/>
      <c r="G43" s="1248"/>
      <c r="H43" s="222" t="str">
        <f>EUconst_tCO2pa</f>
        <v>t CO2 / year</v>
      </c>
      <c r="I43" s="223" t="str">
        <f>IF(ISNUMBER(I40),I40+SUM(I41)*EUconst_HeatBMvalue,"")</f>
        <v/>
      </c>
      <c r="J43" s="223" t="str">
        <f>IF(ISNUMBER(J40),J40+SUM(J41)*EUconst_HeatBMvalue,"")</f>
        <v/>
      </c>
      <c r="K43" s="224" t="str">
        <f>IF(ISNUMBER(K40),K40+SUM(K41)*EUconst_HeatBMvalue,"")</f>
        <v/>
      </c>
      <c r="L43" s="223" t="str">
        <f>IF(ISNUMBER(L40),L40+SUM(L41)*EUconst_HeatBMvalue,"")</f>
        <v/>
      </c>
      <c r="M43" s="379" t="str">
        <f>IF(ISNUMBER(M40),M40+SUM(M41)*EUconst_HeatBMvalue,"")</f>
        <v/>
      </c>
      <c r="N43" s="381" t="str">
        <f>IF(AND(S30,ISNUMBER(N40)),N40+SUM(N41)*EUconst_HeatBMvalue,"")</f>
        <v/>
      </c>
      <c r="O43" s="17"/>
      <c r="R43" s="288" t="s">
        <v>403</v>
      </c>
      <c r="S43" s="385" t="str">
        <f>IF(S13,IF(ISNUMBER(I43),I43,0),"")</f>
        <v/>
      </c>
      <c r="T43" s="386" t="str">
        <f>IF(T13,IF(ISNUMBER(J43),J43,0),"")</f>
        <v/>
      </c>
      <c r="U43" s="386" t="str">
        <f>IF(U13,IF(ISNUMBER(K43),K43,0),"")</f>
        <v/>
      </c>
      <c r="V43" s="386" t="str">
        <f>IF(V13,IF(ISNUMBER(L43),L43,0),"")</f>
        <v/>
      </c>
      <c r="W43" s="387" t="str">
        <f>IF(W13,IF(ISNUMBER(M43),M43,0),"")</f>
        <v/>
      </c>
      <c r="X43" s="391" t="str">
        <f>IF(S30,IF(ISNUMBER(N43),N43,0),"")</f>
        <v/>
      </c>
      <c r="Y43" s="285" t="b">
        <f>Y42</f>
        <v>0</v>
      </c>
      <c r="AA43" s="285" t="b">
        <f>AA42</f>
        <v>0</v>
      </c>
    </row>
    <row r="44" spans="2:27" ht="13.8" thickBot="1" x14ac:dyDescent="0.3">
      <c r="B44" s="17"/>
      <c r="C44" s="17"/>
      <c r="D44" s="113" t="s">
        <v>220</v>
      </c>
      <c r="E44" s="1254" t="str">
        <f>Translations!$B$691</f>
        <v>Indirect emissions</v>
      </c>
      <c r="F44" s="1254"/>
      <c r="G44" s="1254"/>
      <c r="H44" s="227" t="str">
        <f>EUconst_tCO2pa</f>
        <v>t CO2 / year</v>
      </c>
      <c r="I44" s="228" t="str">
        <f t="shared" ref="I44:N44" si="0">IF(ISNUMBER(I42),I42*EUconst_ElBM,"")</f>
        <v/>
      </c>
      <c r="J44" s="228" t="str">
        <f t="shared" si="0"/>
        <v/>
      </c>
      <c r="K44" s="229" t="str">
        <f t="shared" si="0"/>
        <v/>
      </c>
      <c r="L44" s="228" t="str">
        <f t="shared" si="0"/>
        <v/>
      </c>
      <c r="M44" s="380" t="str">
        <f t="shared" si="0"/>
        <v/>
      </c>
      <c r="N44" s="382" t="str">
        <f t="shared" si="0"/>
        <v/>
      </c>
      <c r="O44" s="17"/>
      <c r="P44" s="392" t="str">
        <f>EUconst_CNTR_ELEXCH &amp; I13</f>
        <v>ELEXCH_</v>
      </c>
      <c r="Q44" s="393" t="str">
        <f>IF(SUM(S44:X44)&lt;&gt;0,SUM(S43:X43)/SUM(S44:X44),EUconst_NA)</f>
        <v>N.A.</v>
      </c>
      <c r="R44" s="288" t="s">
        <v>323</v>
      </c>
      <c r="S44" s="388" t="str">
        <f>IF(S13,IF(COUNT(I43:I44)&gt;0,SUM(I43:I44),0),"")</f>
        <v/>
      </c>
      <c r="T44" s="389" t="str">
        <f>IF(T13,IF(COUNT(J43:J44)&gt;0,SUM(J43:J44),0),"")</f>
        <v/>
      </c>
      <c r="U44" s="389" t="str">
        <f>IF(U13,IF(COUNT(K43:K44)&gt;0,SUM(K43:K44),0),"")</f>
        <v/>
      </c>
      <c r="V44" s="389" t="str">
        <f>IF(V13,IF(COUNT(L43:L44)&gt;0,SUM(L43:L44),0),"")</f>
        <v/>
      </c>
      <c r="W44" s="390" t="str">
        <f>IF(W13,IF(COUNT(M43:M44)&gt;0,SUM(M43:M44),0),"")</f>
        <v/>
      </c>
      <c r="X44" s="286" t="str">
        <f>IF(S30,IF(COUNT(N43:N44)&gt;0,SUM(N43:N44),0),"")</f>
        <v/>
      </c>
      <c r="Y44" s="286" t="b">
        <f>Y43</f>
        <v>0</v>
      </c>
      <c r="AA44" s="286" t="b">
        <f>AA43</f>
        <v>0</v>
      </c>
    </row>
    <row r="45" spans="2:27" ht="5.0999999999999996" customHeight="1" x14ac:dyDescent="0.25">
      <c r="B45" s="17"/>
      <c r="C45" s="17"/>
      <c r="D45" s="17"/>
      <c r="E45" s="17"/>
      <c r="F45" s="17"/>
      <c r="G45" s="17"/>
      <c r="H45" s="17"/>
      <c r="I45" s="17"/>
      <c r="J45" s="17"/>
      <c r="K45" s="17"/>
      <c r="L45" s="17"/>
      <c r="M45" s="17"/>
      <c r="N45" s="17"/>
      <c r="O45" s="17"/>
    </row>
    <row r="46" spans="2:27" x14ac:dyDescent="0.25">
      <c r="B46" s="17"/>
      <c r="C46" s="17"/>
      <c r="D46" s="15" t="s">
        <v>197</v>
      </c>
      <c r="E46" s="1165" t="str">
        <f>Translations!$B$692</f>
        <v>Heat imported from non-ETS installations or entities:</v>
      </c>
      <c r="F46" s="1165"/>
      <c r="G46" s="1165"/>
      <c r="H46" s="1165"/>
      <c r="I46" s="1425"/>
      <c r="J46" s="1561" t="str">
        <f>IF(I13="","",HYPERLINK(Q46,EUconst_MsgGoOnIfNotRelevant))</f>
        <v/>
      </c>
      <c r="K46" s="1564"/>
      <c r="L46" s="1564"/>
      <c r="M46" s="1564"/>
      <c r="N46" s="1205"/>
      <c r="O46" s="17"/>
      <c r="P46" s="145" t="s">
        <v>334</v>
      </c>
      <c r="Q46" s="372" t="str">
        <f>"#"&amp;ADDRESS(ROW(D56),COLUMN(D56))</f>
        <v>#$D$56</v>
      </c>
    </row>
    <row r="47" spans="2:27" x14ac:dyDescent="0.25">
      <c r="B47" s="17"/>
      <c r="C47" s="17"/>
      <c r="D47" s="17"/>
      <c r="E47" s="1223" t="s">
        <v>404</v>
      </c>
      <c r="F47" s="1176"/>
      <c r="G47" s="1176"/>
      <c r="H47" s="1176"/>
      <c r="I47" s="1176"/>
      <c r="J47" s="1176"/>
      <c r="K47" s="1176"/>
      <c r="L47" s="1176"/>
      <c r="M47" s="1176"/>
      <c r="N47" s="1176"/>
      <c r="O47" s="17"/>
    </row>
    <row r="48" spans="2:27" x14ac:dyDescent="0.25">
      <c r="B48" s="17"/>
      <c r="C48" s="17"/>
      <c r="D48" s="17"/>
      <c r="E48" s="1223" t="str">
        <f>Translations!$B$694</f>
        <v>That amount is the amount of measurable heat imported from non-ETS installations (including any heat from nitric acid sub-installations) or entities multiplied with the heat benchmark.</v>
      </c>
      <c r="F48" s="1176"/>
      <c r="G48" s="1176"/>
      <c r="H48" s="1176"/>
      <c r="I48" s="1176"/>
      <c r="J48" s="1176"/>
      <c r="K48" s="1176"/>
      <c r="L48" s="1176"/>
      <c r="M48" s="1176"/>
      <c r="N48" s="1176"/>
      <c r="O48" s="17"/>
    </row>
    <row r="49" spans="2:27" x14ac:dyDescent="0.25">
      <c r="B49" s="17"/>
      <c r="C49" s="17"/>
      <c r="D49" s="17"/>
      <c r="E49" s="1223" t="s">
        <v>405</v>
      </c>
      <c r="F49" s="1176"/>
      <c r="G49" s="1176"/>
      <c r="H49" s="1176"/>
      <c r="I49" s="1176"/>
      <c r="J49" s="1176"/>
      <c r="K49" s="1176"/>
      <c r="L49" s="1176"/>
      <c r="M49" s="1176"/>
      <c r="N49" s="1176"/>
      <c r="O49" s="17"/>
    </row>
    <row r="50" spans="2:27" ht="13.8" thickBot="1" x14ac:dyDescent="0.3">
      <c r="B50" s="17"/>
      <c r="C50" s="17"/>
      <c r="D50" s="17"/>
      <c r="E50" s="1223" t="str">
        <f>Translations!$B$696</f>
        <v>The data must also be consistent with the total net measurable heat imported entered under point (k).i below.</v>
      </c>
      <c r="F50" s="1176"/>
      <c r="G50" s="1176"/>
      <c r="H50" s="1176"/>
      <c r="I50" s="1176"/>
      <c r="J50" s="1176"/>
      <c r="K50" s="1176"/>
      <c r="L50" s="1176"/>
      <c r="M50" s="1176"/>
      <c r="N50" s="1176"/>
      <c r="O50" s="17"/>
      <c r="Y50" s="145" t="s">
        <v>394</v>
      </c>
    </row>
    <row r="51" spans="2:27" ht="13.8" thickBot="1" x14ac:dyDescent="0.3">
      <c r="B51" s="17"/>
      <c r="C51" s="17"/>
      <c r="D51" s="15"/>
      <c r="E51" s="1259" t="str">
        <f>Translations!$B$686</f>
        <v>Parameter</v>
      </c>
      <c r="F51" s="1212"/>
      <c r="G51" s="1212"/>
      <c r="H51" s="23" t="str">
        <f>EUconst_Unit</f>
        <v>Unit</v>
      </c>
      <c r="I51" s="128">
        <f>I$66</f>
        <v>2019</v>
      </c>
      <c r="J51" s="128">
        <f>J$66</f>
        <v>2020</v>
      </c>
      <c r="K51" s="128">
        <f>K$66</f>
        <v>2021</v>
      </c>
      <c r="L51" s="128">
        <f>L$66</f>
        <v>2022</v>
      </c>
      <c r="M51" s="144">
        <f>M$66</f>
        <v>2023</v>
      </c>
      <c r="N51" s="376" t="str">
        <f>N39</f>
        <v/>
      </c>
      <c r="O51" s="17"/>
      <c r="Q51" s="28"/>
      <c r="S51" s="28">
        <f t="shared" ref="S51:X51" si="1">I51</f>
        <v>2019</v>
      </c>
      <c r="T51" s="28">
        <f t="shared" si="1"/>
        <v>2020</v>
      </c>
      <c r="U51" s="28">
        <f t="shared" si="1"/>
        <v>2021</v>
      </c>
      <c r="V51" s="28">
        <f t="shared" si="1"/>
        <v>2022</v>
      </c>
      <c r="W51" s="28">
        <f t="shared" si="1"/>
        <v>2023</v>
      </c>
      <c r="X51" s="145" t="str">
        <f t="shared" si="1"/>
        <v/>
      </c>
      <c r="Y51" s="295" t="b">
        <f>Y25</f>
        <v>0</v>
      </c>
      <c r="Z51" s="28"/>
      <c r="AA51" s="145" t="s">
        <v>396</v>
      </c>
    </row>
    <row r="52" spans="2:27" ht="13.8" thickBot="1" x14ac:dyDescent="0.3">
      <c r="B52" s="17"/>
      <c r="C52" s="17"/>
      <c r="D52" s="113" t="s">
        <v>206</v>
      </c>
      <c r="E52" s="1412" t="str">
        <f>Translations!$B$697</f>
        <v>Measurable heat imported from non-ETS:</v>
      </c>
      <c r="F52" s="1412"/>
      <c r="G52" s="1412"/>
      <c r="H52" s="43" t="str">
        <f>EUconst_TJpa</f>
        <v>TJ / year</v>
      </c>
      <c r="I52" s="293"/>
      <c r="J52" s="293"/>
      <c r="K52" s="293"/>
      <c r="L52" s="293"/>
      <c r="M52" s="931"/>
      <c r="N52" s="397"/>
      <c r="O52" s="17"/>
      <c r="P52" s="63" t="str">
        <f>EUconst_CNTR_HAL&amp;EUconst_CNTR_nonETSMeasHeat</f>
        <v>HAL_non-ETS measurable heat</v>
      </c>
      <c r="S52" s="808" t="str">
        <f>IF(S13,IF(ISNUMBER(I52),I52,0),"")</f>
        <v/>
      </c>
      <c r="T52" s="809" t="str">
        <f>IF(T13,IF(ISNUMBER(J52),J52,0),"")</f>
        <v/>
      </c>
      <c r="U52" s="809" t="str">
        <f>IF(U13,IF(ISNUMBER(K52),K52,0),"")</f>
        <v/>
      </c>
      <c r="V52" s="809" t="str">
        <f>IF(V13,IF(ISNUMBER(L52),L52,0),"")</f>
        <v/>
      </c>
      <c r="W52" s="810" t="str">
        <f>IF(W13,IF(ISNUMBER(M52),M52,0),"")</f>
        <v/>
      </c>
      <c r="X52" s="215" t="str">
        <f>IF(S30,IF(ISNUMBER(N52),N52,0),"")</f>
        <v/>
      </c>
      <c r="Y52" s="286" t="b">
        <f>Y51</f>
        <v>0</v>
      </c>
      <c r="AA52" s="316" t="b">
        <f>AND(CNTR_ExistSubInstEntries,I13="")</f>
        <v>0</v>
      </c>
    </row>
    <row r="53" spans="2:27" ht="25.5" customHeight="1" thickBot="1" x14ac:dyDescent="0.3">
      <c r="B53" s="17"/>
      <c r="C53" s="17"/>
      <c r="D53" s="113" t="s">
        <v>208</v>
      </c>
      <c r="E53" s="1248" t="str">
        <f>Translations!$B$698</f>
        <v>Consistency check with sheet "E_Energy flows":</v>
      </c>
      <c r="F53" s="1248"/>
      <c r="G53" s="1248"/>
      <c r="H53" s="856" t="s">
        <v>354</v>
      </c>
      <c r="I53" s="932" t="str">
        <f>IF(AND(ISNUMBER(I52),ISNUMBER(E_EnergyFlows!I$102)), I52/E_EnergyFlows!I$102*100,"")</f>
        <v/>
      </c>
      <c r="J53" s="932" t="str">
        <f>IF(AND(ISNUMBER(J52),ISNUMBER(E_EnergyFlows!J$102)), J52/E_EnergyFlows!J$102*100,"")</f>
        <v/>
      </c>
      <c r="K53" s="932" t="str">
        <f>IF(AND(ISNUMBER(K52),ISNUMBER(E_EnergyFlows!K$102)), K52/E_EnergyFlows!K$102*100,"")</f>
        <v/>
      </c>
      <c r="L53" s="932" t="str">
        <f>IF(AND(ISNUMBER(L52),ISNUMBER(E_EnergyFlows!L$102)), L52/E_EnergyFlows!L$102*100,"")</f>
        <v/>
      </c>
      <c r="M53" s="933" t="str">
        <f>IF(AND(ISNUMBER(M52),ISNUMBER(E_EnergyFlows!M$102)), M52/E_EnergyFlows!M$102*100,"")</f>
        <v/>
      </c>
      <c r="N53" s="646"/>
      <c r="O53" s="17"/>
      <c r="P53" s="392" t="str">
        <f>EUconst_CNTR_HEAT &amp; I13</f>
        <v>HEAT_</v>
      </c>
      <c r="Q53" s="109" t="str">
        <f>IF(COUNT(S52:X52)&gt;0,AVERAGE(S52:X52)*EUconst_HeatBMvalue,EUconst_NA)</f>
        <v>N.A.</v>
      </c>
      <c r="AA53" s="815"/>
    </row>
    <row r="54" spans="2:27" x14ac:dyDescent="0.25">
      <c r="B54" s="17"/>
      <c r="C54" s="17"/>
      <c r="D54" s="113" t="s">
        <v>209</v>
      </c>
      <c r="E54" s="1254" t="str">
        <f>Translations!$B$699</f>
        <v>Consistency check with point (k)(i):</v>
      </c>
      <c r="F54" s="1254"/>
      <c r="G54" s="1254"/>
      <c r="H54" s="860" t="s">
        <v>354</v>
      </c>
      <c r="I54" s="934" t="str">
        <f>IF(AND(I160&gt;0,ISNUMBER(I52)), I52/I160*100,"")</f>
        <v/>
      </c>
      <c r="J54" s="934" t="str">
        <f>IF(AND(J160&gt;0,ISNUMBER(J52)), J52/J160*100,"")</f>
        <v/>
      </c>
      <c r="K54" s="934" t="str">
        <f>IF(AND(K160&gt;0,ISNUMBER(K52)), K52/K160*100,"")</f>
        <v/>
      </c>
      <c r="L54" s="934" t="str">
        <f>IF(AND(L160&gt;0,ISNUMBER(L52)), L52/L160*100,"")</f>
        <v/>
      </c>
      <c r="M54" s="935" t="str">
        <f>IF(AND(M160&gt;0,ISNUMBER(M52)), M52/M160*100,"")</f>
        <v/>
      </c>
      <c r="N54" s="646"/>
      <c r="O54" s="17"/>
      <c r="AA54" s="815"/>
    </row>
    <row r="55" spans="2:27" ht="12.75" customHeight="1" x14ac:dyDescent="0.25">
      <c r="B55" s="17"/>
      <c r="C55" s="17"/>
      <c r="D55" s="17"/>
      <c r="E55" s="17"/>
      <c r="F55" s="17"/>
      <c r="G55" s="17"/>
      <c r="H55" s="17"/>
      <c r="I55" s="31"/>
      <c r="J55" s="17"/>
      <c r="K55" s="17"/>
      <c r="L55" s="17"/>
      <c r="M55" s="17"/>
      <c r="N55" s="17"/>
      <c r="O55" s="17"/>
      <c r="P55" s="44"/>
      <c r="AA55" s="815"/>
    </row>
    <row r="56" spans="2:27" ht="13.8" x14ac:dyDescent="0.25">
      <c r="B56" s="17"/>
      <c r="C56" s="338"/>
      <c r="D56" s="1234" t="str">
        <f>Translations!$B$700</f>
        <v>Production details</v>
      </c>
      <c r="E56" s="1176"/>
      <c r="F56" s="1176"/>
      <c r="G56" s="1176"/>
      <c r="H56" s="1176"/>
      <c r="I56" s="1176"/>
      <c r="J56" s="1176"/>
      <c r="K56" s="1176"/>
      <c r="L56" s="1176"/>
      <c r="M56" s="1176"/>
      <c r="N56" s="1176"/>
      <c r="O56" s="17"/>
      <c r="AA56" s="815"/>
    </row>
    <row r="57" spans="2:27" ht="5.0999999999999996" customHeight="1" x14ac:dyDescent="0.25">
      <c r="B57" s="17"/>
      <c r="C57" s="17"/>
      <c r="D57" s="17"/>
      <c r="E57" s="17"/>
      <c r="F57" s="17"/>
      <c r="G57" s="17"/>
      <c r="H57" s="17"/>
      <c r="I57" s="17"/>
      <c r="J57" s="17"/>
      <c r="K57" s="17"/>
      <c r="L57" s="17"/>
      <c r="M57" s="17"/>
      <c r="N57" s="17"/>
      <c r="O57" s="17"/>
      <c r="AA57" s="815"/>
    </row>
    <row r="58" spans="2:27" x14ac:dyDescent="0.25">
      <c r="B58" s="17"/>
      <c r="C58" s="15"/>
      <c r="D58" s="15" t="s">
        <v>202</v>
      </c>
      <c r="E58" s="1165" t="str">
        <f>Translations!$B$701</f>
        <v>Identification of products included in this product benchmark sub-installation</v>
      </c>
      <c r="F58" s="1176"/>
      <c r="G58" s="1176"/>
      <c r="H58" s="1176"/>
      <c r="I58" s="1176"/>
      <c r="J58" s="1176"/>
      <c r="K58" s="1176"/>
      <c r="L58" s="1176"/>
      <c r="M58" s="1176"/>
      <c r="N58" s="1176"/>
      <c r="O58" s="17"/>
      <c r="AA58" s="815"/>
    </row>
    <row r="59" spans="2:27" ht="25.5" customHeight="1" x14ac:dyDescent="0.25">
      <c r="B59" s="17"/>
      <c r="C59" s="17"/>
      <c r="D59" s="17"/>
      <c r="E59" s="1223" t="s">
        <v>406</v>
      </c>
      <c r="F59" s="1176"/>
      <c r="G59" s="1176"/>
      <c r="H59" s="1176"/>
      <c r="I59" s="1176"/>
      <c r="J59" s="1176"/>
      <c r="K59" s="1176"/>
      <c r="L59" s="1176"/>
      <c r="M59" s="1176"/>
      <c r="N59" s="1176"/>
      <c r="O59" s="17"/>
      <c r="AA59" s="815"/>
    </row>
    <row r="60" spans="2:27" ht="25.5" customHeight="1" x14ac:dyDescent="0.25">
      <c r="B60" s="17"/>
      <c r="C60" s="17"/>
      <c r="D60" s="17"/>
      <c r="E60" s="1223" t="str">
        <f>Translations!$B$703</f>
        <v>PRODCOM codes shall be entered in the form "nnnnnnnn", i.e. without any dots or other delimiters in between. Only if PRODCOM are not available, at least a 4-digit level NACE code should be provided in the form of "nnnn".</v>
      </c>
      <c r="F60" s="1176"/>
      <c r="G60" s="1176"/>
      <c r="H60" s="1176"/>
      <c r="I60" s="1176"/>
      <c r="J60" s="1176"/>
      <c r="K60" s="1176"/>
      <c r="L60" s="1176"/>
      <c r="M60" s="1176"/>
      <c r="N60" s="1176"/>
      <c r="O60" s="17"/>
      <c r="AA60" s="815"/>
    </row>
    <row r="61" spans="2:27" x14ac:dyDescent="0.25">
      <c r="B61" s="17"/>
      <c r="C61" s="17"/>
      <c r="D61" s="17"/>
      <c r="E61" s="1223" t="s">
        <v>407</v>
      </c>
      <c r="F61" s="1176"/>
      <c r="G61" s="1176"/>
      <c r="H61" s="1176"/>
      <c r="I61" s="1176"/>
      <c r="J61" s="1176"/>
      <c r="K61" s="1176"/>
      <c r="L61" s="1176"/>
      <c r="M61" s="1176"/>
      <c r="N61" s="1176"/>
      <c r="O61" s="17"/>
      <c r="AA61" s="815"/>
    </row>
    <row r="62" spans="2:27" x14ac:dyDescent="0.25">
      <c r="B62" s="17"/>
      <c r="C62" s="17"/>
      <c r="D62" s="17"/>
      <c r="E62" s="1587" t="s">
        <v>408</v>
      </c>
      <c r="F62" s="1588"/>
      <c r="G62" s="1588"/>
      <c r="H62" s="1588"/>
      <c r="I62" s="1588"/>
      <c r="J62" s="1588"/>
      <c r="K62" s="1588"/>
      <c r="L62" s="1588"/>
      <c r="M62" s="1588"/>
      <c r="N62" s="1588"/>
      <c r="O62" s="17"/>
      <c r="AA62" s="815"/>
    </row>
    <row r="63" spans="2:27" ht="5.0999999999999996" customHeight="1" x14ac:dyDescent="0.25">
      <c r="B63" s="17"/>
      <c r="C63" s="17"/>
      <c r="D63" s="17"/>
      <c r="E63" s="17"/>
      <c r="F63" s="17"/>
      <c r="G63" s="17"/>
      <c r="H63" s="17"/>
      <c r="I63" s="17"/>
      <c r="J63" s="17"/>
      <c r="K63" s="17"/>
      <c r="L63" s="17"/>
      <c r="M63" s="17"/>
      <c r="N63" s="17"/>
      <c r="O63" s="17"/>
      <c r="AA63" s="815"/>
    </row>
    <row r="64" spans="2:27" x14ac:dyDescent="0.25">
      <c r="B64" s="17"/>
      <c r="C64" s="15"/>
      <c r="D64" s="15" t="s">
        <v>199</v>
      </c>
      <c r="E64" s="1165" t="str">
        <f>Translations!$B$706</f>
        <v>Individual production levels of products included in this product benchmark sub-installation</v>
      </c>
      <c r="F64" s="1176"/>
      <c r="G64" s="1176"/>
      <c r="H64" s="1176"/>
      <c r="I64" s="1176"/>
      <c r="J64" s="1176"/>
      <c r="K64" s="1176"/>
      <c r="L64" s="1176"/>
      <c r="M64" s="1176"/>
      <c r="N64" s="1176"/>
      <c r="O64" s="17"/>
      <c r="AA64" s="815"/>
    </row>
    <row r="65" spans="2:27" ht="5.0999999999999996" customHeight="1" x14ac:dyDescent="0.25">
      <c r="B65" s="17"/>
      <c r="C65" s="17"/>
      <c r="D65" s="17"/>
      <c r="E65" s="884"/>
      <c r="F65" s="884"/>
      <c r="G65" s="884"/>
      <c r="H65" s="884"/>
      <c r="I65" s="884"/>
      <c r="J65" s="77"/>
      <c r="K65" s="77"/>
      <c r="L65" s="77"/>
      <c r="M65" s="17"/>
      <c r="N65" s="17"/>
      <c r="O65" s="17"/>
      <c r="AA65" s="815"/>
    </row>
    <row r="66" spans="2:27" ht="25.5" customHeight="1" x14ac:dyDescent="0.25">
      <c r="B66" s="17"/>
      <c r="C66" s="17"/>
      <c r="D66" s="26"/>
      <c r="E66" s="129" t="s">
        <v>409</v>
      </c>
      <c r="F66" s="1556" t="str">
        <f>Translations!$B$707</f>
        <v>Name of product or group of products</v>
      </c>
      <c r="G66" s="1557"/>
      <c r="H66" s="461" t="str">
        <f>EUconst_Unit</f>
        <v>Unit</v>
      </c>
      <c r="I66" s="128">
        <f>I$1882</f>
        <v>2019</v>
      </c>
      <c r="J66" s="128">
        <f>J$1882</f>
        <v>2020</v>
      </c>
      <c r="K66" s="128">
        <f>K$1882</f>
        <v>2021</v>
      </c>
      <c r="L66" s="128">
        <f>L$1882</f>
        <v>2022</v>
      </c>
      <c r="M66" s="128">
        <f>M$1882</f>
        <v>2023</v>
      </c>
      <c r="N66" s="17"/>
      <c r="O66" s="17"/>
      <c r="AA66" s="815"/>
    </row>
    <row r="67" spans="2:27" x14ac:dyDescent="0.25">
      <c r="B67" s="17"/>
      <c r="C67" s="17"/>
      <c r="D67" s="222">
        <v>1</v>
      </c>
      <c r="E67" s="602"/>
      <c r="F67" s="1558"/>
      <c r="G67" s="1559"/>
      <c r="H67" s="322"/>
      <c r="I67" s="889"/>
      <c r="J67" s="889"/>
      <c r="K67" s="889"/>
      <c r="L67" s="889"/>
      <c r="M67" s="889"/>
      <c r="N67" s="17"/>
      <c r="O67" s="17"/>
      <c r="AA67" s="285" t="b">
        <f>AA52</f>
        <v>0</v>
      </c>
    </row>
    <row r="68" spans="2:27" x14ac:dyDescent="0.25">
      <c r="B68" s="17"/>
      <c r="C68" s="17"/>
      <c r="D68" s="225">
        <f>D67+1</f>
        <v>2</v>
      </c>
      <c r="E68" s="760"/>
      <c r="F68" s="1542"/>
      <c r="G68" s="1543"/>
      <c r="H68" s="936"/>
      <c r="I68" s="892"/>
      <c r="J68" s="892"/>
      <c r="K68" s="892"/>
      <c r="L68" s="892"/>
      <c r="M68" s="892"/>
      <c r="N68" s="17"/>
      <c r="O68" s="17"/>
      <c r="AA68" s="285" t="b">
        <f>AA67</f>
        <v>0</v>
      </c>
    </row>
    <row r="69" spans="2:27" x14ac:dyDescent="0.25">
      <c r="B69" s="17"/>
      <c r="C69" s="17"/>
      <c r="D69" s="225">
        <f t="shared" ref="D69:D76" si="2">D68+1</f>
        <v>3</v>
      </c>
      <c r="E69" s="760"/>
      <c r="F69" s="1542"/>
      <c r="G69" s="1543"/>
      <c r="H69" s="936"/>
      <c r="I69" s="892"/>
      <c r="J69" s="892"/>
      <c r="K69" s="892"/>
      <c r="L69" s="892"/>
      <c r="M69" s="892"/>
      <c r="N69" s="17"/>
      <c r="O69" s="17"/>
      <c r="AA69" s="285" t="b">
        <f t="shared" ref="AA69:AA77" si="3">AA68</f>
        <v>0</v>
      </c>
    </row>
    <row r="70" spans="2:27" x14ac:dyDescent="0.25">
      <c r="B70" s="17"/>
      <c r="C70" s="17"/>
      <c r="D70" s="225">
        <f t="shared" si="2"/>
        <v>4</v>
      </c>
      <c r="E70" s="760"/>
      <c r="F70" s="1542"/>
      <c r="G70" s="1543"/>
      <c r="H70" s="936"/>
      <c r="I70" s="892"/>
      <c r="J70" s="892"/>
      <c r="K70" s="892"/>
      <c r="L70" s="892"/>
      <c r="M70" s="892"/>
      <c r="N70" s="17"/>
      <c r="O70" s="17"/>
      <c r="AA70" s="285" t="b">
        <f t="shared" si="3"/>
        <v>0</v>
      </c>
    </row>
    <row r="71" spans="2:27" x14ac:dyDescent="0.25">
      <c r="B71" s="17"/>
      <c r="C71" s="17"/>
      <c r="D71" s="225">
        <f t="shared" si="2"/>
        <v>5</v>
      </c>
      <c r="E71" s="760"/>
      <c r="F71" s="1542"/>
      <c r="G71" s="1543"/>
      <c r="H71" s="936"/>
      <c r="I71" s="892"/>
      <c r="J71" s="892"/>
      <c r="K71" s="892"/>
      <c r="L71" s="892"/>
      <c r="M71" s="892"/>
      <c r="N71" s="17"/>
      <c r="O71" s="17"/>
      <c r="AA71" s="285" t="b">
        <f t="shared" si="3"/>
        <v>0</v>
      </c>
    </row>
    <row r="72" spans="2:27" x14ac:dyDescent="0.25">
      <c r="B72" s="17"/>
      <c r="C72" s="17"/>
      <c r="D72" s="225">
        <f t="shared" si="2"/>
        <v>6</v>
      </c>
      <c r="E72" s="760"/>
      <c r="F72" s="1542"/>
      <c r="G72" s="1543"/>
      <c r="H72" s="936"/>
      <c r="I72" s="892"/>
      <c r="J72" s="892"/>
      <c r="K72" s="892"/>
      <c r="L72" s="892"/>
      <c r="M72" s="892"/>
      <c r="N72" s="17"/>
      <c r="O72" s="17"/>
      <c r="AA72" s="285" t="b">
        <f t="shared" si="3"/>
        <v>0</v>
      </c>
    </row>
    <row r="73" spans="2:27" x14ac:dyDescent="0.25">
      <c r="B73" s="17"/>
      <c r="C73" s="17"/>
      <c r="D73" s="225">
        <f t="shared" si="2"/>
        <v>7</v>
      </c>
      <c r="E73" s="760"/>
      <c r="F73" s="1542"/>
      <c r="G73" s="1543"/>
      <c r="H73" s="936"/>
      <c r="I73" s="892"/>
      <c r="J73" s="892"/>
      <c r="K73" s="892"/>
      <c r="L73" s="892"/>
      <c r="M73" s="892"/>
      <c r="N73" s="17"/>
      <c r="O73" s="17"/>
      <c r="AA73" s="285" t="b">
        <f t="shared" si="3"/>
        <v>0</v>
      </c>
    </row>
    <row r="74" spans="2:27" x14ac:dyDescent="0.25">
      <c r="B74" s="17"/>
      <c r="C74" s="17"/>
      <c r="D74" s="225">
        <f t="shared" si="2"/>
        <v>8</v>
      </c>
      <c r="E74" s="760"/>
      <c r="F74" s="1542"/>
      <c r="G74" s="1543"/>
      <c r="H74" s="936"/>
      <c r="I74" s="892"/>
      <c r="J74" s="892"/>
      <c r="K74" s="892"/>
      <c r="L74" s="892"/>
      <c r="M74" s="892"/>
      <c r="N74" s="17"/>
      <c r="O74" s="17"/>
      <c r="AA74" s="285" t="b">
        <f t="shared" si="3"/>
        <v>0</v>
      </c>
    </row>
    <row r="75" spans="2:27" x14ac:dyDescent="0.25">
      <c r="B75" s="17"/>
      <c r="C75" s="17"/>
      <c r="D75" s="225">
        <f t="shared" si="2"/>
        <v>9</v>
      </c>
      <c r="E75" s="760"/>
      <c r="F75" s="1542"/>
      <c r="G75" s="1543"/>
      <c r="H75" s="936"/>
      <c r="I75" s="892"/>
      <c r="J75" s="892"/>
      <c r="K75" s="892"/>
      <c r="L75" s="892"/>
      <c r="M75" s="892"/>
      <c r="N75" s="17"/>
      <c r="O75" s="17"/>
      <c r="AA75" s="285" t="b">
        <f t="shared" si="3"/>
        <v>0</v>
      </c>
    </row>
    <row r="76" spans="2:27" x14ac:dyDescent="0.25">
      <c r="B76" s="17"/>
      <c r="C76" s="17"/>
      <c r="D76" s="227">
        <f t="shared" si="2"/>
        <v>10</v>
      </c>
      <c r="E76" s="761"/>
      <c r="F76" s="1544"/>
      <c r="G76" s="1545"/>
      <c r="H76" s="937"/>
      <c r="I76" s="895"/>
      <c r="J76" s="895"/>
      <c r="K76" s="895"/>
      <c r="L76" s="895"/>
      <c r="M76" s="895"/>
      <c r="N76" s="17"/>
      <c r="O76" s="17"/>
      <c r="AA76" s="285" t="b">
        <f t="shared" si="3"/>
        <v>0</v>
      </c>
    </row>
    <row r="77" spans="2:27" ht="12.75" customHeight="1" thickBot="1" x14ac:dyDescent="0.3">
      <c r="B77" s="17"/>
      <c r="C77" s="17"/>
      <c r="D77" s="262"/>
      <c r="E77" s="1546" t="str">
        <f>Translations!$B$708</f>
        <v>Sum of production levels</v>
      </c>
      <c r="F77" s="1546"/>
      <c r="G77" s="1546"/>
      <c r="H77" s="1067"/>
      <c r="I77" s="841" t="str">
        <f>IF(COUNT(I67:I76)&gt;0,SUM(I67:I76),"")</f>
        <v/>
      </c>
      <c r="J77" s="841" t="str">
        <f>IF(COUNT(J67:J76)&gt;0,SUM(J67:J76),"")</f>
        <v/>
      </c>
      <c r="K77" s="841" t="str">
        <f>IF(COUNT(K67:K76)&gt;0,SUM(K67:K76),"")</f>
        <v/>
      </c>
      <c r="L77" s="841" t="str">
        <f>IF(COUNT(L67:L76)&gt;0,SUM(L67:L76),"")</f>
        <v/>
      </c>
      <c r="M77" s="841" t="str">
        <f>IF(COUNT(M67:M76)&gt;0,SUM(M67:M76),"")</f>
        <v/>
      </c>
      <c r="N77" s="17"/>
      <c r="O77" s="17"/>
      <c r="AA77" s="286" t="b">
        <f t="shared" si="3"/>
        <v>0</v>
      </c>
    </row>
    <row r="78" spans="2:27" ht="12.75" customHeight="1" thickBot="1" x14ac:dyDescent="0.3">
      <c r="B78" s="17"/>
      <c r="C78" s="17"/>
      <c r="D78" s="17"/>
      <c r="E78" s="17"/>
      <c r="F78" s="17"/>
      <c r="G78" s="17"/>
      <c r="H78" s="17"/>
      <c r="I78" s="17"/>
      <c r="J78" s="17"/>
      <c r="K78" s="17"/>
      <c r="L78" s="17"/>
      <c r="M78" s="17"/>
      <c r="N78" s="17"/>
      <c r="O78" s="17"/>
    </row>
    <row r="79" spans="2:27" ht="5.0999999999999996" customHeight="1" x14ac:dyDescent="0.25">
      <c r="B79" s="17"/>
      <c r="C79" s="938"/>
      <c r="D79" s="462"/>
      <c r="E79" s="462"/>
      <c r="F79" s="462"/>
      <c r="G79" s="462"/>
      <c r="H79" s="462"/>
      <c r="I79" s="462"/>
      <c r="J79" s="462"/>
      <c r="K79" s="462"/>
      <c r="L79" s="462"/>
      <c r="M79" s="462"/>
      <c r="N79" s="463"/>
      <c r="O79" s="17"/>
    </row>
    <row r="80" spans="2:27" ht="15" customHeight="1" x14ac:dyDescent="0.25">
      <c r="B80" s="17"/>
      <c r="C80" s="900"/>
      <c r="D80" s="1547" t="s">
        <v>410</v>
      </c>
      <c r="E80" s="1512"/>
      <c r="F80" s="1512"/>
      <c r="G80" s="1512"/>
      <c r="H80" s="1512"/>
      <c r="I80" s="1512"/>
      <c r="J80" s="1512"/>
      <c r="K80" s="1512"/>
      <c r="L80" s="1512"/>
      <c r="M80" s="1512"/>
      <c r="N80" s="1513"/>
      <c r="O80" s="17"/>
    </row>
    <row r="81" spans="2:15" ht="5.0999999999999996" customHeight="1" x14ac:dyDescent="0.25">
      <c r="B81" s="17"/>
      <c r="C81" s="900"/>
      <c r="D81" s="342"/>
      <c r="E81" s="342"/>
      <c r="F81" s="342"/>
      <c r="G81" s="342"/>
      <c r="H81" s="342"/>
      <c r="I81" s="342"/>
      <c r="J81" s="342"/>
      <c r="K81" s="342"/>
      <c r="L81" s="342"/>
      <c r="M81" s="342"/>
      <c r="N81" s="266"/>
      <c r="O81" s="17"/>
    </row>
    <row r="82" spans="2:15" ht="15" customHeight="1" x14ac:dyDescent="0.25">
      <c r="B82" s="17"/>
      <c r="C82" s="900"/>
      <c r="D82" s="1548" t="str">
        <f>EUconst_BMSubinst &amp; ":"</f>
        <v>Sub-installation with product benchmark:</v>
      </c>
      <c r="E82" s="1512"/>
      <c r="F82" s="1512"/>
      <c r="G82" s="1512"/>
      <c r="H82" s="1549"/>
      <c r="I82" s="1550" t="str">
        <f>I13</f>
        <v/>
      </c>
      <c r="J82" s="1509"/>
      <c r="K82" s="1509"/>
      <c r="L82" s="1509"/>
      <c r="M82" s="1509"/>
      <c r="N82" s="1551"/>
      <c r="O82" s="17"/>
    </row>
    <row r="83" spans="2:15" ht="5.0999999999999996" customHeight="1" x14ac:dyDescent="0.25">
      <c r="B83" s="17"/>
      <c r="C83" s="900"/>
      <c r="D83" s="342"/>
      <c r="E83" s="342"/>
      <c r="F83" s="342"/>
      <c r="G83" s="342"/>
      <c r="H83" s="342"/>
      <c r="I83" s="342"/>
      <c r="J83" s="342"/>
      <c r="K83" s="342"/>
      <c r="L83" s="342"/>
      <c r="M83" s="342"/>
      <c r="N83" s="266"/>
      <c r="O83" s="17"/>
    </row>
    <row r="84" spans="2:15" ht="30" customHeight="1" x14ac:dyDescent="0.25">
      <c r="B84" s="17"/>
      <c r="C84" s="900"/>
      <c r="D84" s="342"/>
      <c r="E84" s="1566" t="s">
        <v>411</v>
      </c>
      <c r="F84" s="1566"/>
      <c r="G84" s="1566"/>
      <c r="H84" s="1566"/>
      <c r="I84" s="1566"/>
      <c r="J84" s="1566"/>
      <c r="K84" s="1566"/>
      <c r="L84" s="1566"/>
      <c r="M84" s="1566"/>
      <c r="N84" s="277"/>
      <c r="O84" s="17"/>
    </row>
    <row r="85" spans="2:15" ht="30" customHeight="1" x14ac:dyDescent="0.25">
      <c r="B85" s="17"/>
      <c r="C85" s="900"/>
      <c r="D85" s="342"/>
      <c r="E85" s="1566" t="s">
        <v>412</v>
      </c>
      <c r="F85" s="1566"/>
      <c r="G85" s="1566"/>
      <c r="H85" s="1566"/>
      <c r="I85" s="1566"/>
      <c r="J85" s="1566"/>
      <c r="K85" s="1566"/>
      <c r="L85" s="1566"/>
      <c r="M85" s="1566"/>
      <c r="N85" s="277"/>
      <c r="O85" s="17"/>
    </row>
    <row r="86" spans="2:15" ht="12.75" customHeight="1" x14ac:dyDescent="0.25">
      <c r="B86" s="17"/>
      <c r="C86" s="900"/>
      <c r="D86" s="342"/>
      <c r="E86" s="1566" t="s">
        <v>413</v>
      </c>
      <c r="F86" s="1195"/>
      <c r="G86" s="1195"/>
      <c r="H86" s="1195"/>
      <c r="I86" s="1195"/>
      <c r="J86" s="1195"/>
      <c r="K86" s="1195"/>
      <c r="L86" s="1195"/>
      <c r="M86" s="1195"/>
      <c r="N86" s="277"/>
      <c r="O86" s="17"/>
    </row>
    <row r="87" spans="2:15" ht="15" customHeight="1" x14ac:dyDescent="0.25">
      <c r="B87" s="17"/>
      <c r="C87" s="900"/>
      <c r="D87" s="342"/>
      <c r="E87" s="342"/>
      <c r="F87" s="342"/>
      <c r="G87" s="342"/>
      <c r="H87" s="342"/>
      <c r="I87" s="342"/>
      <c r="J87" s="342"/>
      <c r="K87" s="342"/>
      <c r="L87" s="342"/>
      <c r="M87" s="342"/>
      <c r="N87" s="277"/>
      <c r="O87" s="17"/>
    </row>
    <row r="88" spans="2:15" ht="5.0999999999999996" customHeight="1" x14ac:dyDescent="0.25">
      <c r="B88" s="17"/>
      <c r="C88" s="900"/>
      <c r="D88" s="342"/>
      <c r="E88" s="342"/>
      <c r="F88" s="342"/>
      <c r="G88" s="342"/>
      <c r="H88" s="342"/>
      <c r="I88" s="342"/>
      <c r="J88" s="342"/>
      <c r="K88" s="342"/>
      <c r="L88" s="342"/>
      <c r="M88" s="342"/>
      <c r="N88" s="266"/>
      <c r="O88" s="17"/>
    </row>
    <row r="89" spans="2:15" ht="15" customHeight="1" x14ac:dyDescent="0.25">
      <c r="B89" s="17"/>
      <c r="C89" s="900"/>
      <c r="D89" s="342"/>
      <c r="E89" s="1439" t="str">
        <f>Translations!$B$714</f>
        <v>Upon entries made below, the attributable emissions are calculated in section K.III.2 of the summary sheet.</v>
      </c>
      <c r="F89" s="1439"/>
      <c r="G89" s="1439"/>
      <c r="H89" s="1439"/>
      <c r="I89" s="1439"/>
      <c r="J89" s="1439"/>
      <c r="K89" s="1439"/>
      <c r="L89" s="1439"/>
      <c r="M89" s="1439"/>
      <c r="N89" s="277"/>
      <c r="O89" s="17"/>
    </row>
    <row r="90" spans="2:15" ht="5.0999999999999996" customHeight="1" x14ac:dyDescent="0.25">
      <c r="B90" s="17"/>
      <c r="C90" s="900"/>
      <c r="D90" s="342"/>
      <c r="E90" s="342"/>
      <c r="F90" s="342"/>
      <c r="G90" s="342"/>
      <c r="H90" s="342"/>
      <c r="I90" s="342"/>
      <c r="J90" s="342"/>
      <c r="K90" s="342"/>
      <c r="L90" s="342"/>
      <c r="M90" s="342"/>
      <c r="N90" s="266"/>
      <c r="O90" s="17"/>
    </row>
    <row r="91" spans="2:15" ht="12.75" customHeight="1" x14ac:dyDescent="0.25">
      <c r="B91" s="17"/>
      <c r="C91" s="900"/>
      <c r="D91" s="157" t="s">
        <v>212</v>
      </c>
      <c r="E91" s="1511" t="str">
        <f>Translations!$B$715</f>
        <v>Directly attributable emissions (DirEm* (MP source streams)) to this sub-installation</v>
      </c>
      <c r="F91" s="1512"/>
      <c r="G91" s="1512"/>
      <c r="H91" s="1512"/>
      <c r="I91" s="1512"/>
      <c r="J91" s="1512"/>
      <c r="K91" s="1512"/>
      <c r="L91" s="1512"/>
      <c r="M91" s="1512"/>
      <c r="N91" s="1513"/>
      <c r="O91" s="17"/>
    </row>
    <row r="92" spans="2:15" ht="12.75" customHeight="1" x14ac:dyDescent="0.25">
      <c r="B92" s="17"/>
      <c r="C92" s="900"/>
      <c r="D92" s="193"/>
      <c r="E92" s="1535" t="s">
        <v>414</v>
      </c>
      <c r="F92" s="1511"/>
      <c r="G92" s="1511"/>
      <c r="H92" s="1511"/>
      <c r="I92" s="1511"/>
      <c r="J92" s="1511"/>
      <c r="K92" s="1511"/>
      <c r="L92" s="1511"/>
      <c r="M92" s="1511"/>
      <c r="N92" s="1536"/>
      <c r="O92" s="17"/>
    </row>
    <row r="93" spans="2:15" ht="12.75" customHeight="1" x14ac:dyDescent="0.25">
      <c r="B93" s="17"/>
      <c r="C93" s="900"/>
      <c r="D93" s="342"/>
      <c r="E93" s="1552" t="str">
        <f>Translations!$B$717</f>
        <v>Please enter here the Directly attributable emissions (DirEm* (MP source streams)) to this sub-installation taking into account the following provisions:</v>
      </c>
      <c r="F93" s="1552"/>
      <c r="G93" s="1552"/>
      <c r="H93" s="1552"/>
      <c r="I93" s="1552"/>
      <c r="J93" s="1552"/>
      <c r="K93" s="1552"/>
      <c r="L93" s="1552"/>
      <c r="M93" s="1552"/>
      <c r="N93" s="1553"/>
      <c r="O93" s="17"/>
    </row>
    <row r="94" spans="2:15" ht="25.5" customHeight="1" x14ac:dyDescent="0.25">
      <c r="B94" s="17"/>
      <c r="C94" s="900"/>
      <c r="D94" s="342"/>
      <c r="E94" s="901" t="s">
        <v>214</v>
      </c>
      <c r="F94" s="1533" t="str">
        <f>Translations!$B$718</f>
        <v>The "directly attributable emissions" are monitored in line with the monitoring plan approved under the MRR, i.e. taking into account the emissions from calculation based methodologies (using source streams), measurement based methodologies (CEMS) as well as no-tier approaches (“fall-backs”).</v>
      </c>
      <c r="G94" s="1512"/>
      <c r="H94" s="1512"/>
      <c r="I94" s="1512"/>
      <c r="J94" s="1512"/>
      <c r="K94" s="1512"/>
      <c r="L94" s="1512"/>
      <c r="M94" s="1512"/>
      <c r="N94" s="1513"/>
      <c r="O94" s="17"/>
    </row>
    <row r="95" spans="2:15" ht="38.25" customHeight="1" x14ac:dyDescent="0.25">
      <c r="B95" s="17"/>
      <c r="C95" s="900"/>
      <c r="D95" s="342"/>
      <c r="E95" s="901"/>
      <c r="F95" s="1589" t="str">
        <f>Translations!$B$719</f>
        <v>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v>
      </c>
      <c r="G95" s="1195"/>
      <c r="H95" s="1195"/>
      <c r="I95" s="1195"/>
      <c r="J95" s="1195"/>
      <c r="K95" s="1195"/>
      <c r="L95" s="1195"/>
      <c r="M95" s="1195"/>
      <c r="N95" s="1590"/>
      <c r="O95" s="17"/>
    </row>
    <row r="96" spans="2:15" ht="12.75" customHeight="1" x14ac:dyDescent="0.25">
      <c r="B96" s="17"/>
      <c r="C96" s="900"/>
      <c r="D96" s="342"/>
      <c r="E96" s="901" t="s">
        <v>214</v>
      </c>
      <c r="F96" s="1533" t="str">
        <f>Translations!$B$720</f>
        <v xml:space="preserve">Measurable heat: where the heat is exclusively produced for one sub-installation, the emissions may be directly attributed here via the fuel’s emissions. </v>
      </c>
      <c r="G96" s="1512"/>
      <c r="H96" s="1512"/>
      <c r="I96" s="1512"/>
      <c r="J96" s="1512"/>
      <c r="K96" s="1512"/>
      <c r="L96" s="1512"/>
      <c r="M96" s="1512"/>
      <c r="N96" s="1513"/>
      <c r="O96" s="17"/>
    </row>
    <row r="97" spans="2:23" ht="38.85" customHeight="1" x14ac:dyDescent="0.25">
      <c r="B97" s="17"/>
      <c r="C97" s="900"/>
      <c r="D97" s="342"/>
      <c r="E97" s="901"/>
      <c r="F97" s="1533" t="str">
        <f>Translations!$B$721</f>
        <v>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v>
      </c>
      <c r="G97" s="1512"/>
      <c r="H97" s="1512"/>
      <c r="I97" s="1512"/>
      <c r="J97" s="1512"/>
      <c r="K97" s="1512"/>
      <c r="L97" s="1512"/>
      <c r="M97" s="1512"/>
      <c r="N97" s="1513"/>
      <c r="O97" s="17"/>
    </row>
    <row r="98" spans="2:23" ht="25.5" customHeight="1" x14ac:dyDescent="0.25">
      <c r="B98" s="17"/>
      <c r="C98" s="900"/>
      <c r="D98" s="342"/>
      <c r="E98" s="901"/>
      <c r="F98" s="1533" t="str">
        <f>Translations!$B$722</f>
        <v>"Inputs"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v>
      </c>
      <c r="G98" s="1512"/>
      <c r="H98" s="1512"/>
      <c r="I98" s="1512"/>
      <c r="J98" s="1512"/>
      <c r="K98" s="1512"/>
      <c r="L98" s="1512"/>
      <c r="M98" s="1512"/>
      <c r="N98" s="1513"/>
      <c r="O98" s="17"/>
    </row>
    <row r="99" spans="2:23" ht="25.5" customHeight="1" x14ac:dyDescent="0.25">
      <c r="B99" s="17"/>
      <c r="C99" s="900"/>
      <c r="D99" s="342"/>
      <c r="E99" s="901" t="s">
        <v>214</v>
      </c>
      <c r="F99" s="1533" t="str">
        <f>Translations!$B$723</f>
        <v>Measurable heat exported: where such heat is recovered from the process and exported, no corrections should be made here. The deduction for the associated emissions will be done based on entries under point (k).v. below.</v>
      </c>
      <c r="G99" s="1512"/>
      <c r="H99" s="1512"/>
      <c r="I99" s="1512"/>
      <c r="J99" s="1512"/>
      <c r="K99" s="1512"/>
      <c r="L99" s="1512"/>
      <c r="M99" s="1512"/>
      <c r="N99" s="1513"/>
      <c r="O99" s="17"/>
    </row>
    <row r="100" spans="2:23" ht="25.5" customHeight="1" thickBot="1" x14ac:dyDescent="0.3">
      <c r="B100" s="17"/>
      <c r="C100" s="900"/>
      <c r="D100" s="342"/>
      <c r="E100" s="901" t="s">
        <v>214</v>
      </c>
      <c r="F100" s="1533" t="str">
        <f>Translations!$B$724</f>
        <v>Waste gases: emissions from waste gases which are IMPORTED from other installations or sub-installations and consumed in this sub-installation, should not be included here but under point (l) below.</v>
      </c>
      <c r="G100" s="1512"/>
      <c r="H100" s="1512"/>
      <c r="I100" s="1512"/>
      <c r="J100" s="1512"/>
      <c r="K100" s="1512"/>
      <c r="L100" s="1512"/>
      <c r="M100" s="1512"/>
      <c r="N100" s="1513"/>
      <c r="O100" s="17"/>
    </row>
    <row r="101" spans="2:23" ht="12.75" customHeight="1" x14ac:dyDescent="0.25">
      <c r="B101" s="17"/>
      <c r="C101" s="900"/>
      <c r="D101" s="157"/>
      <c r="E101" s="1522" t="str">
        <f>Translations!$B$725</f>
        <v>Directly attributable emissions (DirEm*)</v>
      </c>
      <c r="F101" s="1523"/>
      <c r="G101" s="1523"/>
      <c r="H101" s="152" t="str">
        <f>EUconst_Unit</f>
        <v>Unit</v>
      </c>
      <c r="I101" s="153">
        <f>I$1882</f>
        <v>2019</v>
      </c>
      <c r="J101" s="153">
        <f>J$1882</f>
        <v>2020</v>
      </c>
      <c r="K101" s="153">
        <f>K$1882</f>
        <v>2021</v>
      </c>
      <c r="L101" s="153">
        <f>L$1882</f>
        <v>2022</v>
      </c>
      <c r="M101" s="153">
        <f>M$1882</f>
        <v>2023</v>
      </c>
      <c r="N101" s="266"/>
      <c r="O101" s="17"/>
      <c r="R101" s="459"/>
      <c r="S101" s="326">
        <f>I101</f>
        <v>2019</v>
      </c>
      <c r="T101" s="326">
        <f>J101</f>
        <v>2020</v>
      </c>
      <c r="U101" s="326">
        <f>K101</f>
        <v>2021</v>
      </c>
      <c r="V101" s="326">
        <f>L101</f>
        <v>2022</v>
      </c>
      <c r="W101" s="327">
        <f>M101</f>
        <v>2023</v>
      </c>
    </row>
    <row r="102" spans="2:23" ht="12.75" customHeight="1" thickBot="1" x14ac:dyDescent="0.3">
      <c r="B102" s="17"/>
      <c r="C102" s="900"/>
      <c r="D102" s="342"/>
      <c r="E102" s="1510" t="str">
        <f>I13</f>
        <v/>
      </c>
      <c r="F102" s="1510"/>
      <c r="G102" s="1510"/>
      <c r="H102" s="154" t="str">
        <f>EUconst_tCO2epa</f>
        <v>t CO2e/year</v>
      </c>
      <c r="I102" s="293"/>
      <c r="J102" s="293"/>
      <c r="K102" s="293"/>
      <c r="L102" s="293"/>
      <c r="M102" s="293"/>
      <c r="N102" s="266"/>
      <c r="O102" s="17"/>
      <c r="P102" s="63" t="str">
        <f>EUconst_CNTR_Emissions &amp; I13</f>
        <v>DirEmissions_</v>
      </c>
      <c r="R102" s="460" t="str">
        <f>EUconst_CNTR_AttributedEmissions &amp; I13</f>
        <v>AttrEmissions_</v>
      </c>
      <c r="S102" s="389" t="str">
        <f>IF(S13,SUM(I102),"")</f>
        <v/>
      </c>
      <c r="T102" s="389" t="str">
        <f>IF(T13,SUM(J102),"")</f>
        <v/>
      </c>
      <c r="U102" s="389" t="str">
        <f>IF(U13,SUM(K102),"")</f>
        <v/>
      </c>
      <c r="V102" s="389" t="str">
        <f>IF(V13,SUM(L102),"")</f>
        <v/>
      </c>
      <c r="W102" s="390" t="str">
        <f>IF(W13,SUM(M102),"")</f>
        <v/>
      </c>
    </row>
    <row r="103" spans="2:23" ht="12.75" customHeight="1" x14ac:dyDescent="0.25">
      <c r="B103" s="17"/>
      <c r="C103" s="900"/>
      <c r="D103" s="342"/>
      <c r="E103" s="342"/>
      <c r="F103" s="342"/>
      <c r="G103" s="342"/>
      <c r="H103" s="342"/>
      <c r="I103" s="342"/>
      <c r="J103" s="342"/>
      <c r="K103" s="342"/>
      <c r="L103" s="342"/>
      <c r="M103" s="342"/>
      <c r="N103" s="266"/>
      <c r="O103" s="17"/>
    </row>
    <row r="104" spans="2:23" ht="12.75" customHeight="1" x14ac:dyDescent="0.25">
      <c r="B104" s="17"/>
      <c r="C104" s="900"/>
      <c r="D104" s="157" t="s">
        <v>218</v>
      </c>
      <c r="E104" s="1529" t="str">
        <f>Translations!$B$726</f>
        <v>Fuel input to this sub-installation and relevant emission factor</v>
      </c>
      <c r="F104" s="1529"/>
      <c r="G104" s="1529"/>
      <c r="H104" s="1529"/>
      <c r="I104" s="1529"/>
      <c r="J104" s="1529"/>
      <c r="K104" s="1529"/>
      <c r="L104" s="1529"/>
      <c r="M104" s="1529"/>
      <c r="N104" s="1534"/>
      <c r="O104" s="17"/>
    </row>
    <row r="105" spans="2:23" ht="25.5" customHeight="1" x14ac:dyDescent="0.25">
      <c r="B105" s="17"/>
      <c r="C105" s="900"/>
      <c r="D105" s="342"/>
      <c r="E105" s="1533" t="s">
        <v>415</v>
      </c>
      <c r="F105" s="1512"/>
      <c r="G105" s="1512"/>
      <c r="H105" s="1512"/>
      <c r="I105" s="1512"/>
      <c r="J105" s="1512"/>
      <c r="K105" s="1512"/>
      <c r="L105" s="1512"/>
      <c r="M105" s="1512"/>
      <c r="N105" s="1513"/>
      <c r="O105" s="17"/>
    </row>
    <row r="106" spans="2:23" ht="25.5" customHeight="1" x14ac:dyDescent="0.25">
      <c r="B106" s="17"/>
      <c r="C106" s="900"/>
      <c r="D106" s="342"/>
      <c r="E106" s="1533" t="s">
        <v>416</v>
      </c>
      <c r="F106" s="1512"/>
      <c r="G106" s="1512"/>
      <c r="H106" s="1512"/>
      <c r="I106" s="1512"/>
      <c r="J106" s="1512"/>
      <c r="K106" s="1512"/>
      <c r="L106" s="1512"/>
      <c r="M106" s="1512"/>
      <c r="N106" s="1513"/>
      <c r="O106" s="17"/>
    </row>
    <row r="107" spans="2:23" ht="12.75" customHeight="1" x14ac:dyDescent="0.25">
      <c r="B107" s="17"/>
      <c r="C107" s="900"/>
      <c r="D107" s="342"/>
      <c r="E107" s="1533" t="str">
        <f>Translations!$B$729</f>
        <v>The weighted emission factor should furthermore include emissions from corresponding flue gas cleaning, if applicable.</v>
      </c>
      <c r="F107" s="1512"/>
      <c r="G107" s="1512"/>
      <c r="H107" s="1512"/>
      <c r="I107" s="1512"/>
      <c r="J107" s="1512"/>
      <c r="K107" s="1512"/>
      <c r="L107" s="1512"/>
      <c r="M107" s="1512"/>
      <c r="N107" s="1513"/>
      <c r="O107" s="17"/>
    </row>
    <row r="108" spans="2:23" ht="12.75" customHeight="1" x14ac:dyDescent="0.25">
      <c r="B108" s="17"/>
      <c r="C108" s="900"/>
      <c r="D108" s="342"/>
      <c r="E108" s="1535" t="str">
        <f>Translations!$B$730</f>
        <v>Data provided here are only used for consistency checking and have no direct impact on either the attributable emissions or the allocation.</v>
      </c>
      <c r="F108" s="1511"/>
      <c r="G108" s="1511"/>
      <c r="H108" s="1511"/>
      <c r="I108" s="1511"/>
      <c r="J108" s="1511"/>
      <c r="K108" s="1511"/>
      <c r="L108" s="1511"/>
      <c r="M108" s="1511"/>
      <c r="N108" s="1536"/>
      <c r="O108" s="17"/>
    </row>
    <row r="109" spans="2:23" ht="12.75" customHeight="1" x14ac:dyDescent="0.25">
      <c r="B109" s="17"/>
      <c r="C109" s="900"/>
      <c r="D109" s="157"/>
      <c r="E109" s="1522"/>
      <c r="F109" s="1523"/>
      <c r="G109" s="1523"/>
      <c r="H109" s="152" t="str">
        <f>EUconst_Unit</f>
        <v>Unit</v>
      </c>
      <c r="I109" s="153">
        <f>I$1882</f>
        <v>2019</v>
      </c>
      <c r="J109" s="153">
        <f>J$1882</f>
        <v>2020</v>
      </c>
      <c r="K109" s="153">
        <f>K$1882</f>
        <v>2021</v>
      </c>
      <c r="L109" s="153">
        <f>L$1882</f>
        <v>2022</v>
      </c>
      <c r="M109" s="153">
        <f>M$1882</f>
        <v>2023</v>
      </c>
      <c r="N109" s="266"/>
      <c r="O109" s="17"/>
    </row>
    <row r="110" spans="2:23" ht="12.75" customHeight="1" x14ac:dyDescent="0.25">
      <c r="B110" s="17"/>
      <c r="C110" s="900"/>
      <c r="D110" s="193" t="s">
        <v>206</v>
      </c>
      <c r="E110" s="1528" t="str">
        <f>Translations!$B$731</f>
        <v>Fuel input</v>
      </c>
      <c r="F110" s="1528"/>
      <c r="G110" s="1528"/>
      <c r="H110" s="154" t="str">
        <f>EUconst_TJpa</f>
        <v>TJ / year</v>
      </c>
      <c r="I110" s="293"/>
      <c r="J110" s="293"/>
      <c r="K110" s="293"/>
      <c r="L110" s="293"/>
      <c r="M110" s="293"/>
      <c r="N110" s="277"/>
      <c r="O110" s="17"/>
      <c r="P110" s="63" t="str">
        <f>EUconst_CNTR_FuelInput &amp; I13</f>
        <v>FuelInput_</v>
      </c>
    </row>
    <row r="111" spans="2:23" ht="12.75" customHeight="1" x14ac:dyDescent="0.25">
      <c r="B111" s="17"/>
      <c r="C111" s="900"/>
      <c r="D111" s="193" t="s">
        <v>208</v>
      </c>
      <c r="E111" s="1523" t="str">
        <f>Translations!$B$732</f>
        <v>Weighted emission factor</v>
      </c>
      <c r="F111" s="1523"/>
      <c r="G111" s="1523"/>
      <c r="H111" s="904" t="str">
        <f>EUconst_tCO2pTJ</f>
        <v>t CO2 / TJ</v>
      </c>
      <c r="I111" s="865"/>
      <c r="J111" s="865"/>
      <c r="K111" s="865"/>
      <c r="L111" s="865"/>
      <c r="M111" s="865"/>
      <c r="N111" s="266"/>
      <c r="O111" s="17"/>
      <c r="P111" s="63" t="str">
        <f>EUconst_CNTR_FuelEF &amp; I13</f>
        <v>FuelEF_</v>
      </c>
    </row>
    <row r="112" spans="2:23" ht="12.75" customHeight="1" x14ac:dyDescent="0.25">
      <c r="B112" s="17"/>
      <c r="C112" s="900"/>
      <c r="D112" s="342"/>
      <c r="E112" s="342"/>
      <c r="F112" s="342"/>
      <c r="G112" s="342"/>
      <c r="H112" s="342"/>
      <c r="I112" s="342"/>
      <c r="J112" s="342"/>
      <c r="K112" s="342"/>
      <c r="L112" s="342"/>
      <c r="M112" s="342"/>
      <c r="N112" s="266"/>
      <c r="O112" s="17"/>
    </row>
    <row r="113" spans="2:27" ht="12.75" customHeight="1" x14ac:dyDescent="0.25">
      <c r="B113" s="17"/>
      <c r="C113" s="900"/>
      <c r="D113" s="157" t="s">
        <v>225</v>
      </c>
      <c r="E113" s="1529" t="str">
        <f>Translations!$B$733</f>
        <v>Further internal source streams imported to or exported from this sub-installation</v>
      </c>
      <c r="F113" s="1529"/>
      <c r="G113" s="1529"/>
      <c r="H113" s="1529"/>
      <c r="I113" s="1529"/>
      <c r="J113" s="1529"/>
      <c r="K113" s="1529"/>
      <c r="L113" s="1529"/>
      <c r="M113" s="1529"/>
      <c r="N113" s="1534"/>
      <c r="O113" s="17"/>
    </row>
    <row r="114" spans="2:27" ht="12.75" customHeight="1" x14ac:dyDescent="0.25">
      <c r="B114" s="17"/>
      <c r="C114" s="900"/>
      <c r="D114" s="193"/>
      <c r="E114" s="1535" t="s">
        <v>417</v>
      </c>
      <c r="F114" s="1511"/>
      <c r="G114" s="1511"/>
      <c r="H114" s="1511"/>
      <c r="I114" s="1511"/>
      <c r="J114" s="1511"/>
      <c r="K114" s="1511"/>
      <c r="L114" s="1511"/>
      <c r="M114" s="1511"/>
      <c r="N114" s="1536"/>
      <c r="O114" s="17"/>
    </row>
    <row r="115" spans="2:27" ht="25.5" customHeight="1" x14ac:dyDescent="0.25">
      <c r="B115" s="17"/>
      <c r="C115" s="900"/>
      <c r="D115" s="342"/>
      <c r="E115" s="1535" t="str">
        <f>Translations!$B$734</f>
        <v>It is important to note that any source streams should only be listed here if they are not already covered by the direct emissions under (g) above to avoid any data gaps or double counting. Emissions associated with waste gases should NOT be listed here but under (l) below.</v>
      </c>
      <c r="F115" s="1511"/>
      <c r="G115" s="1511"/>
      <c r="H115" s="1511"/>
      <c r="I115" s="1511"/>
      <c r="J115" s="1511"/>
      <c r="K115" s="1511"/>
      <c r="L115" s="1511"/>
      <c r="M115" s="1511"/>
      <c r="N115" s="1536"/>
      <c r="O115" s="17"/>
    </row>
    <row r="116" spans="2:27" ht="12.75" customHeight="1" x14ac:dyDescent="0.25">
      <c r="B116" s="17"/>
      <c r="C116" s="900"/>
      <c r="D116" s="342"/>
      <c r="E116" s="1533" t="str">
        <f>Translations!$B$735</f>
        <v>Please enter here information on the so-called internal source streams, that are transferred between sub-installations, i.e. imported to or exported from this sub-installation.</v>
      </c>
      <c r="F116" s="1512"/>
      <c r="G116" s="1512"/>
      <c r="H116" s="1512"/>
      <c r="I116" s="1512"/>
      <c r="J116" s="1512"/>
      <c r="K116" s="1512"/>
      <c r="L116" s="1512"/>
      <c r="M116" s="1512"/>
      <c r="N116" s="1513"/>
      <c r="O116" s="17"/>
    </row>
    <row r="117" spans="2:27" ht="38.85" customHeight="1" x14ac:dyDescent="0.25">
      <c r="B117" s="17"/>
      <c r="C117" s="900"/>
      <c r="D117" s="342"/>
      <c r="E117" s="1533" t="str">
        <f>Translations!$B$736</f>
        <v>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v>
      </c>
      <c r="F117" s="1512"/>
      <c r="G117" s="1512"/>
      <c r="H117" s="1512"/>
      <c r="I117" s="1512"/>
      <c r="J117" s="1512"/>
      <c r="K117" s="1512"/>
      <c r="L117" s="1512"/>
      <c r="M117" s="1512"/>
      <c r="N117" s="1513"/>
      <c r="O117" s="17"/>
    </row>
    <row r="118" spans="2:27" ht="51" customHeight="1" x14ac:dyDescent="0.25">
      <c r="B118" s="17"/>
      <c r="C118" s="900"/>
      <c r="D118" s="342"/>
      <c r="E118" s="1533" t="str">
        <f>Translations!$B$737</f>
        <v>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v>
      </c>
      <c r="F118" s="1512"/>
      <c r="G118" s="1512"/>
      <c r="H118" s="1512"/>
      <c r="I118" s="1512"/>
      <c r="J118" s="1512"/>
      <c r="K118" s="1512"/>
      <c r="L118" s="1512"/>
      <c r="M118" s="1512"/>
      <c r="N118" s="1513"/>
      <c r="O118" s="17"/>
    </row>
    <row r="119" spans="2:27" ht="25.5" customHeight="1" thickBot="1" x14ac:dyDescent="0.3">
      <c r="B119" s="17"/>
      <c r="C119" s="900"/>
      <c r="D119" s="342"/>
      <c r="E119" s="1533" t="str">
        <f>Translations!$B$738</f>
        <v>Conversely, if this is the hot metal benchmark sub-installation in an integrated iron&amp;steel plant, coke needs to be listed here as ingoing/imported "internal" source stream with positive amounts.</v>
      </c>
      <c r="F119" s="1512"/>
      <c r="G119" s="1512"/>
      <c r="H119" s="1512"/>
      <c r="I119" s="1512"/>
      <c r="J119" s="1512"/>
      <c r="K119" s="1512"/>
      <c r="L119" s="1512"/>
      <c r="M119" s="1512"/>
      <c r="N119" s="1513"/>
      <c r="O119" s="17"/>
    </row>
    <row r="120" spans="2:27" ht="12.75" customHeight="1" thickBot="1" x14ac:dyDescent="0.3">
      <c r="B120" s="17"/>
      <c r="C120" s="900"/>
      <c r="D120" s="193" t="s">
        <v>206</v>
      </c>
      <c r="E120" s="1514" t="str">
        <f>Translations!$B$739</f>
        <v>Are further imported or exported internal source streams relevant for this sub-installation?</v>
      </c>
      <c r="F120" s="1514"/>
      <c r="G120" s="1514"/>
      <c r="H120" s="1514"/>
      <c r="I120" s="1514"/>
      <c r="J120" s="1514"/>
      <c r="K120" s="1515"/>
      <c r="L120" s="194"/>
      <c r="M120" s="762"/>
      <c r="N120" s="763"/>
      <c r="O120" s="17"/>
      <c r="W120" s="288" t="s">
        <v>418</v>
      </c>
      <c r="X120" s="215" t="b">
        <f>IF(AND(I13&lt;&gt;"",ISBLANK(L120)),EUconst_Error&amp;"BM"&amp;C13,FALSE)</f>
        <v>0</v>
      </c>
    </row>
    <row r="121" spans="2:27" ht="12.75" customHeight="1" thickBot="1" x14ac:dyDescent="0.3">
      <c r="B121" s="17"/>
      <c r="C121" s="900"/>
      <c r="D121" s="342"/>
      <c r="E121" s="1533" t="str">
        <f>Translations!$B$740</f>
        <v>If there are more than two source streams imported or exported, multiple source streams should be grouped together and respective names provided.</v>
      </c>
      <c r="F121" s="1512"/>
      <c r="G121" s="1512"/>
      <c r="H121" s="1512"/>
      <c r="I121" s="1512"/>
      <c r="J121" s="1512"/>
      <c r="K121" s="1512"/>
      <c r="L121" s="1512"/>
      <c r="M121" s="1512"/>
      <c r="N121" s="1513"/>
      <c r="O121" s="17"/>
      <c r="AA121" s="145" t="s">
        <v>396</v>
      </c>
    </row>
    <row r="122" spans="2:27" ht="12.75" customHeight="1" x14ac:dyDescent="0.25">
      <c r="B122" s="17"/>
      <c r="C122" s="900"/>
      <c r="D122" s="193" t="s">
        <v>208</v>
      </c>
      <c r="E122" s="1529" t="str">
        <f>Translations!$B$741</f>
        <v>Name of further source streams - 1:</v>
      </c>
      <c r="F122" s="1529"/>
      <c r="G122" s="1529"/>
      <c r="H122" s="1529"/>
      <c r="I122" s="1530"/>
      <c r="J122" s="1531"/>
      <c r="K122" s="1531"/>
      <c r="L122" s="1531"/>
      <c r="M122" s="1532"/>
      <c r="N122" s="266"/>
      <c r="O122" s="17"/>
      <c r="AA122" s="316" t="b">
        <f>IF(I13&lt;&gt;"",AND(L120&lt;&gt;"",L120=FALSE),FALSE)</f>
        <v>0</v>
      </c>
    </row>
    <row r="123" spans="2:27" ht="5.0999999999999996" customHeight="1" x14ac:dyDescent="0.25">
      <c r="B123" s="17"/>
      <c r="C123" s="900"/>
      <c r="D123" s="342"/>
      <c r="E123" s="902"/>
      <c r="F123" s="762"/>
      <c r="G123" s="762"/>
      <c r="H123" s="762"/>
      <c r="I123" s="762"/>
      <c r="J123" s="762"/>
      <c r="K123" s="762"/>
      <c r="L123" s="762"/>
      <c r="M123" s="762"/>
      <c r="N123" s="763"/>
      <c r="O123" s="17"/>
      <c r="AA123" s="815"/>
    </row>
    <row r="124" spans="2:27" ht="12.75" customHeight="1" x14ac:dyDescent="0.25">
      <c r="B124" s="17"/>
      <c r="C124" s="900"/>
      <c r="D124" s="342"/>
      <c r="E124" s="1522" t="str">
        <f>Translations!$B$742</f>
        <v>Further source streams - 1</v>
      </c>
      <c r="F124" s="1523"/>
      <c r="G124" s="1523"/>
      <c r="H124" s="152" t="str">
        <f>EUconst_Unit</f>
        <v>Unit</v>
      </c>
      <c r="I124" s="153">
        <f>I$1882</f>
        <v>2019</v>
      </c>
      <c r="J124" s="153">
        <f>J$1882</f>
        <v>2020</v>
      </c>
      <c r="K124" s="153">
        <f>K$1882</f>
        <v>2021</v>
      </c>
      <c r="L124" s="153">
        <f>L$1882</f>
        <v>2022</v>
      </c>
      <c r="M124" s="153">
        <f>M$1882</f>
        <v>2023</v>
      </c>
      <c r="N124" s="266"/>
      <c r="O124" s="17"/>
      <c r="AA124" s="815"/>
    </row>
    <row r="125" spans="2:27" ht="12.75" customHeight="1" x14ac:dyDescent="0.25">
      <c r="B125" s="17"/>
      <c r="C125" s="900"/>
      <c r="D125" s="193" t="s">
        <v>209</v>
      </c>
      <c r="E125" s="1526" t="str">
        <f>Translations!$B$743</f>
        <v>Amount imported or exported</v>
      </c>
      <c r="F125" s="1526"/>
      <c r="G125" s="1526"/>
      <c r="H125" s="939" t="str">
        <f>EUconst_tpa</f>
        <v>t / year</v>
      </c>
      <c r="I125" s="825"/>
      <c r="J125" s="825"/>
      <c r="K125" s="825"/>
      <c r="L125" s="825"/>
      <c r="M125" s="825"/>
      <c r="N125" s="266"/>
      <c r="O125" s="17"/>
      <c r="AA125" s="285" t="b">
        <f>AA122</f>
        <v>0</v>
      </c>
    </row>
    <row r="126" spans="2:27" ht="12.75" customHeight="1" x14ac:dyDescent="0.25">
      <c r="B126" s="17"/>
      <c r="C126" s="900"/>
      <c r="D126" s="193" t="s">
        <v>210</v>
      </c>
      <c r="E126" s="1540" t="str">
        <f>Translations!$B$744</f>
        <v>Net calorific value (NCV), if applicable</v>
      </c>
      <c r="F126" s="1540"/>
      <c r="G126" s="1540"/>
      <c r="H126" s="940" t="str">
        <f>EUconst_GJpt</f>
        <v>GJ / t</v>
      </c>
      <c r="I126" s="296"/>
      <c r="J126" s="296"/>
      <c r="K126" s="296"/>
      <c r="L126" s="296"/>
      <c r="M126" s="296"/>
      <c r="N126" s="266"/>
      <c r="O126" s="17"/>
      <c r="AA126" s="285" t="b">
        <f>AA125</f>
        <v>0</v>
      </c>
    </row>
    <row r="127" spans="2:27" ht="12.75" customHeight="1" thickBot="1" x14ac:dyDescent="0.3">
      <c r="B127" s="17"/>
      <c r="C127" s="900"/>
      <c r="D127" s="193" t="s">
        <v>220</v>
      </c>
      <c r="E127" s="1540" t="str">
        <f>Translations!$B$745</f>
        <v>Carbon content (mass %)</v>
      </c>
      <c r="F127" s="1540"/>
      <c r="G127" s="1540"/>
      <c r="H127" s="941" t="s">
        <v>419</v>
      </c>
      <c r="I127" s="296"/>
      <c r="J127" s="296"/>
      <c r="K127" s="296"/>
      <c r="L127" s="296"/>
      <c r="M127" s="296"/>
      <c r="N127" s="266"/>
      <c r="O127" s="17"/>
      <c r="AA127" s="285" t="b">
        <f>AA126</f>
        <v>0</v>
      </c>
    </row>
    <row r="128" spans="2:27" ht="12.75" customHeight="1" x14ac:dyDescent="0.25">
      <c r="B128" s="17"/>
      <c r="C128" s="900"/>
      <c r="D128" s="193" t="s">
        <v>221</v>
      </c>
      <c r="E128" s="1527" t="str">
        <f>Translations!$B$746</f>
        <v>Biomass content (as fraction of carbon)</v>
      </c>
      <c r="F128" s="1527"/>
      <c r="G128" s="1527"/>
      <c r="H128" s="343" t="s">
        <v>419</v>
      </c>
      <c r="I128" s="826"/>
      <c r="J128" s="826"/>
      <c r="K128" s="826"/>
      <c r="L128" s="826"/>
      <c r="M128" s="826"/>
      <c r="N128" s="266"/>
      <c r="O128" s="17"/>
      <c r="R128" s="459"/>
      <c r="S128" s="326">
        <f>I124</f>
        <v>2019</v>
      </c>
      <c r="T128" s="326">
        <f>J124</f>
        <v>2020</v>
      </c>
      <c r="U128" s="326">
        <f>K124</f>
        <v>2021</v>
      </c>
      <c r="V128" s="326">
        <f>L124</f>
        <v>2022</v>
      </c>
      <c r="W128" s="327">
        <f>M124</f>
        <v>2023</v>
      </c>
      <c r="AA128" s="285" t="b">
        <f>AA127</f>
        <v>0</v>
      </c>
    </row>
    <row r="129" spans="2:27" ht="12.75" customHeight="1" thickBot="1" x14ac:dyDescent="0.3">
      <c r="B129" s="17"/>
      <c r="C129" s="900"/>
      <c r="D129" s="193" t="s">
        <v>222</v>
      </c>
      <c r="E129" s="1526" t="str">
        <f>Translations!$B$747</f>
        <v>Emissions (fossil, calculated)</v>
      </c>
      <c r="F129" s="1526"/>
      <c r="G129" s="1526"/>
      <c r="H129" s="942" t="str">
        <f>EUconst_tCO2pa</f>
        <v>t CO2 / year</v>
      </c>
      <c r="I129" s="943" t="str">
        <f>IF(AND(COUNT(I125:I128)&gt;0,I132=""),3.664*I125*(I127/100)*(1-I128/100),"")</f>
        <v/>
      </c>
      <c r="J129" s="943" t="str">
        <f>IF(AND(COUNT(J125:J128)&gt;0,J132=""),3.664*J125*(J127/100)*(1-J128/100),"")</f>
        <v/>
      </c>
      <c r="K129" s="943" t="str">
        <f>IF(AND(COUNT(K125:K128)&gt;0,K132=""),3.664*K125*(K127/100)*(1-K128/100),"")</f>
        <v/>
      </c>
      <c r="L129" s="943" t="str">
        <f>IF(AND(COUNT(L125:L128)&gt;0,L132=""),3.664*L125*(L127/100)*(1-L128/100),"")</f>
        <v/>
      </c>
      <c r="M129" s="943" t="str">
        <f>IF(AND(COUNT(M125:M128)&gt;0,M132=""),3.664*M125*(M127/100)*(1-M128/100),"")</f>
        <v/>
      </c>
      <c r="N129" s="266"/>
      <c r="O129" s="17"/>
      <c r="P129" s="63" t="str">
        <f>EUconst_CNTR_EmissionsIntSource1 &amp; I13</f>
        <v>EmInternalSource1_</v>
      </c>
      <c r="R129" s="460" t="str">
        <f>EUconst_CNTR_AttributedEmissions &amp; I13</f>
        <v>AttrEmissions_</v>
      </c>
      <c r="S129" s="389" t="str">
        <f>IF(S13,SUM(I129),"")</f>
        <v/>
      </c>
      <c r="T129" s="389" t="str">
        <f>IF(T13,SUM(J129),"")</f>
        <v/>
      </c>
      <c r="U129" s="389" t="str">
        <f>IF(U13,SUM(K129),"")</f>
        <v/>
      </c>
      <c r="V129" s="389" t="str">
        <f>IF(V13,SUM(L129),"")</f>
        <v/>
      </c>
      <c r="W129" s="390" t="str">
        <f>IF(W13,SUM(M129),"")</f>
        <v/>
      </c>
      <c r="AA129" s="815"/>
    </row>
    <row r="130" spans="2:27" ht="12.75" customHeight="1" x14ac:dyDescent="0.25">
      <c r="B130" s="17"/>
      <c r="C130" s="900"/>
      <c r="D130" s="193" t="s">
        <v>223</v>
      </c>
      <c r="E130" s="1540" t="str">
        <f>Translations!$B$748</f>
        <v>Memo-Item: Biomass emissions</v>
      </c>
      <c r="F130" s="1540"/>
      <c r="G130" s="1540"/>
      <c r="H130" s="944" t="str">
        <f>EUconst_tCO2pa</f>
        <v>t CO2 / year</v>
      </c>
      <c r="I130" s="945" t="str">
        <f>IF(ISNUMBER(I129),3.664*I125*(I127/100)*(I128/100),"")</f>
        <v/>
      </c>
      <c r="J130" s="945" t="str">
        <f>IF(ISNUMBER(J129),3.664*J125*(J127/100)*(J128/100),"")</f>
        <v/>
      </c>
      <c r="K130" s="945" t="str">
        <f>IF(ISNUMBER(K129),3.664*K125*(K127/100)*(K128/100),"")</f>
        <v/>
      </c>
      <c r="L130" s="945" t="str">
        <f>IF(ISNUMBER(L129),3.664*L125*(L127/100)*(L128/100),"")</f>
        <v/>
      </c>
      <c r="M130" s="945" t="str">
        <f>IF(ISNUMBER(M129),3.664*M125*(M127/100)*(M128/100),"")</f>
        <v/>
      </c>
      <c r="N130" s="266"/>
      <c r="O130" s="17"/>
      <c r="AA130" s="815"/>
    </row>
    <row r="131" spans="2:27" ht="12.75" customHeight="1" x14ac:dyDescent="0.25">
      <c r="B131" s="17"/>
      <c r="C131" s="900"/>
      <c r="D131" s="193" t="s">
        <v>224</v>
      </c>
      <c r="E131" s="1527" t="str">
        <f>Translations!$B$749</f>
        <v>Energy content (calculated)</v>
      </c>
      <c r="F131" s="1527"/>
      <c r="G131" s="1527"/>
      <c r="H131" s="946" t="str">
        <f>EUconst_TJpa</f>
        <v>TJ / year</v>
      </c>
      <c r="I131" s="841" t="str">
        <f>IF(COUNT(I125:I126)=2,I125*I126/1000,"")</f>
        <v/>
      </c>
      <c r="J131" s="841" t="str">
        <f>IF(COUNT(J125:J126)=2,J125*J126/1000,"")</f>
        <v/>
      </c>
      <c r="K131" s="841" t="str">
        <f>IF(COUNT(K125:K126)=2,K125*K126/1000,"")</f>
        <v/>
      </c>
      <c r="L131" s="841" t="str">
        <f>IF(COUNT(L125:L126)=2,L125*L126/1000,"")</f>
        <v/>
      </c>
      <c r="M131" s="841" t="str">
        <f>IF(COUNT(M125:M126)=2,M125*M126/1000,"")</f>
        <v/>
      </c>
      <c r="N131" s="266"/>
      <c r="O131" s="17"/>
      <c r="AA131" s="815"/>
    </row>
    <row r="132" spans="2:27" ht="12.75" customHeight="1" x14ac:dyDescent="0.25">
      <c r="B132" s="17"/>
      <c r="C132" s="900"/>
      <c r="D132" s="193" t="s">
        <v>345</v>
      </c>
      <c r="E132" s="1541" t="str">
        <f>Translations!$B$750</f>
        <v>Error messages (emissions)</v>
      </c>
      <c r="F132" s="1541"/>
      <c r="G132" s="1541"/>
      <c r="H132" s="947"/>
      <c r="I132" s="267" t="str">
        <f>IF(COUNT(I125,I127:I128)&gt;0,IF(COUNTIF(I126:I128,"&lt;0")&gt;0,EUconst_Negative,IF(COUNT(I125,I127:I128)&lt;3,EUconst_Incomplete,"")),"")</f>
        <v/>
      </c>
      <c r="J132" s="267" t="str">
        <f>IF(COUNT(J125,J127:J128)&gt;0,IF(COUNTIF(J126:J128,"&lt;0")&gt;0,EUconst_Negative,IF(COUNT(J125,J127:J128)&lt;3,EUconst_Incomplete,"")),"")</f>
        <v/>
      </c>
      <c r="K132" s="267" t="str">
        <f>IF(COUNT(K125,K127:K128)&gt;0,IF(COUNTIF(K126:K128,"&lt;0")&gt;0,EUconst_Negative,IF(COUNT(K125,K127:K128)&lt;3,EUconst_Incomplete,"")),"")</f>
        <v/>
      </c>
      <c r="L132" s="267" t="str">
        <f>IF(COUNT(L125,L127:L128)&gt;0,IF(COUNTIF(L126:L128,"&lt;0")&gt;0,EUconst_Negative,IF(COUNT(L125,L127:L128)&lt;3,EUconst_Incomplete,"")),"")</f>
        <v/>
      </c>
      <c r="M132" s="267" t="str">
        <f>IF(COUNT(M125,M127:M128)&gt;0,IF(COUNTIF(M126:M128,"&lt;0")&gt;0,EUconst_Negative,IF(COUNT(M125,M127:M128)&lt;3,EUconst_Incomplete,"")),"")</f>
        <v/>
      </c>
      <c r="N132" s="266"/>
      <c r="O132" s="17"/>
      <c r="AA132" s="815"/>
    </row>
    <row r="133" spans="2:27" ht="12.75" customHeight="1" x14ac:dyDescent="0.25">
      <c r="B133" s="17"/>
      <c r="C133" s="900"/>
      <c r="D133" s="193"/>
      <c r="E133" s="342"/>
      <c r="F133" s="342"/>
      <c r="G133" s="342"/>
      <c r="H133" s="342"/>
      <c r="I133" s="342"/>
      <c r="J133" s="342"/>
      <c r="K133" s="342"/>
      <c r="L133" s="342"/>
      <c r="M133" s="342"/>
      <c r="N133" s="266"/>
      <c r="O133" s="17"/>
      <c r="AA133" s="815"/>
    </row>
    <row r="134" spans="2:27" ht="12.75" customHeight="1" x14ac:dyDescent="0.25">
      <c r="B134" s="17"/>
      <c r="C134" s="900"/>
      <c r="D134" s="193" t="s">
        <v>346</v>
      </c>
      <c r="E134" s="1529" t="str">
        <f>Translations!$B$751</f>
        <v>Name of further source streams - 2:</v>
      </c>
      <c r="F134" s="1529"/>
      <c r="G134" s="1529"/>
      <c r="H134" s="1529"/>
      <c r="I134" s="1530"/>
      <c r="J134" s="1531"/>
      <c r="K134" s="1531"/>
      <c r="L134" s="1531"/>
      <c r="M134" s="1532"/>
      <c r="N134" s="763"/>
      <c r="O134" s="17"/>
      <c r="AA134" s="285" t="b">
        <f>AA122</f>
        <v>0</v>
      </c>
    </row>
    <row r="135" spans="2:27" ht="5.0999999999999996" customHeight="1" x14ac:dyDescent="0.25">
      <c r="B135" s="17"/>
      <c r="C135" s="900"/>
      <c r="D135" s="342"/>
      <c r="E135" s="902"/>
      <c r="F135" s="762"/>
      <c r="G135" s="762"/>
      <c r="H135" s="762"/>
      <c r="I135" s="762"/>
      <c r="J135" s="762"/>
      <c r="K135" s="762"/>
      <c r="L135" s="762"/>
      <c r="M135" s="762"/>
      <c r="N135" s="763"/>
      <c r="O135" s="17"/>
      <c r="AA135" s="815"/>
    </row>
    <row r="136" spans="2:27" ht="12.75" customHeight="1" x14ac:dyDescent="0.25">
      <c r="B136" s="17"/>
      <c r="C136" s="900"/>
      <c r="D136" s="193"/>
      <c r="E136" s="1522" t="str">
        <f>Translations!$B$752</f>
        <v>Further source streams - 2</v>
      </c>
      <c r="F136" s="1523"/>
      <c r="G136" s="1523"/>
      <c r="H136" s="152" t="str">
        <f>EUconst_Unit</f>
        <v>Unit</v>
      </c>
      <c r="I136" s="153">
        <f>I$1882</f>
        <v>2019</v>
      </c>
      <c r="J136" s="153">
        <f>J$1882</f>
        <v>2020</v>
      </c>
      <c r="K136" s="153">
        <f>K$1882</f>
        <v>2021</v>
      </c>
      <c r="L136" s="153">
        <f>L$1882</f>
        <v>2022</v>
      </c>
      <c r="M136" s="153">
        <f>M$1882</f>
        <v>2023</v>
      </c>
      <c r="N136" s="266"/>
      <c r="O136" s="17"/>
      <c r="AA136" s="815"/>
    </row>
    <row r="137" spans="2:27" ht="12.75" customHeight="1" x14ac:dyDescent="0.25">
      <c r="B137" s="17"/>
      <c r="C137" s="900"/>
      <c r="D137" s="193" t="s">
        <v>347</v>
      </c>
      <c r="E137" s="1526" t="str">
        <f>Translations!$B$743</f>
        <v>Amount imported or exported</v>
      </c>
      <c r="F137" s="1526"/>
      <c r="G137" s="1526"/>
      <c r="H137" s="939" t="str">
        <f>EUconst_tpa</f>
        <v>t / year</v>
      </c>
      <c r="I137" s="825"/>
      <c r="J137" s="825"/>
      <c r="K137" s="825"/>
      <c r="L137" s="825"/>
      <c r="M137" s="825"/>
      <c r="N137" s="266"/>
      <c r="O137" s="17"/>
      <c r="AA137" s="285" t="b">
        <f>AA134</f>
        <v>0</v>
      </c>
    </row>
    <row r="138" spans="2:27" ht="12.75" customHeight="1" x14ac:dyDescent="0.25">
      <c r="B138" s="17"/>
      <c r="C138" s="900"/>
      <c r="D138" s="193" t="s">
        <v>355</v>
      </c>
      <c r="E138" s="1540" t="str">
        <f>Translations!$B$744</f>
        <v>Net calorific value (NCV), if applicable</v>
      </c>
      <c r="F138" s="1540"/>
      <c r="G138" s="1540"/>
      <c r="H138" s="940" t="str">
        <f>EUconst_GJpt</f>
        <v>GJ / t</v>
      </c>
      <c r="I138" s="296"/>
      <c r="J138" s="296"/>
      <c r="K138" s="296"/>
      <c r="L138" s="296"/>
      <c r="M138" s="296"/>
      <c r="N138" s="266"/>
      <c r="O138" s="17"/>
      <c r="AA138" s="285" t="b">
        <f>AA137</f>
        <v>0</v>
      </c>
    </row>
    <row r="139" spans="2:27" ht="12.75" customHeight="1" thickBot="1" x14ac:dyDescent="0.3">
      <c r="B139" s="17"/>
      <c r="C139" s="900"/>
      <c r="D139" s="193" t="s">
        <v>356</v>
      </c>
      <c r="E139" s="1540" t="str">
        <f>Translations!$B$745</f>
        <v>Carbon content (mass %)</v>
      </c>
      <c r="F139" s="1540"/>
      <c r="G139" s="1540"/>
      <c r="H139" s="941" t="s">
        <v>419</v>
      </c>
      <c r="I139" s="296"/>
      <c r="J139" s="296"/>
      <c r="K139" s="296"/>
      <c r="L139" s="296"/>
      <c r="M139" s="296"/>
      <c r="N139" s="266"/>
      <c r="O139" s="17"/>
      <c r="AA139" s="285" t="b">
        <f>AA138</f>
        <v>0</v>
      </c>
    </row>
    <row r="140" spans="2:27" ht="12.75" customHeight="1" thickBot="1" x14ac:dyDescent="0.3">
      <c r="B140" s="17"/>
      <c r="C140" s="900"/>
      <c r="D140" s="193" t="s">
        <v>420</v>
      </c>
      <c r="E140" s="1527" t="str">
        <f>Translations!$B$746</f>
        <v>Biomass content (as fraction of carbon)</v>
      </c>
      <c r="F140" s="1527"/>
      <c r="G140" s="1527"/>
      <c r="H140" s="343" t="s">
        <v>419</v>
      </c>
      <c r="I140" s="826"/>
      <c r="J140" s="826"/>
      <c r="K140" s="826"/>
      <c r="L140" s="826"/>
      <c r="M140" s="826"/>
      <c r="N140" s="266"/>
      <c r="O140" s="17"/>
      <c r="R140" s="459"/>
      <c r="S140" s="326">
        <f>I136</f>
        <v>2019</v>
      </c>
      <c r="T140" s="326">
        <f>J136</f>
        <v>2020</v>
      </c>
      <c r="U140" s="326">
        <f>K136</f>
        <v>2021</v>
      </c>
      <c r="V140" s="326">
        <f>L136</f>
        <v>2022</v>
      </c>
      <c r="W140" s="327">
        <f>M136</f>
        <v>2023</v>
      </c>
      <c r="AA140" s="286" t="b">
        <f>AA139</f>
        <v>0</v>
      </c>
    </row>
    <row r="141" spans="2:27" ht="12.75" customHeight="1" thickBot="1" x14ac:dyDescent="0.3">
      <c r="B141" s="17"/>
      <c r="C141" s="900"/>
      <c r="D141" s="193" t="s">
        <v>421</v>
      </c>
      <c r="E141" s="1526" t="str">
        <f>Translations!$B$747</f>
        <v>Emissions (fossil, calculated)</v>
      </c>
      <c r="F141" s="1526"/>
      <c r="G141" s="1526"/>
      <c r="H141" s="942" t="str">
        <f>EUconst_tCO2pa</f>
        <v>t CO2 / year</v>
      </c>
      <c r="I141" s="943" t="str">
        <f>IF(AND(COUNT(I137:I140)&gt;0,I144=""),3.664*I137*(I139/100)*(1-I140/100),"")</f>
        <v/>
      </c>
      <c r="J141" s="943" t="str">
        <f>IF(AND(COUNT(J137:J140)&gt;0,J144=""),3.664*J137*(J139/100)*(1-J140/100),"")</f>
        <v/>
      </c>
      <c r="K141" s="943" t="str">
        <f>IF(AND(COUNT(K137:K140)&gt;0,K144=""),3.664*K137*(K139/100)*(1-K140/100),"")</f>
        <v/>
      </c>
      <c r="L141" s="943" t="str">
        <f>IF(AND(COUNT(L137:L140)&gt;0,L144=""),3.664*L137*(L139/100)*(1-L140/100),"")</f>
        <v/>
      </c>
      <c r="M141" s="943" t="str">
        <f>IF(AND(COUNT(M137:M140)&gt;0,M144=""),3.664*M137*(M139/100)*(1-M140/100),"")</f>
        <v/>
      </c>
      <c r="N141" s="266"/>
      <c r="O141" s="17"/>
      <c r="P141" s="63" t="str">
        <f>EUconst_CNTR_EmissionsIntSource2 &amp; I13</f>
        <v>EmInternalSource2_</v>
      </c>
      <c r="R141" s="460" t="str">
        <f>EUconst_CNTR_AttributedEmissions &amp; I13</f>
        <v>AttrEmissions_</v>
      </c>
      <c r="S141" s="389" t="str">
        <f>IF(S13,SUM(I141),"")</f>
        <v/>
      </c>
      <c r="T141" s="389" t="str">
        <f>IF(T13,SUM(J141),"")</f>
        <v/>
      </c>
      <c r="U141" s="389" t="str">
        <f>IF(U13,SUM(K141),"")</f>
        <v/>
      </c>
      <c r="V141" s="389" t="str">
        <f>IF(V13,SUM(L141),"")</f>
        <v/>
      </c>
      <c r="W141" s="390" t="str">
        <f>IF(W13,SUM(M141),"")</f>
        <v/>
      </c>
    </row>
    <row r="142" spans="2:27" ht="12.75" customHeight="1" x14ac:dyDescent="0.25">
      <c r="B142" s="17"/>
      <c r="C142" s="900"/>
      <c r="D142" s="193" t="s">
        <v>422</v>
      </c>
      <c r="E142" s="1540" t="str">
        <f>Translations!$B$748</f>
        <v>Memo-Item: Biomass emissions</v>
      </c>
      <c r="F142" s="1540"/>
      <c r="G142" s="1540"/>
      <c r="H142" s="944" t="str">
        <f>EUconst_tCO2pa</f>
        <v>t CO2 / year</v>
      </c>
      <c r="I142" s="945" t="str">
        <f>IF(ISNUMBER(I141),3.664*I137*(I139/100)*(I140/100),"")</f>
        <v/>
      </c>
      <c r="J142" s="945" t="str">
        <f>IF(ISNUMBER(J141),3.664*J137*(J139/100)*(J140/100),"")</f>
        <v/>
      </c>
      <c r="K142" s="945" t="str">
        <f>IF(ISNUMBER(K141),3.664*K137*(K139/100)*(K140/100),"")</f>
        <v/>
      </c>
      <c r="L142" s="945" t="str">
        <f>IF(ISNUMBER(L141),3.664*L137*(L139/100)*(L140/100),"")</f>
        <v/>
      </c>
      <c r="M142" s="945" t="str">
        <f>IF(ISNUMBER(M141),3.664*M137*(M139/100)*(M140/100),"")</f>
        <v/>
      </c>
      <c r="N142" s="266"/>
      <c r="O142" s="17"/>
    </row>
    <row r="143" spans="2:27" ht="12.75" customHeight="1" x14ac:dyDescent="0.25">
      <c r="B143" s="17"/>
      <c r="C143" s="900"/>
      <c r="D143" s="193" t="s">
        <v>423</v>
      </c>
      <c r="E143" s="1527" t="str">
        <f>Translations!$B$749</f>
        <v>Energy content (calculated)</v>
      </c>
      <c r="F143" s="1527"/>
      <c r="G143" s="1527"/>
      <c r="H143" s="946" t="str">
        <f>EUconst_TJpa</f>
        <v>TJ / year</v>
      </c>
      <c r="I143" s="841" t="str">
        <f>IF(COUNT(I137:I138)=2,I137*I138/1000,"")</f>
        <v/>
      </c>
      <c r="J143" s="841" t="str">
        <f>IF(COUNT(J137:J138)=2,J137*J138/1000,"")</f>
        <v/>
      </c>
      <c r="K143" s="841" t="str">
        <f>IF(COUNT(K137:K138)=2,K137*K138/1000,"")</f>
        <v/>
      </c>
      <c r="L143" s="841" t="str">
        <f>IF(COUNT(L137:L138)=2,L137*L138/1000,"")</f>
        <v/>
      </c>
      <c r="M143" s="841" t="str">
        <f>IF(COUNT(M137:M138)=2,M137*M138/1000,"")</f>
        <v/>
      </c>
      <c r="N143" s="266"/>
      <c r="O143" s="17"/>
    </row>
    <row r="144" spans="2:27" ht="12.75" customHeight="1" x14ac:dyDescent="0.25">
      <c r="B144" s="17"/>
      <c r="C144" s="900"/>
      <c r="D144" s="193" t="s">
        <v>356</v>
      </c>
      <c r="E144" s="1541" t="str">
        <f>Translations!$B$750</f>
        <v>Error messages (emissions)</v>
      </c>
      <c r="F144" s="1541"/>
      <c r="G144" s="1541"/>
      <c r="H144" s="947"/>
      <c r="I144" s="267" t="str">
        <f>IF(COUNT(I137,I139:I140)&gt;0,IF(COUNTIF(I138:I140,"&lt;0")&gt;0,EUconst_Negative,IF(COUNT(I137,I139:I140)&lt;3,EUconst_Incomplete,"")),"")</f>
        <v/>
      </c>
      <c r="J144" s="267" t="str">
        <f>IF(COUNT(J137,J139:J140)&gt;0,IF(COUNTIF(J138:J140,"&lt;0")&gt;0,EUconst_Negative,IF(COUNT(J137,J139:J140)&lt;3,EUconst_Incomplete,"")),"")</f>
        <v/>
      </c>
      <c r="K144" s="267" t="str">
        <f>IF(COUNT(K137,K139:K140)&gt;0,IF(COUNTIF(K138:K140,"&lt;0")&gt;0,EUconst_Negative,IF(COUNT(K137,K139:K140)&lt;3,EUconst_Incomplete,"")),"")</f>
        <v/>
      </c>
      <c r="L144" s="267" t="str">
        <f>IF(COUNT(L137,L139:L140)&gt;0,IF(COUNTIF(L138:L140,"&lt;0")&gt;0,EUconst_Negative,IF(COUNT(L137,L139:L140)&lt;3,EUconst_Incomplete,"")),"")</f>
        <v/>
      </c>
      <c r="M144" s="267" t="str">
        <f>IF(COUNT(M137,M139:M140)&gt;0,IF(COUNTIF(M138:M140,"&lt;0")&gt;0,EUconst_Negative,IF(COUNT(M137,M139:M140)&lt;3,EUconst_Incomplete,"")),"")</f>
        <v/>
      </c>
      <c r="N144" s="266"/>
      <c r="O144" s="17"/>
    </row>
    <row r="145" spans="2:27" ht="12.75" customHeight="1" x14ac:dyDescent="0.25">
      <c r="B145" s="17"/>
      <c r="C145" s="900"/>
      <c r="D145" s="342"/>
      <c r="E145" s="342"/>
      <c r="F145" s="342"/>
      <c r="G145" s="342"/>
      <c r="H145" s="342"/>
      <c r="I145" s="342"/>
      <c r="J145" s="342"/>
      <c r="K145" s="342"/>
      <c r="L145" s="342"/>
      <c r="M145" s="342"/>
      <c r="N145" s="266"/>
      <c r="O145" s="17"/>
    </row>
    <row r="146" spans="2:27" ht="12.75" customHeight="1" x14ac:dyDescent="0.25">
      <c r="B146" s="17"/>
      <c r="C146" s="900"/>
      <c r="D146" s="157" t="s">
        <v>339</v>
      </c>
      <c r="E146" s="1511" t="str">
        <f>Translations!$B$753</f>
        <v>Amount of GHG imported or exported as feedstock</v>
      </c>
      <c r="F146" s="1512"/>
      <c r="G146" s="1512"/>
      <c r="H146" s="1512"/>
      <c r="I146" s="1512"/>
      <c r="J146" s="1512"/>
      <c r="K146" s="1512"/>
      <c r="L146" s="1512"/>
      <c r="M146" s="1512"/>
      <c r="N146" s="1513"/>
      <c r="O146" s="17"/>
    </row>
    <row r="147" spans="2:27" ht="12.75" customHeight="1" x14ac:dyDescent="0.25">
      <c r="B147" s="17"/>
      <c r="C147" s="900"/>
      <c r="D147" s="193"/>
      <c r="E147" s="1535" t="s">
        <v>417</v>
      </c>
      <c r="F147" s="1511"/>
      <c r="G147" s="1511"/>
      <c r="H147" s="1511"/>
      <c r="I147" s="1511"/>
      <c r="J147" s="1511"/>
      <c r="K147" s="1511"/>
      <c r="L147" s="1511"/>
      <c r="M147" s="1511"/>
      <c r="N147" s="1536"/>
      <c r="O147" s="17"/>
      <c r="AA147" s="815"/>
    </row>
    <row r="148" spans="2:27" ht="25.5" customHeight="1" x14ac:dyDescent="0.25">
      <c r="B148" s="17"/>
      <c r="C148" s="900"/>
      <c r="D148" s="342"/>
      <c r="E148" s="1533" t="s">
        <v>424</v>
      </c>
      <c r="F148" s="1512"/>
      <c r="G148" s="1512"/>
      <c r="H148" s="1512"/>
      <c r="I148" s="1512"/>
      <c r="J148" s="1512"/>
      <c r="K148" s="1512"/>
      <c r="L148" s="1512"/>
      <c r="M148" s="1512"/>
      <c r="N148" s="1513"/>
      <c r="O148" s="17"/>
    </row>
    <row r="149" spans="2:27" ht="12.75" customHeight="1" thickBot="1" x14ac:dyDescent="0.3">
      <c r="B149" s="17"/>
      <c r="C149" s="900"/>
      <c r="D149" s="342"/>
      <c r="E149" s="1533" t="str">
        <f>Translations!$B$755</f>
        <v>Exported amounts should be entered as negative values and correspond to CO2 that is exported and not released to the atmosphere by this sub-installation.</v>
      </c>
      <c r="F149" s="1512"/>
      <c r="G149" s="1512"/>
      <c r="H149" s="1512"/>
      <c r="I149" s="1512"/>
      <c r="J149" s="1512"/>
      <c r="K149" s="1512"/>
      <c r="L149" s="1512"/>
      <c r="M149" s="1512"/>
      <c r="N149" s="1513"/>
      <c r="O149" s="17"/>
    </row>
    <row r="150" spans="2:27" ht="12.75" customHeight="1" x14ac:dyDescent="0.25">
      <c r="B150" s="17"/>
      <c r="C150" s="900"/>
      <c r="D150" s="157"/>
      <c r="E150" s="1522"/>
      <c r="F150" s="1523"/>
      <c r="G150" s="1523"/>
      <c r="H150" s="152" t="str">
        <f>EUconst_Unit</f>
        <v>Unit</v>
      </c>
      <c r="I150" s="153">
        <f>I$1882</f>
        <v>2019</v>
      </c>
      <c r="J150" s="153">
        <f>J$1882</f>
        <v>2020</v>
      </c>
      <c r="K150" s="153">
        <f>K$1882</f>
        <v>2021</v>
      </c>
      <c r="L150" s="153">
        <f>L$1882</f>
        <v>2022</v>
      </c>
      <c r="M150" s="153">
        <f>M$1882</f>
        <v>2023</v>
      </c>
      <c r="N150" s="266"/>
      <c r="O150" s="17"/>
      <c r="R150" s="459"/>
      <c r="S150" s="326">
        <f>I150</f>
        <v>2019</v>
      </c>
      <c r="T150" s="326">
        <f>J150</f>
        <v>2020</v>
      </c>
      <c r="U150" s="326">
        <f>K150</f>
        <v>2021</v>
      </c>
      <c r="V150" s="326">
        <f>L150</f>
        <v>2022</v>
      </c>
      <c r="W150" s="327">
        <f>M150</f>
        <v>2023</v>
      </c>
    </row>
    <row r="151" spans="2:27" ht="12.75" customHeight="1" thickBot="1" x14ac:dyDescent="0.3">
      <c r="B151" s="17"/>
      <c r="C151" s="900"/>
      <c r="D151" s="193"/>
      <c r="E151" s="1528" t="str">
        <f>Translations!$B$756</f>
        <v>GHG imported or exported</v>
      </c>
      <c r="F151" s="1528"/>
      <c r="G151" s="1528"/>
      <c r="H151" s="154" t="str">
        <f>EUconst_tCO2epa</f>
        <v>t CO2e/year</v>
      </c>
      <c r="I151" s="311"/>
      <c r="J151" s="311"/>
      <c r="K151" s="311"/>
      <c r="L151" s="311"/>
      <c r="M151" s="311"/>
      <c r="N151" s="903"/>
      <c r="O151" s="17"/>
      <c r="P151" s="63" t="str">
        <f>EUconst_CNTR_CO2Feedstock &amp; I13</f>
        <v>EmCO2Feedstock_</v>
      </c>
      <c r="R151" s="460" t="str">
        <f>EUconst_CNTR_AttributedEmissions &amp; I13</f>
        <v>AttrEmissions_</v>
      </c>
      <c r="S151" s="389" t="str">
        <f>IF(S13,SUM(I151),"")</f>
        <v/>
      </c>
      <c r="T151" s="389" t="str">
        <f>IF(T13,SUM(J151),"")</f>
        <v/>
      </c>
      <c r="U151" s="389" t="str">
        <f>IF(U13,SUM(K151),"")</f>
        <v/>
      </c>
      <c r="V151" s="389" t="str">
        <f>IF(V13,SUM(L151),"")</f>
        <v/>
      </c>
      <c r="W151" s="390" t="str">
        <f>IF(W13,SUM(M151),"")</f>
        <v/>
      </c>
    </row>
    <row r="152" spans="2:27" ht="12.75" customHeight="1" x14ac:dyDescent="0.25">
      <c r="B152" s="17"/>
      <c r="C152" s="900"/>
      <c r="D152" s="342"/>
      <c r="E152" s="342"/>
      <c r="F152" s="342"/>
      <c r="G152" s="342"/>
      <c r="H152" s="342"/>
      <c r="I152" s="342"/>
      <c r="J152" s="342"/>
      <c r="K152" s="342"/>
      <c r="L152" s="342"/>
      <c r="M152" s="342"/>
      <c r="N152" s="266"/>
      <c r="O152" s="17"/>
    </row>
    <row r="153" spans="2:27" ht="12.75" customHeight="1" x14ac:dyDescent="0.25">
      <c r="B153" s="17"/>
      <c r="C153" s="900"/>
      <c r="D153" s="157" t="s">
        <v>357</v>
      </c>
      <c r="E153" s="1511" t="str">
        <f>Translations!$B$757</f>
        <v>Measurable heat import to and export from this sub-installation</v>
      </c>
      <c r="F153" s="1512"/>
      <c r="G153" s="1512"/>
      <c r="H153" s="1512"/>
      <c r="I153" s="1512"/>
      <c r="J153" s="1512"/>
      <c r="K153" s="1512"/>
      <c r="L153" s="1512"/>
      <c r="M153" s="1512"/>
      <c r="N153" s="1513"/>
      <c r="O153" s="17"/>
    </row>
    <row r="154" spans="2:27" ht="12.75" customHeight="1" x14ac:dyDescent="0.25">
      <c r="B154" s="17"/>
      <c r="C154" s="900"/>
      <c r="D154" s="193"/>
      <c r="E154" s="1535" t="s">
        <v>425</v>
      </c>
      <c r="F154" s="1511"/>
      <c r="G154" s="1511"/>
      <c r="H154" s="1511"/>
      <c r="I154" s="1511"/>
      <c r="J154" s="1511"/>
      <c r="K154" s="1511"/>
      <c r="L154" s="1511"/>
      <c r="M154" s="1511"/>
      <c r="N154" s="1536"/>
      <c r="O154" s="17"/>
      <c r="AA154" s="815"/>
    </row>
    <row r="155" spans="2:27" ht="25.95" customHeight="1" x14ac:dyDescent="0.25">
      <c r="B155" s="17"/>
      <c r="C155" s="900"/>
      <c r="D155" s="342"/>
      <c r="E155" s="1533" t="s">
        <v>426</v>
      </c>
      <c r="F155" s="1512"/>
      <c r="G155" s="1512"/>
      <c r="H155" s="1512"/>
      <c r="I155" s="1512"/>
      <c r="J155" s="1512"/>
      <c r="K155" s="1512"/>
      <c r="L155" s="1512"/>
      <c r="M155" s="1512"/>
      <c r="N155" s="1513"/>
      <c r="O155" s="17"/>
    </row>
    <row r="156" spans="2:27" ht="25.5" customHeight="1" x14ac:dyDescent="0.25">
      <c r="B156" s="17"/>
      <c r="C156" s="900"/>
      <c r="D156" s="342"/>
      <c r="E156" s="1533" t="str">
        <f>Translations!$B$760</f>
        <v>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v>
      </c>
      <c r="F156" s="1512"/>
      <c r="G156" s="1512"/>
      <c r="H156" s="1512"/>
      <c r="I156" s="1512"/>
      <c r="J156" s="1512"/>
      <c r="K156" s="1512"/>
      <c r="L156" s="1512"/>
      <c r="M156" s="1512"/>
      <c r="N156" s="1513"/>
      <c r="O156" s="17"/>
    </row>
    <row r="157" spans="2:27" ht="25.5" customHeight="1" x14ac:dyDescent="0.25">
      <c r="B157" s="17"/>
      <c r="C157" s="900"/>
      <c r="D157" s="342"/>
      <c r="E157" s="1533" t="str">
        <f>Translations!$B$761</f>
        <v xml:space="preserve">Where the heat is exclusively produced for one sub-installation and corresponding emissions therefore entered under (g) above, corresponding amounts should not be reported here as imports to avoid double counting. </v>
      </c>
      <c r="F157" s="1512"/>
      <c r="G157" s="1512"/>
      <c r="H157" s="1512"/>
      <c r="I157" s="1512"/>
      <c r="J157" s="1512"/>
      <c r="K157" s="1512"/>
      <c r="L157" s="1512"/>
      <c r="M157" s="1512"/>
      <c r="N157" s="1513"/>
      <c r="O157" s="17"/>
    </row>
    <row r="158" spans="2:27" ht="12.75" customHeight="1" thickBot="1" x14ac:dyDescent="0.3">
      <c r="B158" s="17"/>
      <c r="C158" s="900"/>
      <c r="D158" s="342"/>
      <c r="E158" s="1477" t="str">
        <f>Translations!$B$762</f>
        <v>For attributing emissions from cogeneration (CHP) to production of heat, the "CHP tool" in section D.III. of this template has to be used.</v>
      </c>
      <c r="F158" s="1477"/>
      <c r="G158" s="1477"/>
      <c r="H158" s="1477"/>
      <c r="I158" s="1477"/>
      <c r="J158" s="1477"/>
      <c r="K158" s="1477"/>
      <c r="L158" s="1477"/>
      <c r="M158" s="1477"/>
      <c r="N158" s="903"/>
      <c r="O158" s="17"/>
    </row>
    <row r="159" spans="2:27" ht="12.75" customHeight="1" x14ac:dyDescent="0.25">
      <c r="B159" s="17"/>
      <c r="C159" s="900"/>
      <c r="D159" s="342"/>
      <c r="E159" s="1522" t="str">
        <f>Translations!$B$763</f>
        <v>Total heat imported</v>
      </c>
      <c r="F159" s="1523"/>
      <c r="G159" s="1523"/>
      <c r="H159" s="152" t="str">
        <f>EUconst_Unit</f>
        <v>Unit</v>
      </c>
      <c r="I159" s="153">
        <f>I$1882</f>
        <v>2019</v>
      </c>
      <c r="J159" s="153">
        <f>J$1882</f>
        <v>2020</v>
      </c>
      <c r="K159" s="153">
        <f>K$1882</f>
        <v>2021</v>
      </c>
      <c r="L159" s="153">
        <f>L$1882</f>
        <v>2022</v>
      </c>
      <c r="M159" s="153">
        <f>M$1882</f>
        <v>2023</v>
      </c>
      <c r="N159" s="903"/>
      <c r="O159" s="17"/>
      <c r="R159" s="459"/>
      <c r="S159" s="326">
        <f>I159</f>
        <v>2019</v>
      </c>
      <c r="T159" s="326">
        <f>J159</f>
        <v>2020</v>
      </c>
      <c r="U159" s="326">
        <f>K159</f>
        <v>2021</v>
      </c>
      <c r="V159" s="326">
        <f>L159</f>
        <v>2022</v>
      </c>
      <c r="W159" s="327">
        <f>M159</f>
        <v>2023</v>
      </c>
    </row>
    <row r="160" spans="2:27" ht="12.75" customHeight="1" x14ac:dyDescent="0.25">
      <c r="B160" s="17"/>
      <c r="C160" s="900"/>
      <c r="D160" s="193" t="s">
        <v>206</v>
      </c>
      <c r="E160" s="1528" t="str">
        <f>Translations!$B$764</f>
        <v>Net heat imported</v>
      </c>
      <c r="F160" s="1528"/>
      <c r="G160" s="1528"/>
      <c r="H160" s="154" t="str">
        <f>EUconst_TJpa</f>
        <v>TJ / year</v>
      </c>
      <c r="I160" s="311"/>
      <c r="J160" s="311"/>
      <c r="K160" s="311"/>
      <c r="L160" s="311"/>
      <c r="M160" s="311"/>
      <c r="N160" s="277"/>
      <c r="O160" s="17"/>
      <c r="P160" s="63" t="str">
        <f>EUconst_CNTR_HeatImport &amp; I13</f>
        <v>HeatIm_</v>
      </c>
      <c r="R160" s="464" t="str">
        <f>EUconst_ERR_AttrEmBMapplied &amp; I13</f>
        <v>ERR_AttrEmBM_</v>
      </c>
      <c r="S160" s="63">
        <f>IF(AND(I160&lt;&gt;0,I161="",EUconst_StatusOfDataCollection=FALSE),1,0)</f>
        <v>0</v>
      </c>
      <c r="T160" s="63">
        <f>IF(AND(J160&lt;&gt;0,J161="",EUconst_StatusOfDataCollection=FALSE),1,0)</f>
        <v>0</v>
      </c>
      <c r="U160" s="63">
        <f>IF(AND(K160&lt;&gt;0,K161="",EUconst_StatusOfDataCollection=FALSE),1,0)</f>
        <v>0</v>
      </c>
      <c r="V160" s="63">
        <f>IF(AND(L160&lt;&gt;0,L161="",EUconst_StatusOfDataCollection=FALSE),1,0)</f>
        <v>0</v>
      </c>
      <c r="W160" s="803">
        <f>IF(AND(M160&lt;&gt;0,M161="",EUconst_StatusOfDataCollection=FALSE),1,0)</f>
        <v>0</v>
      </c>
      <c r="X160" s="28"/>
    </row>
    <row r="161" spans="2:27" ht="12.75" customHeight="1" thickBot="1" x14ac:dyDescent="0.3">
      <c r="B161" s="17"/>
      <c r="C161" s="900"/>
      <c r="D161" s="193" t="s">
        <v>208</v>
      </c>
      <c r="E161" s="1528" t="str">
        <f>Translations!$B$765</f>
        <v>Specific EF (imported heat)</v>
      </c>
      <c r="F161" s="1528"/>
      <c r="G161" s="1528"/>
      <c r="H161" s="154" t="str">
        <f>EUconst_tCO2pTJ</f>
        <v>t CO2 / TJ</v>
      </c>
      <c r="I161" s="1065"/>
      <c r="J161" s="1065"/>
      <c r="K161" s="1065"/>
      <c r="L161" s="1065"/>
      <c r="M161" s="1065"/>
      <c r="N161" s="266"/>
      <c r="O161" s="17"/>
      <c r="P161" s="63" t="str">
        <f>EUconst_CNTR_HeatImportEF &amp; I13</f>
        <v>HeatImEF_</v>
      </c>
      <c r="R161" s="460" t="str">
        <f>EUconst_CNTR_AttributedEmissions &amp; I13</f>
        <v>AttrEmissions_</v>
      </c>
      <c r="S161" s="389" t="str">
        <f>IF(S13,SUM(I160)*IF(ISNUMBER(I161),I161,EUconst_HeatBMvalueForBM),"")</f>
        <v/>
      </c>
      <c r="T161" s="389" t="str">
        <f>IF(T13,SUM(J160)*IF(ISNUMBER(J161),J161,EUconst_HeatBMvalueForBM),"")</f>
        <v/>
      </c>
      <c r="U161" s="389" t="str">
        <f>IF(U13,SUM(K160)*IF(ISNUMBER(K161),K161,EUconst_HeatBMvalueForBM),"")</f>
        <v/>
      </c>
      <c r="V161" s="389" t="str">
        <f>IF(V13,SUM(L160)*IF(ISNUMBER(L161),L161,EUconst_HeatBMvalueForBM),"")</f>
        <v/>
      </c>
      <c r="W161" s="390" t="str">
        <f>IF(W13,SUM(M160)*IF(ISNUMBER(M161),M161,EUconst_HeatBMvalueForBM),"")</f>
        <v/>
      </c>
    </row>
    <row r="162" spans="2:27" ht="5.0999999999999996" customHeight="1" x14ac:dyDescent="0.25">
      <c r="B162" s="17"/>
      <c r="C162" s="900"/>
      <c r="D162" s="342"/>
      <c r="E162" s="342"/>
      <c r="F162" s="342"/>
      <c r="G162" s="342"/>
      <c r="H162" s="342"/>
      <c r="I162" s="342"/>
      <c r="J162" s="342"/>
      <c r="K162" s="342"/>
      <c r="L162" s="342"/>
      <c r="M162" s="342"/>
      <c r="N162" s="266"/>
      <c r="O162" s="17"/>
    </row>
    <row r="163" spans="2:27" ht="12.75" customHeight="1" x14ac:dyDescent="0.25">
      <c r="B163" s="17"/>
      <c r="C163" s="900"/>
      <c r="D163" s="342"/>
      <c r="E163" s="1522" t="str">
        <f>Translations!$B$766</f>
        <v>Special heat import</v>
      </c>
      <c r="F163" s="1522"/>
      <c r="G163" s="1522"/>
      <c r="H163" s="152" t="str">
        <f>EUconst_Unit</f>
        <v>Unit</v>
      </c>
      <c r="I163" s="153">
        <f>I$1882</f>
        <v>2019</v>
      </c>
      <c r="J163" s="153">
        <f>J$1882</f>
        <v>2020</v>
      </c>
      <c r="K163" s="153">
        <f>K$1882</f>
        <v>2021</v>
      </c>
      <c r="L163" s="153">
        <f>L$1882</f>
        <v>2022</v>
      </c>
      <c r="M163" s="153">
        <f>M$1882</f>
        <v>2023</v>
      </c>
      <c r="N163" s="903"/>
      <c r="O163" s="17"/>
    </row>
    <row r="164" spans="2:27" ht="12.75" customHeight="1" x14ac:dyDescent="0.25">
      <c r="B164" s="17"/>
      <c r="C164" s="900"/>
      <c r="D164" s="193" t="s">
        <v>209</v>
      </c>
      <c r="E164" s="1528" t="str">
        <f>Translations!$B$767</f>
        <v>Net heat imported from pulp sub-installations</v>
      </c>
      <c r="F164" s="1528"/>
      <c r="G164" s="1528"/>
      <c r="H164" s="154" t="str">
        <f>EUconst_TJpa</f>
        <v>TJ / year</v>
      </c>
      <c r="I164" s="948"/>
      <c r="J164" s="948"/>
      <c r="K164" s="948"/>
      <c r="L164" s="948"/>
      <c r="M164" s="948"/>
      <c r="N164" s="277"/>
      <c r="O164" s="17"/>
      <c r="P164" s="63" t="str">
        <f>EUconst_CNTR_HeatImportPulp &amp; I13</f>
        <v>HeatImPulp_</v>
      </c>
    </row>
    <row r="165" spans="2:27" ht="25.5" customHeight="1" x14ac:dyDescent="0.25">
      <c r="B165" s="17"/>
      <c r="C165" s="900"/>
      <c r="D165" s="193" t="s">
        <v>210</v>
      </c>
      <c r="E165" s="1528" t="str">
        <f>Translations!$B$768</f>
        <v>Net heat imported from nitric acid sub-installation</v>
      </c>
      <c r="F165" s="1528"/>
      <c r="G165" s="1528"/>
      <c r="H165" s="154" t="str">
        <f>EUconst_TJpa</f>
        <v>TJ / year</v>
      </c>
      <c r="I165" s="311"/>
      <c r="J165" s="311"/>
      <c r="K165" s="311"/>
      <c r="L165" s="311"/>
      <c r="M165" s="311"/>
      <c r="N165" s="277"/>
      <c r="O165" s="17"/>
      <c r="P165" s="63" t="str">
        <f>EUconst_CNTR_HeatImportNitric &amp; I13</f>
        <v>HeatImNitric_</v>
      </c>
    </row>
    <row r="166" spans="2:27" ht="5.0999999999999996" customHeight="1" thickBot="1" x14ac:dyDescent="0.3">
      <c r="B166" s="17"/>
      <c r="C166" s="900"/>
      <c r="D166" s="342"/>
      <c r="E166" s="342"/>
      <c r="F166" s="342"/>
      <c r="G166" s="342"/>
      <c r="H166" s="342"/>
      <c r="I166" s="342"/>
      <c r="J166" s="342"/>
      <c r="K166" s="342"/>
      <c r="L166" s="342"/>
      <c r="M166" s="342"/>
      <c r="N166" s="266"/>
      <c r="O166" s="17"/>
    </row>
    <row r="167" spans="2:27" ht="12.75" customHeight="1" x14ac:dyDescent="0.25">
      <c r="B167" s="17"/>
      <c r="C167" s="900"/>
      <c r="D167" s="342"/>
      <c r="E167" s="1522" t="str">
        <f>Translations!$B$769</f>
        <v>Total heat exported</v>
      </c>
      <c r="F167" s="1522"/>
      <c r="G167" s="1522"/>
      <c r="H167" s="152" t="str">
        <f>EUconst_Unit</f>
        <v>Unit</v>
      </c>
      <c r="I167" s="153">
        <f>I$1882</f>
        <v>2019</v>
      </c>
      <c r="J167" s="153">
        <f>J$1882</f>
        <v>2020</v>
      </c>
      <c r="K167" s="153">
        <f>K$1882</f>
        <v>2021</v>
      </c>
      <c r="L167" s="153">
        <f>L$1882</f>
        <v>2022</v>
      </c>
      <c r="M167" s="153">
        <f>M$1882</f>
        <v>2023</v>
      </c>
      <c r="N167" s="903"/>
      <c r="O167" s="17"/>
      <c r="R167" s="459"/>
      <c r="S167" s="326">
        <f>I167</f>
        <v>2019</v>
      </c>
      <c r="T167" s="326">
        <f>J167</f>
        <v>2020</v>
      </c>
      <c r="U167" s="326">
        <f>K167</f>
        <v>2021</v>
      </c>
      <c r="V167" s="326">
        <f>L167</f>
        <v>2022</v>
      </c>
      <c r="W167" s="327">
        <f>M167</f>
        <v>2023</v>
      </c>
    </row>
    <row r="168" spans="2:27" ht="12.75" customHeight="1" x14ac:dyDescent="0.25">
      <c r="B168" s="17"/>
      <c r="C168" s="900"/>
      <c r="D168" s="193" t="s">
        <v>220</v>
      </c>
      <c r="E168" s="1528" t="str">
        <f>Translations!$B$770</f>
        <v>Net heat exported</v>
      </c>
      <c r="F168" s="1528"/>
      <c r="G168" s="1528"/>
      <c r="H168" s="154" t="str">
        <f>EUconst_TJpa</f>
        <v>TJ / year</v>
      </c>
      <c r="I168" s="311"/>
      <c r="J168" s="311"/>
      <c r="K168" s="311"/>
      <c r="L168" s="311"/>
      <c r="M168" s="311"/>
      <c r="N168" s="277"/>
      <c r="O168" s="17"/>
      <c r="P168" s="63" t="str">
        <f>EUconst_CNTR_HeatExport &amp; I13</f>
        <v>HeatEx_</v>
      </c>
      <c r="R168" s="464" t="str">
        <f>EUconst_ERR_AttrEmBMapplied &amp; I13</f>
        <v>ERR_AttrEmBM_</v>
      </c>
      <c r="S168" s="63">
        <f>IF(AND(I168&lt;&gt;0,I169="",EUconst_StatusOfDataCollection=FALSE),1,0)</f>
        <v>0</v>
      </c>
      <c r="T168" s="63">
        <f>IF(AND(J168&lt;&gt;0,J169="",EUconst_StatusOfDataCollection=FALSE),1,0)</f>
        <v>0</v>
      </c>
      <c r="U168" s="63">
        <f>IF(AND(K168&lt;&gt;0,K169="",EUconst_StatusOfDataCollection=FALSE),1,0)</f>
        <v>0</v>
      </c>
      <c r="V168" s="63">
        <f>IF(AND(L168&lt;&gt;0,L169="",EUconst_StatusOfDataCollection=FALSE),1,0)</f>
        <v>0</v>
      </c>
      <c r="W168" s="803">
        <f>IF(AND(M168&lt;&gt;0,M169="",EUconst_StatusOfDataCollection=FALSE),1,0)</f>
        <v>0</v>
      </c>
    </row>
    <row r="169" spans="2:27" ht="12.75" customHeight="1" thickBot="1" x14ac:dyDescent="0.3">
      <c r="B169" s="17"/>
      <c r="C169" s="900"/>
      <c r="D169" s="193" t="s">
        <v>221</v>
      </c>
      <c r="E169" s="1528" t="str">
        <f>Translations!$B$771</f>
        <v>Specific EF (exported heat)</v>
      </c>
      <c r="F169" s="1528"/>
      <c r="G169" s="1528"/>
      <c r="H169" s="154" t="str">
        <f>EUconst_tCO2pTJ</f>
        <v>t CO2 / TJ</v>
      </c>
      <c r="I169" s="1065"/>
      <c r="J169" s="1065"/>
      <c r="K169" s="1065"/>
      <c r="L169" s="1065"/>
      <c r="M169" s="1065"/>
      <c r="N169" s="266"/>
      <c r="O169" s="17"/>
      <c r="P169" s="63" t="str">
        <f>EUconst_CNTR_HeatExportEF &amp; I13</f>
        <v>HeatExEF_</v>
      </c>
      <c r="R169" s="460" t="str">
        <f>EUconst_CNTR_AttributedEmissions &amp; I13</f>
        <v>AttrEmissions_</v>
      </c>
      <c r="S169" s="389" t="str">
        <f>IF(S13,-SUM(I168)*IF(INDEX(EUconst_BMlistNumberOfBM,MATCH($I13,EUconst_BMlistNames,0))=39,0,IF(ISNUMBER(I169),I169,EUconst_HeatBMvalueForBM)),"")</f>
        <v/>
      </c>
      <c r="T169" s="389" t="str">
        <f>IF(T13,-SUM(J168)*IF(INDEX(EUconst_BMlistNumberOfBM,MATCH($I13,EUconst_BMlistNames,0))=39,0,IF(ISNUMBER(J169),J169,EUconst_HeatBMvalueForBM)),"")</f>
        <v/>
      </c>
      <c r="U169" s="389" t="str">
        <f>IF(U13,-SUM(K168)*IF(INDEX(EUconst_BMlistNumberOfBM,MATCH($I13,EUconst_BMlistNames,0))=39,0,IF(ISNUMBER(K169),K169,EUconst_HeatBMvalueForBM)),"")</f>
        <v/>
      </c>
      <c r="V169" s="389" t="str">
        <f>IF(V13,-SUM(L168)*IF(INDEX(EUconst_BMlistNumberOfBM,MATCH($I13,EUconst_BMlistNames,0))=39,0,IF(ISNUMBER(L169),L169,EUconst_HeatBMvalueForBM)),"")</f>
        <v/>
      </c>
      <c r="W169" s="390" t="str">
        <f>IF(W13,-SUM(M168)*IF(INDEX(EUconst_BMlistNumberOfBM,MATCH($I13,EUconst_BMlistNames,0))=39,0,IF(ISNUMBER(M169),M169,EUconst_HeatBMvalueForBM)),"")</f>
        <v/>
      </c>
    </row>
    <row r="170" spans="2:27" ht="12.75" customHeight="1" x14ac:dyDescent="0.25">
      <c r="B170" s="17"/>
      <c r="C170" s="900"/>
      <c r="D170" s="342"/>
      <c r="E170" s="342"/>
      <c r="F170" s="342"/>
      <c r="G170" s="342"/>
      <c r="H170" s="342"/>
      <c r="I170" s="342"/>
      <c r="J170" s="342"/>
      <c r="K170" s="342"/>
      <c r="L170" s="342"/>
      <c r="M170" s="342"/>
      <c r="N170" s="266"/>
      <c r="O170" s="17"/>
    </row>
    <row r="171" spans="2:27" ht="12.75" customHeight="1" x14ac:dyDescent="0.25">
      <c r="B171" s="17"/>
      <c r="C171" s="900"/>
      <c r="D171" s="157" t="s">
        <v>358</v>
      </c>
      <c r="E171" s="1511" t="str">
        <f>Translations!$B$772</f>
        <v>Waste gas balance for this sub-installation</v>
      </c>
      <c r="F171" s="1512"/>
      <c r="G171" s="1512"/>
      <c r="H171" s="1512"/>
      <c r="I171" s="1512"/>
      <c r="J171" s="1512"/>
      <c r="K171" s="1512"/>
      <c r="L171" s="1512"/>
      <c r="M171" s="1512"/>
      <c r="N171" s="1513"/>
      <c r="O171" s="17"/>
    </row>
    <row r="172" spans="2:27" ht="5.0999999999999996" customHeight="1" thickBot="1" x14ac:dyDescent="0.3">
      <c r="B172" s="17"/>
      <c r="C172" s="900"/>
      <c r="D172" s="342"/>
      <c r="E172" s="1533"/>
      <c r="F172" s="1533"/>
      <c r="G172" s="1533"/>
      <c r="H172" s="1533"/>
      <c r="I172" s="1533"/>
      <c r="J172" s="1533"/>
      <c r="K172" s="1533"/>
      <c r="L172" s="1533"/>
      <c r="M172" s="1533"/>
      <c r="N172" s="1537"/>
      <c r="O172" s="17"/>
    </row>
    <row r="173" spans="2:27" ht="12.75" customHeight="1" thickBot="1" x14ac:dyDescent="0.3">
      <c r="B173" s="17"/>
      <c r="C173" s="900"/>
      <c r="D173" s="193" t="s">
        <v>206</v>
      </c>
      <c r="E173" s="1538" t="str">
        <f>Translations!$B$773</f>
        <v>Are waste gases relevant for this sub-installation?</v>
      </c>
      <c r="F173" s="1538"/>
      <c r="G173" s="1538"/>
      <c r="H173" s="1538"/>
      <c r="I173" s="1538"/>
      <c r="J173" s="1538"/>
      <c r="K173" s="1539"/>
      <c r="L173" s="194"/>
      <c r="M173" s="762"/>
      <c r="N173" s="763"/>
      <c r="O173" s="17"/>
      <c r="W173" s="288" t="s">
        <v>418</v>
      </c>
      <c r="X173" s="215" t="b">
        <f>IF(AND(I13&lt;&gt;"",ISBLANK(L173)),EUconst_Error&amp;"BM"&amp;C13,FALSE)</f>
        <v>0</v>
      </c>
    </row>
    <row r="174" spans="2:27" ht="12.75" customHeight="1" thickBot="1" x14ac:dyDescent="0.3">
      <c r="B174" s="17"/>
      <c r="C174" s="900"/>
      <c r="D174" s="342"/>
      <c r="E174" s="1533" t="str">
        <f>Translations!$B$774</f>
        <v>If the answer is "false" the whole section will be greyed out and you can continue with the next points below.</v>
      </c>
      <c r="F174" s="1512"/>
      <c r="G174" s="1512"/>
      <c r="H174" s="1512"/>
      <c r="I174" s="1512"/>
      <c r="J174" s="1512"/>
      <c r="K174" s="1512"/>
      <c r="L174" s="1512"/>
      <c r="M174" s="1512"/>
      <c r="N174" s="1513"/>
      <c r="O174" s="17"/>
      <c r="AA174" s="145" t="s">
        <v>396</v>
      </c>
    </row>
    <row r="175" spans="2:27" ht="12.75" customHeight="1" x14ac:dyDescent="0.25">
      <c r="B175" s="17"/>
      <c r="C175" s="900"/>
      <c r="D175" s="193" t="s">
        <v>208</v>
      </c>
      <c r="E175" s="1529" t="str">
        <f>Translations!$B$775</f>
        <v>Types of waste gases produced:</v>
      </c>
      <c r="F175" s="1529"/>
      <c r="G175" s="1529"/>
      <c r="H175" s="1529"/>
      <c r="I175" s="1530"/>
      <c r="J175" s="1531"/>
      <c r="K175" s="1531"/>
      <c r="L175" s="1531"/>
      <c r="M175" s="1532"/>
      <c r="N175" s="763"/>
      <c r="O175" s="17"/>
      <c r="AA175" s="316" t="b">
        <f>IF(I13&lt;&gt;"",AND(L173&lt;&gt;"",L173=FALSE),FALSE)</f>
        <v>0</v>
      </c>
    </row>
    <row r="176" spans="2:27" ht="12.75" customHeight="1" x14ac:dyDescent="0.25">
      <c r="B176" s="17"/>
      <c r="C176" s="900"/>
      <c r="D176" s="342"/>
      <c r="E176" s="1533" t="str">
        <f>Translations!$B$776</f>
        <v>You may choose to report either as tonnes or as 1000 Nm3. The units must be consistent with those for the NCV and EF below.</v>
      </c>
      <c r="F176" s="1512"/>
      <c r="G176" s="1512"/>
      <c r="H176" s="1512"/>
      <c r="I176" s="1512"/>
      <c r="J176" s="1512"/>
      <c r="K176" s="1512"/>
      <c r="L176" s="1512"/>
      <c r="M176" s="1512"/>
      <c r="N176" s="1513"/>
      <c r="O176" s="17"/>
      <c r="AA176" s="815"/>
    </row>
    <row r="177" spans="2:27" ht="12.75" customHeight="1" x14ac:dyDescent="0.25">
      <c r="B177" s="17"/>
      <c r="C177" s="900"/>
      <c r="D177" s="342"/>
      <c r="E177" s="1535" t="str">
        <f>Translations!$B$730</f>
        <v>Data provided here are only used for consistency checking and have no direct impact on either the attributable emissions or the allocation.</v>
      </c>
      <c r="F177" s="1511"/>
      <c r="G177" s="1511"/>
      <c r="H177" s="1511"/>
      <c r="I177" s="1511"/>
      <c r="J177" s="1511"/>
      <c r="K177" s="1511"/>
      <c r="L177" s="1511"/>
      <c r="M177" s="1511"/>
      <c r="N177" s="1536"/>
      <c r="O177" s="17"/>
      <c r="AA177" s="815"/>
    </row>
    <row r="178" spans="2:27" ht="12.75" customHeight="1" x14ac:dyDescent="0.25">
      <c r="B178" s="17"/>
      <c r="C178" s="900"/>
      <c r="D178" s="342"/>
      <c r="E178" s="1522"/>
      <c r="F178" s="1523"/>
      <c r="G178" s="1523"/>
      <c r="H178" s="152" t="str">
        <f>EUconst_Unit</f>
        <v>Unit</v>
      </c>
      <c r="I178" s="153">
        <f>I$1882</f>
        <v>2019</v>
      </c>
      <c r="J178" s="153">
        <f>J$1882</f>
        <v>2020</v>
      </c>
      <c r="K178" s="153">
        <f>K$1882</f>
        <v>2021</v>
      </c>
      <c r="L178" s="153">
        <f>L$1882</f>
        <v>2022</v>
      </c>
      <c r="M178" s="153">
        <f>M$1882</f>
        <v>2023</v>
      </c>
      <c r="N178" s="903"/>
      <c r="O178" s="17"/>
      <c r="AA178" s="815"/>
    </row>
    <row r="179" spans="2:27" ht="12.75" customHeight="1" x14ac:dyDescent="0.25">
      <c r="B179" s="17"/>
      <c r="C179" s="900"/>
      <c r="D179" s="193" t="s">
        <v>209</v>
      </c>
      <c r="E179" s="1526" t="str">
        <f>Translations!$B$777</f>
        <v>Amounts produced</v>
      </c>
      <c r="F179" s="1526"/>
      <c r="G179" s="1526"/>
      <c r="H179" s="949" t="s">
        <v>427</v>
      </c>
      <c r="I179" s="889"/>
      <c r="J179" s="889"/>
      <c r="K179" s="889"/>
      <c r="L179" s="889"/>
      <c r="M179" s="889"/>
      <c r="N179" s="903"/>
      <c r="O179" s="17"/>
      <c r="AA179" s="285" t="b">
        <f>AA175</f>
        <v>0</v>
      </c>
    </row>
    <row r="180" spans="2:27" ht="12.75" customHeight="1" x14ac:dyDescent="0.25">
      <c r="B180" s="17"/>
      <c r="C180" s="900"/>
      <c r="D180" s="193" t="s">
        <v>210</v>
      </c>
      <c r="E180" s="1527" t="str">
        <f>Translations!$B$470</f>
        <v>Net calorific value</v>
      </c>
      <c r="F180" s="1527"/>
      <c r="G180" s="1527"/>
      <c r="H180" s="950" t="str">
        <f>IF(ISBLANK(H179),EUconst_GJperUnit,INDEX(EUconst_GJperTorKNm3,MATCH(H179,EUconst_TonnesOrkNm3pa,0)))</f>
        <v>GJ/1000Nm3</v>
      </c>
      <c r="I180" s="895"/>
      <c r="J180" s="895"/>
      <c r="K180" s="895"/>
      <c r="L180" s="895"/>
      <c r="M180" s="895"/>
      <c r="N180" s="903"/>
      <c r="O180" s="17"/>
      <c r="AA180" s="285" t="b">
        <f>AA179</f>
        <v>0</v>
      </c>
    </row>
    <row r="181" spans="2:27" ht="12.75" customHeight="1" x14ac:dyDescent="0.25">
      <c r="B181" s="17"/>
      <c r="C181" s="900"/>
      <c r="D181" s="193" t="s">
        <v>220</v>
      </c>
      <c r="E181" s="1528" t="str">
        <f>Translations!$B$778</f>
        <v>Waste gas produced</v>
      </c>
      <c r="F181" s="1528"/>
      <c r="G181" s="1528"/>
      <c r="H181" s="154" t="str">
        <f>EUconst_TJpa</f>
        <v>TJ / year</v>
      </c>
      <c r="I181" s="951" t="str">
        <f>IF(COUNT(I179:I180)=2,I179*I180/1000,"")</f>
        <v/>
      </c>
      <c r="J181" s="951" t="str">
        <f>IF(COUNT(J179:J180)=2,J179*J180/1000,"")</f>
        <v/>
      </c>
      <c r="K181" s="951" t="str">
        <f>IF(COUNT(K179:K180)=2,K179*K180/1000,"")</f>
        <v/>
      </c>
      <c r="L181" s="951" t="str">
        <f>IF(COUNT(L179:L180)=2,L179*L180/1000,"")</f>
        <v/>
      </c>
      <c r="M181" s="951" t="str">
        <f>IF(COUNT(M179:M180)=2,M179*M180/1000,"")</f>
        <v/>
      </c>
      <c r="N181" s="903"/>
      <c r="O181" s="17"/>
      <c r="P181" s="63" t="str">
        <f>EUconst_CNTR_WGProduced &amp; I13</f>
        <v>WasteGasProd_</v>
      </c>
      <c r="AA181" s="815"/>
    </row>
    <row r="182" spans="2:27" ht="12.75" customHeight="1" x14ac:dyDescent="0.25">
      <c r="B182" s="17"/>
      <c r="C182" s="900"/>
      <c r="D182" s="193" t="s">
        <v>221</v>
      </c>
      <c r="E182" s="1528" t="str">
        <f>Translations!$B$779</f>
        <v>Specific EF (produced waste gas)</v>
      </c>
      <c r="F182" s="1528"/>
      <c r="G182" s="1528"/>
      <c r="H182" s="154" t="str">
        <f>EUconst_tCO2pTJ</f>
        <v>t CO2 / TJ</v>
      </c>
      <c r="I182" s="311"/>
      <c r="J182" s="311"/>
      <c r="K182" s="311"/>
      <c r="L182" s="311"/>
      <c r="M182" s="311"/>
      <c r="N182" s="266"/>
      <c r="O182" s="17"/>
      <c r="P182" s="63" t="str">
        <f>EUconst_CNTR_WGProducedEF &amp; I13</f>
        <v>WasteGasProdEF_</v>
      </c>
      <c r="AA182" s="285" t="b">
        <f>AA180</f>
        <v>0</v>
      </c>
    </row>
    <row r="183" spans="2:27" ht="12.75" customHeight="1" x14ac:dyDescent="0.25">
      <c r="B183" s="17"/>
      <c r="C183" s="900"/>
      <c r="D183" s="342"/>
      <c r="E183" s="342"/>
      <c r="F183" s="342"/>
      <c r="G183" s="342"/>
      <c r="H183" s="342"/>
      <c r="I183" s="342"/>
      <c r="J183" s="342"/>
      <c r="K183" s="342"/>
      <c r="L183" s="342"/>
      <c r="M183" s="342"/>
      <c r="N183" s="266"/>
      <c r="O183" s="17"/>
      <c r="AA183" s="815"/>
    </row>
    <row r="184" spans="2:27" ht="12.75" customHeight="1" x14ac:dyDescent="0.25">
      <c r="B184" s="17"/>
      <c r="C184" s="900"/>
      <c r="D184" s="193" t="s">
        <v>222</v>
      </c>
      <c r="E184" s="1529" t="str">
        <f>Translations!$B$780</f>
        <v>Types of waste gases consumed:</v>
      </c>
      <c r="F184" s="1529"/>
      <c r="G184" s="1529"/>
      <c r="H184" s="1529"/>
      <c r="I184" s="1530"/>
      <c r="J184" s="1531"/>
      <c r="K184" s="1531"/>
      <c r="L184" s="1531"/>
      <c r="M184" s="1532"/>
      <c r="N184" s="763"/>
      <c r="O184" s="17"/>
      <c r="AA184" s="285" t="b">
        <f>AA182</f>
        <v>0</v>
      </c>
    </row>
    <row r="185" spans="2:27" ht="25.5" customHeight="1" x14ac:dyDescent="0.25">
      <c r="B185" s="17"/>
      <c r="C185" s="900"/>
      <c r="D185" s="193"/>
      <c r="E185" s="1533" t="str">
        <f>Translations!$B$781</f>
        <v>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v>
      </c>
      <c r="F185" s="1512"/>
      <c r="G185" s="1512"/>
      <c r="H185" s="1512"/>
      <c r="I185" s="1512"/>
      <c r="J185" s="1512"/>
      <c r="K185" s="1512"/>
      <c r="L185" s="1512"/>
      <c r="M185" s="1512"/>
      <c r="N185" s="1513"/>
      <c r="O185" s="17"/>
      <c r="AA185" s="815"/>
    </row>
    <row r="186" spans="2:27" ht="12.75" customHeight="1" x14ac:dyDescent="0.25">
      <c r="B186" s="17"/>
      <c r="C186" s="900"/>
      <c r="D186" s="342"/>
      <c r="E186" s="1535" t="str">
        <f>Translations!$B$730</f>
        <v>Data provided here are only used for consistency checking and have no direct impact on either the attributable emissions or the allocation.</v>
      </c>
      <c r="F186" s="1511"/>
      <c r="G186" s="1511"/>
      <c r="H186" s="1511"/>
      <c r="I186" s="1511"/>
      <c r="J186" s="1511"/>
      <c r="K186" s="1511"/>
      <c r="L186" s="1511"/>
      <c r="M186" s="1511"/>
      <c r="N186" s="1536"/>
      <c r="O186" s="17"/>
      <c r="AA186" s="815"/>
    </row>
    <row r="187" spans="2:27" ht="12.75" customHeight="1" x14ac:dyDescent="0.25">
      <c r="B187" s="17"/>
      <c r="C187" s="900"/>
      <c r="D187" s="342"/>
      <c r="E187" s="1522"/>
      <c r="F187" s="1523"/>
      <c r="G187" s="1523"/>
      <c r="H187" s="152" t="str">
        <f>EUconst_Unit</f>
        <v>Unit</v>
      </c>
      <c r="I187" s="153">
        <f>I$1882</f>
        <v>2019</v>
      </c>
      <c r="J187" s="153">
        <f>J$1882</f>
        <v>2020</v>
      </c>
      <c r="K187" s="153">
        <f>K$1882</f>
        <v>2021</v>
      </c>
      <c r="L187" s="153">
        <f>L$1882</f>
        <v>2022</v>
      </c>
      <c r="M187" s="153">
        <f>M$1882</f>
        <v>2023</v>
      </c>
      <c r="N187" s="903"/>
      <c r="O187" s="17"/>
      <c r="AA187" s="815"/>
    </row>
    <row r="188" spans="2:27" ht="12.75" customHeight="1" x14ac:dyDescent="0.25">
      <c r="B188" s="17"/>
      <c r="C188" s="900"/>
      <c r="D188" s="193" t="s">
        <v>223</v>
      </c>
      <c r="E188" s="1526" t="str">
        <f>Translations!$B$782</f>
        <v>Amounts consumed</v>
      </c>
      <c r="F188" s="1526"/>
      <c r="G188" s="1526"/>
      <c r="H188" s="949" t="s">
        <v>427</v>
      </c>
      <c r="I188" s="889"/>
      <c r="J188" s="889"/>
      <c r="K188" s="889"/>
      <c r="L188" s="889"/>
      <c r="M188" s="889"/>
      <c r="N188" s="903"/>
      <c r="O188" s="17"/>
      <c r="AA188" s="285" t="b">
        <f>AA184</f>
        <v>0</v>
      </c>
    </row>
    <row r="189" spans="2:27" ht="12.75" customHeight="1" x14ac:dyDescent="0.25">
      <c r="B189" s="17"/>
      <c r="C189" s="900"/>
      <c r="D189" s="193" t="s">
        <v>224</v>
      </c>
      <c r="E189" s="1527" t="str">
        <f>Translations!$B$470</f>
        <v>Net calorific value</v>
      </c>
      <c r="F189" s="1527"/>
      <c r="G189" s="1527"/>
      <c r="H189" s="950" t="str">
        <f>IF(ISBLANK(H188),EUconst_GJperUnit,INDEX(EUconst_GJperTorKNm3,MATCH(H188,EUconst_TonnesOrkNm3pa,0)))</f>
        <v>GJ/1000Nm3</v>
      </c>
      <c r="I189" s="895"/>
      <c r="J189" s="895"/>
      <c r="K189" s="895"/>
      <c r="L189" s="895"/>
      <c r="M189" s="895"/>
      <c r="N189" s="903"/>
      <c r="O189" s="17"/>
      <c r="AA189" s="285" t="b">
        <f>AA188</f>
        <v>0</v>
      </c>
    </row>
    <row r="190" spans="2:27" ht="12.75" customHeight="1" x14ac:dyDescent="0.25">
      <c r="B190" s="17"/>
      <c r="C190" s="900"/>
      <c r="D190" s="193" t="s">
        <v>345</v>
      </c>
      <c r="E190" s="1528" t="str">
        <f>Translations!$B$783</f>
        <v>Waste gas consumed</v>
      </c>
      <c r="F190" s="1528"/>
      <c r="G190" s="1528"/>
      <c r="H190" s="154" t="str">
        <f>EUconst_TJpa</f>
        <v>TJ / year</v>
      </c>
      <c r="I190" s="951" t="str">
        <f>IF(COUNT(I188:I189)=2,I188*I189/1000,"")</f>
        <v/>
      </c>
      <c r="J190" s="951" t="str">
        <f>IF(COUNT(J188:J189)=2,J188*J189/1000,"")</f>
        <v/>
      </c>
      <c r="K190" s="951" t="str">
        <f>IF(COUNT(K188:K189)=2,K188*K189/1000,"")</f>
        <v/>
      </c>
      <c r="L190" s="951" t="str">
        <f>IF(COUNT(L188:L189)=2,L188*L189/1000,"")</f>
        <v/>
      </c>
      <c r="M190" s="951" t="str">
        <f>IF(COUNT(M188:M189)=2,M188*M189/1000,"")</f>
        <v/>
      </c>
      <c r="N190" s="903"/>
      <c r="O190" s="17"/>
      <c r="P190" s="63" t="str">
        <f>EUconst_CNTR_WGConsumed &amp; I13</f>
        <v>WasteGasCons_</v>
      </c>
      <c r="AA190" s="815"/>
    </row>
    <row r="191" spans="2:27" ht="12.75" customHeight="1" x14ac:dyDescent="0.25">
      <c r="B191" s="17"/>
      <c r="C191" s="900"/>
      <c r="D191" s="193" t="s">
        <v>346</v>
      </c>
      <c r="E191" s="1528" t="str">
        <f>Translations!$B$784</f>
        <v>Specific EF (consumed waste gas)</v>
      </c>
      <c r="F191" s="1528"/>
      <c r="G191" s="1528"/>
      <c r="H191" s="154" t="str">
        <f>EUconst_tCO2pTJ</f>
        <v>t CO2 / TJ</v>
      </c>
      <c r="I191" s="311"/>
      <c r="J191" s="311"/>
      <c r="K191" s="311"/>
      <c r="L191" s="311"/>
      <c r="M191" s="311"/>
      <c r="N191" s="266"/>
      <c r="O191" s="17"/>
      <c r="P191" s="63" t="str">
        <f>EUconst_CNTR_WGConsumedEF &amp; I13</f>
        <v>WasteGasConsEF_</v>
      </c>
      <c r="AA191" s="285" t="b">
        <f>AA189</f>
        <v>0</v>
      </c>
    </row>
    <row r="192" spans="2:27" ht="12.75" customHeight="1" x14ac:dyDescent="0.25">
      <c r="B192" s="17"/>
      <c r="C192" s="900"/>
      <c r="D192" s="342"/>
      <c r="E192" s="342"/>
      <c r="F192" s="342"/>
      <c r="G192" s="342"/>
      <c r="H192" s="342"/>
      <c r="I192" s="342"/>
      <c r="J192" s="342"/>
      <c r="K192" s="342"/>
      <c r="L192" s="342"/>
      <c r="M192" s="342"/>
      <c r="N192" s="266"/>
      <c r="O192" s="17"/>
      <c r="AA192" s="815"/>
    </row>
    <row r="193" spans="2:27" ht="12.75" customHeight="1" x14ac:dyDescent="0.25">
      <c r="B193" s="17"/>
      <c r="C193" s="900"/>
      <c r="D193" s="193" t="s">
        <v>347</v>
      </c>
      <c r="E193" s="1529" t="str">
        <f>Translations!$B$785</f>
        <v>Types of waste gases flared:</v>
      </c>
      <c r="F193" s="1529"/>
      <c r="G193" s="1529"/>
      <c r="H193" s="1529"/>
      <c r="I193" s="1530"/>
      <c r="J193" s="1531"/>
      <c r="K193" s="1531"/>
      <c r="L193" s="1531"/>
      <c r="M193" s="1532"/>
      <c r="N193" s="763"/>
      <c r="O193" s="17"/>
      <c r="AA193" s="285" t="b">
        <f>AA182</f>
        <v>0</v>
      </c>
    </row>
    <row r="194" spans="2:27" ht="12.75" customHeight="1" x14ac:dyDescent="0.25">
      <c r="B194" s="17"/>
      <c r="C194" s="900"/>
      <c r="D194" s="193"/>
      <c r="E194" s="1533" t="str">
        <f>Translations!$B$786</f>
        <v>This includes all types of waste gases that are ultimately flared other than safety flaring, either within or outside this sub-installation.</v>
      </c>
      <c r="F194" s="1512"/>
      <c r="G194" s="1512"/>
      <c r="H194" s="1512"/>
      <c r="I194" s="1512"/>
      <c r="J194" s="1512"/>
      <c r="K194" s="1512"/>
      <c r="L194" s="1512"/>
      <c r="M194" s="1512"/>
      <c r="N194" s="1513"/>
      <c r="O194" s="17"/>
      <c r="AA194" s="815"/>
    </row>
    <row r="195" spans="2:27" ht="12.75" customHeight="1" x14ac:dyDescent="0.25">
      <c r="B195" s="17"/>
      <c r="C195" s="900"/>
      <c r="D195" s="342"/>
      <c r="E195" s="1533" t="str">
        <f>Translations!$B$787</f>
        <v>Data provided here are only used for consistency checking and have no direct impact on the attributable emissions.</v>
      </c>
      <c r="F195" s="1512"/>
      <c r="G195" s="1512"/>
      <c r="H195" s="1512"/>
      <c r="I195" s="1512"/>
      <c r="J195" s="1512"/>
      <c r="K195" s="1512"/>
      <c r="L195" s="1512"/>
      <c r="M195" s="1512"/>
      <c r="N195" s="1513"/>
      <c r="O195" s="17"/>
      <c r="AA195" s="815"/>
    </row>
    <row r="196" spans="2:27" ht="12.75" customHeight="1" x14ac:dyDescent="0.25">
      <c r="B196" s="17"/>
      <c r="C196" s="900"/>
      <c r="D196" s="342"/>
      <c r="E196" s="1535" t="str">
        <f>Translations!$B$788</f>
        <v>However, as of 2026, allocation will be reduced with respect to flaring of waste gases other than safety flaring.</v>
      </c>
      <c r="F196" s="1511"/>
      <c r="G196" s="1511"/>
      <c r="H196" s="1511"/>
      <c r="I196" s="1511"/>
      <c r="J196" s="1511"/>
      <c r="K196" s="1511"/>
      <c r="L196" s="1511"/>
      <c r="M196" s="1511"/>
      <c r="N196" s="1536"/>
      <c r="O196" s="17"/>
      <c r="AA196" s="815"/>
    </row>
    <row r="197" spans="2:27" ht="12.75" customHeight="1" x14ac:dyDescent="0.25">
      <c r="B197" s="17"/>
      <c r="C197" s="900"/>
      <c r="D197" s="342"/>
      <c r="E197" s="1522"/>
      <c r="F197" s="1523"/>
      <c r="G197" s="1523"/>
      <c r="H197" s="152" t="str">
        <f>EUconst_Unit</f>
        <v>Unit</v>
      </c>
      <c r="I197" s="153">
        <f>I$1882</f>
        <v>2019</v>
      </c>
      <c r="J197" s="153">
        <f>J$1882</f>
        <v>2020</v>
      </c>
      <c r="K197" s="153">
        <f>K$1882</f>
        <v>2021</v>
      </c>
      <c r="L197" s="153">
        <f>L$1882</f>
        <v>2022</v>
      </c>
      <c r="M197" s="153">
        <f>M$1882</f>
        <v>2023</v>
      </c>
      <c r="N197" s="903"/>
      <c r="O197" s="17"/>
      <c r="AA197" s="815"/>
    </row>
    <row r="198" spans="2:27" ht="12.75" customHeight="1" thickBot="1" x14ac:dyDescent="0.3">
      <c r="B198" s="17"/>
      <c r="C198" s="900"/>
      <c r="D198" s="193" t="s">
        <v>355</v>
      </c>
      <c r="E198" s="1526" t="str">
        <f>Translations!$B$789</f>
        <v>Amounts flared</v>
      </c>
      <c r="F198" s="1526"/>
      <c r="G198" s="1526"/>
      <c r="H198" s="949" t="s">
        <v>427</v>
      </c>
      <c r="I198" s="889"/>
      <c r="J198" s="889"/>
      <c r="K198" s="889"/>
      <c r="L198" s="889"/>
      <c r="M198" s="889"/>
      <c r="N198" s="903"/>
      <c r="O198" s="17"/>
      <c r="R198" s="145" t="s">
        <v>428</v>
      </c>
      <c r="AA198" s="285" t="b">
        <f>AA193</f>
        <v>0</v>
      </c>
    </row>
    <row r="199" spans="2:27" ht="12.75" customHeight="1" thickBot="1" x14ac:dyDescent="0.3">
      <c r="B199" s="17"/>
      <c r="C199" s="900"/>
      <c r="D199" s="193" t="s">
        <v>356</v>
      </c>
      <c r="E199" s="1527" t="str">
        <f>Translations!$B$470</f>
        <v>Net calorific value</v>
      </c>
      <c r="F199" s="1527"/>
      <c r="G199" s="1527"/>
      <c r="H199" s="950" t="str">
        <f>IF(ISBLANK(H198),EUconst_GJperUnit,INDEX(EUconst_GJperTorKNm3,MATCH(H198,EUconst_TonnesOrkNm3pa,0)))</f>
        <v>GJ/1000Nm3</v>
      </c>
      <c r="I199" s="895"/>
      <c r="J199" s="895"/>
      <c r="K199" s="895"/>
      <c r="L199" s="895"/>
      <c r="M199" s="895"/>
      <c r="N199" s="903"/>
      <c r="O199" s="17"/>
      <c r="R199" s="283" t="s">
        <v>399</v>
      </c>
      <c r="S199" s="280">
        <f>I197</f>
        <v>2019</v>
      </c>
      <c r="T199" s="281">
        <f>J197</f>
        <v>2020</v>
      </c>
      <c r="U199" s="281">
        <f>K197</f>
        <v>2021</v>
      </c>
      <c r="V199" s="281">
        <f>L197</f>
        <v>2022</v>
      </c>
      <c r="W199" s="282">
        <f>M197</f>
        <v>2023</v>
      </c>
      <c r="AA199" s="285" t="b">
        <f>AA198</f>
        <v>0</v>
      </c>
    </row>
    <row r="200" spans="2:27" ht="12.75" customHeight="1" thickBot="1" x14ac:dyDescent="0.3">
      <c r="B200" s="17"/>
      <c r="C200" s="900"/>
      <c r="D200" s="193" t="s">
        <v>420</v>
      </c>
      <c r="E200" s="1528" t="str">
        <f>Translations!$B$790</f>
        <v>Waste gas flared</v>
      </c>
      <c r="F200" s="1528"/>
      <c r="G200" s="1528"/>
      <c r="H200" s="154" t="str">
        <f>EUconst_TJpa</f>
        <v>TJ / year</v>
      </c>
      <c r="I200" s="951" t="str">
        <f>IF(COUNT(I198:I199)=2,I198*I199/1000,"")</f>
        <v/>
      </c>
      <c r="J200" s="951" t="str">
        <f>IF(COUNT(J198:J199)=2,J198*J199/1000,"")</f>
        <v/>
      </c>
      <c r="K200" s="951" t="str">
        <f>IF(COUNT(K198:K199)=2,K198*K199/1000,"")</f>
        <v/>
      </c>
      <c r="L200" s="951" t="str">
        <f>IF(COUNT(L198:L199)=2,L198*L199/1000,"")</f>
        <v/>
      </c>
      <c r="M200" s="951" t="str">
        <f>IF(COUNT(M198:M199)=2,M198*M199/1000,"")</f>
        <v/>
      </c>
      <c r="N200" s="903"/>
      <c r="O200" s="17"/>
      <c r="P200" s="63" t="str">
        <f>EUconst_CNTR_WGFlared &amp; I13</f>
        <v>WasteGasFlare_</v>
      </c>
      <c r="R200" s="918" t="str">
        <f>IF(COUNT(S200:W200)&gt;0,AVERAGE(S200:W200),"")</f>
        <v/>
      </c>
      <c r="S200" s="808" t="str">
        <f>IF(S13,IF(ISNUMBER(I200),I200,0),"")</f>
        <v/>
      </c>
      <c r="T200" s="809" t="str">
        <f>IF(T13,IF(ISNUMBER(J200),J200,0),"")</f>
        <v/>
      </c>
      <c r="U200" s="809" t="str">
        <f>IF(U13,IF(ISNUMBER(K200),K200,0),"")</f>
        <v/>
      </c>
      <c r="V200" s="809" t="str">
        <f>IF(V13,IF(ISNUMBER(L200),L200,0),"")</f>
        <v/>
      </c>
      <c r="W200" s="810" t="str">
        <f>IF(W13,IF(ISNUMBER(M200),M200,0),"")</f>
        <v/>
      </c>
      <c r="AA200" s="815"/>
    </row>
    <row r="201" spans="2:27" ht="12.75" customHeight="1" thickBot="1" x14ac:dyDescent="0.3">
      <c r="B201" s="17"/>
      <c r="C201" s="900"/>
      <c r="D201" s="193" t="s">
        <v>421</v>
      </c>
      <c r="E201" s="1528" t="str">
        <f>Translations!$B$791</f>
        <v>Specific EF (flared waste gas)</v>
      </c>
      <c r="F201" s="1528"/>
      <c r="G201" s="1528"/>
      <c r="H201" s="154" t="str">
        <f>EUconst_tCO2pTJ</f>
        <v>t CO2 / TJ</v>
      </c>
      <c r="I201" s="311"/>
      <c r="J201" s="311"/>
      <c r="K201" s="311"/>
      <c r="L201" s="311"/>
      <c r="M201" s="311"/>
      <c r="N201" s="266"/>
      <c r="O201" s="17"/>
      <c r="P201" s="63" t="str">
        <f>EUconst_CNTR_WGFlaredEF &amp; I13</f>
        <v>WasteGasFlareEF_</v>
      </c>
      <c r="R201" s="952" t="str">
        <f>IF(COUNT(S201:W201)&gt;0,AVERAGE(S201:W201),"")</f>
        <v/>
      </c>
      <c r="S201" s="808" t="str">
        <f>IF(S13,SUM(I200)*SUM(I201),"")</f>
        <v/>
      </c>
      <c r="T201" s="809" t="str">
        <f>IF(T13,SUM(J200)*SUM(J201),"")</f>
        <v/>
      </c>
      <c r="U201" s="809" t="str">
        <f>IF(U13,SUM(K200)*SUM(K201),"")</f>
        <v/>
      </c>
      <c r="V201" s="809" t="str">
        <f>IF(V13,SUM(L200)*SUM(L201),"")</f>
        <v/>
      </c>
      <c r="W201" s="810" t="str">
        <f>IF(W13,SUM(M200)*SUM(M201),"")</f>
        <v/>
      </c>
      <c r="AA201" s="285" t="b">
        <f>AA199</f>
        <v>0</v>
      </c>
    </row>
    <row r="202" spans="2:27" ht="12.75" customHeight="1" x14ac:dyDescent="0.25">
      <c r="B202" s="17"/>
      <c r="C202" s="900"/>
      <c r="D202" s="342"/>
      <c r="E202" s="342"/>
      <c r="F202" s="342"/>
      <c r="G202" s="342"/>
      <c r="H202" s="342"/>
      <c r="I202" s="342"/>
      <c r="J202" s="342"/>
      <c r="K202" s="342"/>
      <c r="L202" s="342"/>
      <c r="M202" s="342"/>
      <c r="N202" s="266"/>
      <c r="O202" s="17"/>
      <c r="AA202" s="815"/>
    </row>
    <row r="203" spans="2:27" ht="12.75" customHeight="1" x14ac:dyDescent="0.25">
      <c r="B203" s="17"/>
      <c r="C203" s="900"/>
      <c r="D203" s="193" t="s">
        <v>422</v>
      </c>
      <c r="E203" s="1529" t="str">
        <f>Translations!$B$792</f>
        <v>Types of waste gases imported:</v>
      </c>
      <c r="F203" s="1529"/>
      <c r="G203" s="1529"/>
      <c r="H203" s="1529"/>
      <c r="I203" s="1530"/>
      <c r="J203" s="1531"/>
      <c r="K203" s="1531"/>
      <c r="L203" s="1531"/>
      <c r="M203" s="1532"/>
      <c r="N203" s="266"/>
      <c r="O203" s="17"/>
      <c r="AA203" s="285" t="b">
        <f>AA180</f>
        <v>0</v>
      </c>
    </row>
    <row r="204" spans="2:27" ht="12.75" customHeight="1" x14ac:dyDescent="0.25">
      <c r="B204" s="17"/>
      <c r="C204" s="900"/>
      <c r="D204" s="193"/>
      <c r="E204" s="1535" t="s">
        <v>429</v>
      </c>
      <c r="F204" s="1511"/>
      <c r="G204" s="1511"/>
      <c r="H204" s="1511"/>
      <c r="I204" s="1511"/>
      <c r="J204" s="1511"/>
      <c r="K204" s="1511"/>
      <c r="L204" s="1511"/>
      <c r="M204" s="1511"/>
      <c r="N204" s="1536"/>
      <c r="O204" s="17"/>
      <c r="AA204" s="815"/>
    </row>
    <row r="205" spans="2:27" ht="25.5" customHeight="1" x14ac:dyDescent="0.25">
      <c r="B205" s="17"/>
      <c r="C205" s="900"/>
      <c r="D205" s="193"/>
      <c r="E205" s="1533" t="str">
        <f>Translations!$B$794</f>
        <v>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v>
      </c>
      <c r="F205" s="1512"/>
      <c r="G205" s="1512"/>
      <c r="H205" s="1512"/>
      <c r="I205" s="1512"/>
      <c r="J205" s="1512"/>
      <c r="K205" s="1512"/>
      <c r="L205" s="1512"/>
      <c r="M205" s="1512"/>
      <c r="N205" s="1513"/>
      <c r="O205" s="17"/>
      <c r="AA205" s="815"/>
    </row>
    <row r="206" spans="2:27" ht="12.75" customHeight="1" x14ac:dyDescent="0.25">
      <c r="B206" s="17"/>
      <c r="C206" s="900"/>
      <c r="D206" s="342"/>
      <c r="E206" s="1522"/>
      <c r="F206" s="1523"/>
      <c r="G206" s="1523"/>
      <c r="H206" s="152" t="str">
        <f>EUconst_Unit</f>
        <v>Unit</v>
      </c>
      <c r="I206" s="153">
        <f>I$1882</f>
        <v>2019</v>
      </c>
      <c r="J206" s="153">
        <f>J$1882</f>
        <v>2020</v>
      </c>
      <c r="K206" s="153">
        <f>K$1882</f>
        <v>2021</v>
      </c>
      <c r="L206" s="153">
        <f>L$1882</f>
        <v>2022</v>
      </c>
      <c r="M206" s="153">
        <f>M$1882</f>
        <v>2023</v>
      </c>
      <c r="N206" s="903"/>
      <c r="O206" s="17"/>
      <c r="AA206" s="815"/>
    </row>
    <row r="207" spans="2:27" ht="12.75" customHeight="1" thickBot="1" x14ac:dyDescent="0.3">
      <c r="B207" s="17"/>
      <c r="C207" s="900"/>
      <c r="D207" s="193" t="s">
        <v>423</v>
      </c>
      <c r="E207" s="1526" t="str">
        <f>Translations!$B$795</f>
        <v>Amounts imported</v>
      </c>
      <c r="F207" s="1526"/>
      <c r="G207" s="1526"/>
      <c r="H207" s="949" t="s">
        <v>427</v>
      </c>
      <c r="I207" s="889"/>
      <c r="J207" s="889"/>
      <c r="K207" s="889"/>
      <c r="L207" s="889"/>
      <c r="M207" s="889"/>
      <c r="N207" s="903"/>
      <c r="O207" s="17"/>
      <c r="AA207" s="285" t="b">
        <f>AA203</f>
        <v>0</v>
      </c>
    </row>
    <row r="208" spans="2:27" ht="12.75" customHeight="1" x14ac:dyDescent="0.25">
      <c r="B208" s="17"/>
      <c r="C208" s="900"/>
      <c r="D208" s="193" t="s">
        <v>430</v>
      </c>
      <c r="E208" s="1527" t="str">
        <f>Translations!$B$470</f>
        <v>Net calorific value</v>
      </c>
      <c r="F208" s="1527"/>
      <c r="G208" s="1527"/>
      <c r="H208" s="950" t="str">
        <f>IF(ISBLANK(H207),EUconst_GJperUnit,INDEX(EUconst_GJperTorKNm3,MATCH(H207,EUconst_TonnesOrkNm3pa,0)))</f>
        <v>GJ/1000Nm3</v>
      </c>
      <c r="I208" s="895"/>
      <c r="J208" s="895"/>
      <c r="K208" s="895"/>
      <c r="L208" s="895"/>
      <c r="M208" s="895"/>
      <c r="N208" s="903"/>
      <c r="O208" s="17"/>
      <c r="R208" s="459"/>
      <c r="S208" s="326">
        <f>I206</f>
        <v>2019</v>
      </c>
      <c r="T208" s="326">
        <f>J206</f>
        <v>2020</v>
      </c>
      <c r="U208" s="326">
        <f>K206</f>
        <v>2021</v>
      </c>
      <c r="V208" s="326">
        <f>L206</f>
        <v>2022</v>
      </c>
      <c r="W208" s="327">
        <f>M206</f>
        <v>2023</v>
      </c>
      <c r="AA208" s="285" t="b">
        <f>AA207</f>
        <v>0</v>
      </c>
    </row>
    <row r="209" spans="2:27" ht="12.75" customHeight="1" x14ac:dyDescent="0.25">
      <c r="B209" s="17"/>
      <c r="C209" s="900"/>
      <c r="D209" s="193" t="s">
        <v>431</v>
      </c>
      <c r="E209" s="1528" t="str">
        <f>Translations!$B$796</f>
        <v>Waste gas imported</v>
      </c>
      <c r="F209" s="1528"/>
      <c r="G209" s="1528"/>
      <c r="H209" s="154" t="str">
        <f>EUconst_TJpa</f>
        <v>TJ / year</v>
      </c>
      <c r="I209" s="163" t="str">
        <f>IF(COUNT(I207:I208)=2,I207*I208/1000,"")</f>
        <v/>
      </c>
      <c r="J209" s="163" t="str">
        <f>IF(COUNT(J207:J208)=2,J207*J208/1000,"")</f>
        <v/>
      </c>
      <c r="K209" s="163" t="str">
        <f>IF(COUNT(K207:K208)=2,K207*K208/1000,"")</f>
        <v/>
      </c>
      <c r="L209" s="163" t="str">
        <f>IF(COUNT(L207:L208)=2,L207*L208/1000,"")</f>
        <v/>
      </c>
      <c r="M209" s="163" t="str">
        <f>IF(COUNT(M207:M208)=2,M207*M208/1000,"")</f>
        <v/>
      </c>
      <c r="N209" s="903"/>
      <c r="O209" s="17"/>
      <c r="P209" s="63" t="str">
        <f>EUconst_CNTR_WGImport &amp; I13</f>
        <v>WasteGasIm_</v>
      </c>
      <c r="R209" s="464" t="str">
        <f>EUconst_ERR_AttrEmBMapplied &amp; I13</f>
        <v>ERR_AttrEmBM_</v>
      </c>
      <c r="S209" s="63">
        <f>IF(AND(I209&lt;&gt;"",EUconst_StatusOfDataCollection=FALSE),1,0)</f>
        <v>0</v>
      </c>
      <c r="T209" s="63">
        <f>IF(AND(J209&lt;&gt;"",EUconst_StatusOfDataCollection=FALSE),1,0)</f>
        <v>0</v>
      </c>
      <c r="U209" s="63">
        <f>IF(AND(K209&lt;&gt;"",EUconst_StatusOfDataCollection=FALSE),1,0)</f>
        <v>0</v>
      </c>
      <c r="V209" s="63">
        <f>IF(AND(L209&lt;&gt;"",EUconst_StatusOfDataCollection=FALSE),1,0)</f>
        <v>0</v>
      </c>
      <c r="W209" s="803">
        <f>IF(AND(M209&lt;&gt;"",EUconst_StatusOfDataCollection=FALSE),1,0)</f>
        <v>0</v>
      </c>
      <c r="AA209" s="815"/>
    </row>
    <row r="210" spans="2:27" ht="12.75" customHeight="1" thickBot="1" x14ac:dyDescent="0.3">
      <c r="B210" s="17"/>
      <c r="C210" s="900"/>
      <c r="D210" s="193" t="s">
        <v>432</v>
      </c>
      <c r="E210" s="1528" t="str">
        <f>Translations!$B$797</f>
        <v>Specific EF (imported waste gas)</v>
      </c>
      <c r="F210" s="1528"/>
      <c r="G210" s="1528"/>
      <c r="H210" s="154" t="str">
        <f>EUconst_tCO2pTJ</f>
        <v>t CO2 / TJ</v>
      </c>
      <c r="I210" s="311"/>
      <c r="J210" s="311"/>
      <c r="K210" s="311"/>
      <c r="L210" s="311"/>
      <c r="M210" s="311"/>
      <c r="N210" s="266"/>
      <c r="O210" s="17"/>
      <c r="P210" s="63" t="str">
        <f>EUconst_CNTR_WGImportEF &amp; I13</f>
        <v>WasteGasImEF_</v>
      </c>
      <c r="R210" s="460" t="str">
        <f>EUconst_CNTR_AttributedEmissions &amp; I13</f>
        <v>AttrEmissions_</v>
      </c>
      <c r="S210" s="389" t="str">
        <f>IF(S13,SUM(I209)*EUconst_FuelBMvalue,"")</f>
        <v/>
      </c>
      <c r="T210" s="389" t="str">
        <f>IF(T13,SUM(J209)*EUconst_FuelBMvalue,"")</f>
        <v/>
      </c>
      <c r="U210" s="389" t="str">
        <f>IF(U13,SUM(K209)*EUconst_FuelBMvalue,"")</f>
        <v/>
      </c>
      <c r="V210" s="389" t="str">
        <f>IF(V13,SUM(L209)*EUconst_FuelBMvalue,"")</f>
        <v/>
      </c>
      <c r="W210" s="390" t="str">
        <f>IF(W13,SUM(M209)*EUconst_FuelBMvalue,"")</f>
        <v/>
      </c>
      <c r="AA210" s="285" t="b">
        <f>AA208</f>
        <v>0</v>
      </c>
    </row>
    <row r="211" spans="2:27" ht="12.75" customHeight="1" x14ac:dyDescent="0.25">
      <c r="B211" s="17"/>
      <c r="C211" s="900"/>
      <c r="D211" s="342"/>
      <c r="E211" s="342"/>
      <c r="F211" s="342"/>
      <c r="G211" s="342"/>
      <c r="H211" s="342"/>
      <c r="I211" s="342"/>
      <c r="J211" s="342"/>
      <c r="K211" s="342"/>
      <c r="L211" s="342"/>
      <c r="M211" s="342"/>
      <c r="N211" s="266"/>
      <c r="O211" s="17"/>
      <c r="AA211" s="815"/>
    </row>
    <row r="212" spans="2:27" ht="12.75" customHeight="1" x14ac:dyDescent="0.25">
      <c r="B212" s="17"/>
      <c r="C212" s="900"/>
      <c r="D212" s="193" t="s">
        <v>433</v>
      </c>
      <c r="E212" s="1529" t="str">
        <f>Translations!$B$798</f>
        <v>Types of waste gases exported:</v>
      </c>
      <c r="F212" s="1529"/>
      <c r="G212" s="1529"/>
      <c r="H212" s="1529"/>
      <c r="I212" s="1530"/>
      <c r="J212" s="1531"/>
      <c r="K212" s="1531"/>
      <c r="L212" s="1531"/>
      <c r="M212" s="1532"/>
      <c r="N212" s="763"/>
      <c r="O212" s="17"/>
      <c r="AA212" s="285" t="b">
        <f>AA207</f>
        <v>0</v>
      </c>
    </row>
    <row r="213" spans="2:27" ht="12.75" customHeight="1" x14ac:dyDescent="0.25">
      <c r="B213" s="17"/>
      <c r="C213" s="900"/>
      <c r="D213" s="193"/>
      <c r="E213" s="1535" t="s">
        <v>429</v>
      </c>
      <c r="F213" s="1511"/>
      <c r="G213" s="1511"/>
      <c r="H213" s="1511"/>
      <c r="I213" s="1511"/>
      <c r="J213" s="1511"/>
      <c r="K213" s="1511"/>
      <c r="L213" s="1511"/>
      <c r="M213" s="1511"/>
      <c r="N213" s="1536"/>
      <c r="O213" s="17"/>
      <c r="AA213" s="815"/>
    </row>
    <row r="214" spans="2:27" ht="25.5" customHeight="1" x14ac:dyDescent="0.25">
      <c r="B214" s="17"/>
      <c r="C214" s="900"/>
      <c r="D214" s="193"/>
      <c r="E214" s="1533" t="str">
        <f>Translations!$B$799</f>
        <v>This includes all types of waste gases that are produced within the system boundaries of this sub-installation and exported from this sub-installation to any other sub-installation as well as to any other installations or entities.</v>
      </c>
      <c r="F214" s="1512"/>
      <c r="G214" s="1512"/>
      <c r="H214" s="1512"/>
      <c r="I214" s="1512"/>
      <c r="J214" s="1512"/>
      <c r="K214" s="1512"/>
      <c r="L214" s="1512"/>
      <c r="M214" s="1512"/>
      <c r="N214" s="1513"/>
      <c r="O214" s="17"/>
      <c r="AA214" s="815"/>
    </row>
    <row r="215" spans="2:27" ht="12.75" customHeight="1" x14ac:dyDescent="0.25">
      <c r="B215" s="17"/>
      <c r="C215" s="900"/>
      <c r="D215" s="342"/>
      <c r="E215" s="1522"/>
      <c r="F215" s="1523"/>
      <c r="G215" s="1523"/>
      <c r="H215" s="152" t="str">
        <f>EUconst_Unit</f>
        <v>Unit</v>
      </c>
      <c r="I215" s="153">
        <f>I$1882</f>
        <v>2019</v>
      </c>
      <c r="J215" s="153">
        <f>J$1882</f>
        <v>2020</v>
      </c>
      <c r="K215" s="153">
        <f>K$1882</f>
        <v>2021</v>
      </c>
      <c r="L215" s="153">
        <f>L$1882</f>
        <v>2022</v>
      </c>
      <c r="M215" s="153">
        <f>M$1882</f>
        <v>2023</v>
      </c>
      <c r="N215" s="903"/>
      <c r="O215" s="17"/>
      <c r="AA215" s="815"/>
    </row>
    <row r="216" spans="2:27" ht="12.75" customHeight="1" x14ac:dyDescent="0.25">
      <c r="B216" s="17"/>
      <c r="C216" s="900"/>
      <c r="D216" s="193" t="s">
        <v>434</v>
      </c>
      <c r="E216" s="1526" t="str">
        <f>Translations!$B$800</f>
        <v>Amounts exported</v>
      </c>
      <c r="F216" s="1526"/>
      <c r="G216" s="1526"/>
      <c r="H216" s="949" t="s">
        <v>427</v>
      </c>
      <c r="I216" s="889"/>
      <c r="J216" s="889"/>
      <c r="K216" s="889"/>
      <c r="L216" s="889"/>
      <c r="M216" s="889"/>
      <c r="N216" s="903"/>
      <c r="O216" s="17"/>
      <c r="AA216" s="285" t="b">
        <f>AA212</f>
        <v>0</v>
      </c>
    </row>
    <row r="217" spans="2:27" ht="12.75" customHeight="1" thickBot="1" x14ac:dyDescent="0.3">
      <c r="B217" s="17"/>
      <c r="C217" s="900"/>
      <c r="D217" s="193" t="s">
        <v>435</v>
      </c>
      <c r="E217" s="1527" t="str">
        <f>Translations!$B$470</f>
        <v>Net calorific value</v>
      </c>
      <c r="F217" s="1527"/>
      <c r="G217" s="1527"/>
      <c r="H217" s="950" t="str">
        <f>IF(ISBLANK(H216),EUconst_GJperUnit,INDEX(EUconst_GJperTorKNm3,MATCH(H216,EUconst_TonnesOrkNm3pa,0)))</f>
        <v>GJ/1000Nm3</v>
      </c>
      <c r="I217" s="895"/>
      <c r="J217" s="895"/>
      <c r="K217" s="895"/>
      <c r="L217" s="895"/>
      <c r="M217" s="895"/>
      <c r="N217" s="903"/>
      <c r="O217" s="17"/>
      <c r="AA217" s="285" t="b">
        <f>AA216</f>
        <v>0</v>
      </c>
    </row>
    <row r="218" spans="2:27" ht="12.75" customHeight="1" x14ac:dyDescent="0.25">
      <c r="B218" s="17"/>
      <c r="C218" s="900"/>
      <c r="D218" s="193" t="s">
        <v>436</v>
      </c>
      <c r="E218" s="1528" t="str">
        <f>Translations!$B$801</f>
        <v>Waste gas exported</v>
      </c>
      <c r="F218" s="1528"/>
      <c r="G218" s="1528"/>
      <c r="H218" s="154" t="str">
        <f>EUconst_TJpa</f>
        <v>TJ / year</v>
      </c>
      <c r="I218" s="163" t="str">
        <f>IF(COUNT(I216:I217)=2,I216*I217/1000,"")</f>
        <v/>
      </c>
      <c r="J218" s="163" t="str">
        <f>IF(COUNT(J216:J217)=2,J216*J217/1000,"")</f>
        <v/>
      </c>
      <c r="K218" s="163" t="str">
        <f>IF(COUNT(K216:K217)=2,K216*K217/1000,"")</f>
        <v/>
      </c>
      <c r="L218" s="163" t="str">
        <f>IF(COUNT(L216:L217)=2,L216*L217/1000,"")</f>
        <v/>
      </c>
      <c r="M218" s="163" t="str">
        <f>IF(COUNT(M216:M217)=2,M216*M217/1000,"")</f>
        <v/>
      </c>
      <c r="N218" s="277"/>
      <c r="O218" s="17"/>
      <c r="P218" s="63" t="str">
        <f>EUconst_CNTR_WGExport &amp; I13</f>
        <v>WasteGasEx_</v>
      </c>
      <c r="R218" s="459"/>
      <c r="S218" s="326">
        <f>I215</f>
        <v>2019</v>
      </c>
      <c r="T218" s="326">
        <f>J215</f>
        <v>2020</v>
      </c>
      <c r="U218" s="326">
        <f>K215</f>
        <v>2021</v>
      </c>
      <c r="V218" s="326">
        <f>L215</f>
        <v>2022</v>
      </c>
      <c r="W218" s="327">
        <f>M215</f>
        <v>2023</v>
      </c>
      <c r="AA218" s="815"/>
    </row>
    <row r="219" spans="2:27" ht="12.75" customHeight="1" thickBot="1" x14ac:dyDescent="0.3">
      <c r="B219" s="17"/>
      <c r="C219" s="900"/>
      <c r="D219" s="193" t="s">
        <v>437</v>
      </c>
      <c r="E219" s="1528" t="str">
        <f>Translations!$B$802</f>
        <v>Specific EF (exported waste gas)</v>
      </c>
      <c r="F219" s="1528"/>
      <c r="G219" s="1528"/>
      <c r="H219" s="154" t="str">
        <f>EUconst_tCO2pTJ</f>
        <v>t CO2 / TJ</v>
      </c>
      <c r="I219" s="311"/>
      <c r="J219" s="311"/>
      <c r="K219" s="311"/>
      <c r="L219" s="311"/>
      <c r="M219" s="311"/>
      <c r="N219" s="266"/>
      <c r="O219" s="17"/>
      <c r="P219" s="63" t="str">
        <f>EUconst_CNTR_WGExportEF &amp; I13</f>
        <v>WasteGasExEF_</v>
      </c>
      <c r="R219" s="460" t="str">
        <f>EUconst_CNTR_AttributedEmissions &amp; I13</f>
        <v>AttrEmissions_</v>
      </c>
      <c r="S219" s="389" t="str">
        <f>IF(S13,-SUM(I218)*EUconst_NGEFvalue*EUconst_WasteGasCorrFactor,"")</f>
        <v/>
      </c>
      <c r="T219" s="389" t="str">
        <f>IF(T13,-SUM(J218)*EUconst_NGEFvalue*EUconst_WasteGasCorrFactor,"")</f>
        <v/>
      </c>
      <c r="U219" s="389" t="str">
        <f>IF(U13,-SUM(K218)*EUconst_NGEFvalue*EUconst_WasteGasCorrFactor,"")</f>
        <v/>
      </c>
      <c r="V219" s="389" t="str">
        <f>IF(V13,-SUM(L218)*EUconst_NGEFvalue*EUconst_WasteGasCorrFactor,"")</f>
        <v/>
      </c>
      <c r="W219" s="390" t="str">
        <f>IF(W13,-SUM(M218)*EUconst_NGEFvalue*EUconst_WasteGasCorrFactor,"")</f>
        <v/>
      </c>
      <c r="AA219" s="286" t="b">
        <f>AA217</f>
        <v>0</v>
      </c>
    </row>
    <row r="220" spans="2:27" ht="12.75" customHeight="1" x14ac:dyDescent="0.25">
      <c r="B220" s="17"/>
      <c r="C220" s="900"/>
      <c r="D220" s="342"/>
      <c r="E220" s="342"/>
      <c r="F220" s="342"/>
      <c r="G220" s="342"/>
      <c r="H220" s="342"/>
      <c r="I220" s="342"/>
      <c r="J220" s="342"/>
      <c r="K220" s="342"/>
      <c r="L220" s="342"/>
      <c r="M220" s="342"/>
      <c r="N220" s="266"/>
      <c r="O220" s="17"/>
    </row>
    <row r="221" spans="2:27" ht="12.75" customHeight="1" x14ac:dyDescent="0.25">
      <c r="B221" s="17"/>
      <c r="C221" s="900"/>
      <c r="D221" s="157" t="s">
        <v>359</v>
      </c>
      <c r="E221" s="1511" t="str">
        <f>Translations!$B$420</f>
        <v>Electricity production</v>
      </c>
      <c r="F221" s="1512"/>
      <c r="G221" s="1512"/>
      <c r="H221" s="1512"/>
      <c r="I221" s="1512"/>
      <c r="J221" s="1512"/>
      <c r="K221" s="1512"/>
      <c r="L221" s="1512"/>
      <c r="M221" s="1512"/>
      <c r="N221" s="1513"/>
      <c r="O221" s="17"/>
    </row>
    <row r="222" spans="2:27" ht="12.75" customHeight="1" x14ac:dyDescent="0.25">
      <c r="B222" s="17"/>
      <c r="C222" s="900"/>
      <c r="D222" s="193"/>
      <c r="E222" s="1535" t="s">
        <v>438</v>
      </c>
      <c r="F222" s="1511"/>
      <c r="G222" s="1511"/>
      <c r="H222" s="1511"/>
      <c r="I222" s="1511"/>
      <c r="J222" s="1511"/>
      <c r="K222" s="1511"/>
      <c r="L222" s="1511"/>
      <c r="M222" s="1511"/>
      <c r="N222" s="1536"/>
      <c r="O222" s="17"/>
      <c r="AA222" s="815"/>
    </row>
    <row r="223" spans="2:27" ht="25.5" customHeight="1" thickBot="1" x14ac:dyDescent="0.3">
      <c r="B223" s="17"/>
      <c r="C223" s="900"/>
      <c r="D223" s="342"/>
      <c r="E223" s="1533" t="s">
        <v>439</v>
      </c>
      <c r="F223" s="1512"/>
      <c r="G223" s="1512"/>
      <c r="H223" s="1512"/>
      <c r="I223" s="1512"/>
      <c r="J223" s="1512"/>
      <c r="K223" s="1512"/>
      <c r="L223" s="1512"/>
      <c r="M223" s="1512"/>
      <c r="N223" s="1513"/>
      <c r="O223" s="17"/>
    </row>
    <row r="224" spans="2:27" ht="12.75" customHeight="1" x14ac:dyDescent="0.25">
      <c r="B224" s="17"/>
      <c r="C224" s="900"/>
      <c r="D224" s="157"/>
      <c r="E224" s="1522"/>
      <c r="F224" s="1523"/>
      <c r="G224" s="1523"/>
      <c r="H224" s="152" t="str">
        <f>EUconst_Unit</f>
        <v>Unit</v>
      </c>
      <c r="I224" s="153">
        <f>I$1882</f>
        <v>2019</v>
      </c>
      <c r="J224" s="153">
        <f>J$1882</f>
        <v>2020</v>
      </c>
      <c r="K224" s="153">
        <f>K$1882</f>
        <v>2021</v>
      </c>
      <c r="L224" s="153">
        <f>L$1882</f>
        <v>2022</v>
      </c>
      <c r="M224" s="153">
        <f>M$1882</f>
        <v>2023</v>
      </c>
      <c r="N224" s="266"/>
      <c r="O224" s="17"/>
      <c r="R224" s="459"/>
      <c r="S224" s="326">
        <f>I224</f>
        <v>2019</v>
      </c>
      <c r="T224" s="326">
        <f>J224</f>
        <v>2020</v>
      </c>
      <c r="U224" s="326">
        <f>K224</f>
        <v>2021</v>
      </c>
      <c r="V224" s="326">
        <f>L224</f>
        <v>2022</v>
      </c>
      <c r="W224" s="327">
        <f>M224</f>
        <v>2023</v>
      </c>
    </row>
    <row r="225" spans="2:27" ht="12.75" customHeight="1" thickBot="1" x14ac:dyDescent="0.3">
      <c r="B225" s="17"/>
      <c r="C225" s="900"/>
      <c r="D225" s="193"/>
      <c r="E225" s="1528" t="str">
        <f>Translations!$B$805</f>
        <v>Electricity produced</v>
      </c>
      <c r="F225" s="1528"/>
      <c r="G225" s="1528"/>
      <c r="H225" s="154" t="str">
        <f>EUconst_MWhpa</f>
        <v>MWh / year</v>
      </c>
      <c r="I225" s="311"/>
      <c r="J225" s="311"/>
      <c r="K225" s="311"/>
      <c r="L225" s="311"/>
      <c r="M225" s="311"/>
      <c r="N225" s="903"/>
      <c r="O225" s="17"/>
      <c r="P225" s="63" t="str">
        <f>EUconst_CNTR_ElectricityExported &amp; I13</f>
        <v>ElecEx_</v>
      </c>
      <c r="R225" s="460" t="str">
        <f>EUconst_CNTR_AttributedEmissions &amp; I13</f>
        <v>AttrEmissions_</v>
      </c>
      <c r="S225" s="389" t="str">
        <f>IF(S13,-SUM(I225)*EUconst_ElBM,"")</f>
        <v/>
      </c>
      <c r="T225" s="389" t="str">
        <f>IF(T13,-SUM(J225)*EUconst_ElBM,"")</f>
        <v/>
      </c>
      <c r="U225" s="389" t="str">
        <f>IF(U13,-SUM(K225)*EUconst_ElBM,"")</f>
        <v/>
      </c>
      <c r="V225" s="389" t="str">
        <f>IF(V13,-SUM(L225)*EUconst_ElBM,"")</f>
        <v/>
      </c>
      <c r="W225" s="390" t="str">
        <f>IF(W13,-SUM(M225)*EUconst_ElBM,"")</f>
        <v/>
      </c>
    </row>
    <row r="226" spans="2:27" ht="12.75" customHeight="1" x14ac:dyDescent="0.25">
      <c r="B226" s="17"/>
      <c r="C226" s="900"/>
      <c r="D226" s="342"/>
      <c r="E226" s="342"/>
      <c r="F226" s="342"/>
      <c r="G226" s="342"/>
      <c r="H226" s="342"/>
      <c r="I226" s="342"/>
      <c r="J226" s="342"/>
      <c r="K226" s="342"/>
      <c r="L226" s="342"/>
      <c r="M226" s="342"/>
      <c r="N226" s="266"/>
      <c r="O226" s="17"/>
    </row>
    <row r="227" spans="2:27" ht="12.75" customHeight="1" x14ac:dyDescent="0.25">
      <c r="B227" s="17"/>
      <c r="C227" s="900"/>
      <c r="D227" s="157" t="s">
        <v>361</v>
      </c>
      <c r="E227" s="1529" t="str">
        <f>Translations!$B$806</f>
        <v>Total amount of pulp produced</v>
      </c>
      <c r="F227" s="1529"/>
      <c r="G227" s="1529"/>
      <c r="H227" s="1529"/>
      <c r="I227" s="1529"/>
      <c r="J227" s="1529"/>
      <c r="K227" s="1529"/>
      <c r="L227" s="1529"/>
      <c r="M227" s="1529"/>
      <c r="N227" s="1534"/>
      <c r="O227" s="17"/>
    </row>
    <row r="228" spans="2:27" ht="25.5" customHeight="1" x14ac:dyDescent="0.25">
      <c r="B228" s="17"/>
      <c r="C228" s="900"/>
      <c r="D228" s="342"/>
      <c r="E228" s="1533" t="s">
        <v>440</v>
      </c>
      <c r="F228" s="1512"/>
      <c r="G228" s="1512"/>
      <c r="H228" s="1512"/>
      <c r="I228" s="1512"/>
      <c r="J228" s="1512"/>
      <c r="K228" s="1512"/>
      <c r="L228" s="1512"/>
      <c r="M228" s="1512"/>
      <c r="N228" s="1513"/>
      <c r="O228" s="17"/>
    </row>
    <row r="229" spans="2:27" ht="12.75" customHeight="1" x14ac:dyDescent="0.25">
      <c r="B229" s="17"/>
      <c r="C229" s="900"/>
      <c r="D229" s="342"/>
      <c r="E229" s="1533" t="str">
        <f>Translations!$B$808</f>
        <v>This section will be greyed out if this is not one of those pulp producing sub-installation. In such case, please continue with the points below.</v>
      </c>
      <c r="F229" s="1512"/>
      <c r="G229" s="1512"/>
      <c r="H229" s="1512"/>
      <c r="I229" s="1512"/>
      <c r="J229" s="1512"/>
      <c r="K229" s="1512"/>
      <c r="L229" s="1512"/>
      <c r="M229" s="1512"/>
      <c r="N229" s="1513"/>
      <c r="O229" s="17"/>
      <c r="AA229" s="145" t="s">
        <v>396</v>
      </c>
    </row>
    <row r="230" spans="2:27" ht="12.75" customHeight="1" thickBot="1" x14ac:dyDescent="0.3">
      <c r="B230" s="17"/>
      <c r="C230" s="900"/>
      <c r="D230" s="193"/>
      <c r="E230" s="1535" t="str">
        <f>Translations!$B$809</f>
        <v>Data provided here will be relevant for the update of the specific pulp benchmark.</v>
      </c>
      <c r="F230" s="1511"/>
      <c r="G230" s="1511"/>
      <c r="H230" s="1511"/>
      <c r="I230" s="1511"/>
      <c r="J230" s="1511"/>
      <c r="K230" s="1511"/>
      <c r="L230" s="1511"/>
      <c r="M230" s="1511"/>
      <c r="N230" s="1536"/>
      <c r="O230" s="17"/>
      <c r="AA230" s="815"/>
    </row>
    <row r="231" spans="2:27" ht="12.75" customHeight="1" thickBot="1" x14ac:dyDescent="0.3">
      <c r="B231" s="17"/>
      <c r="C231" s="900"/>
      <c r="D231" s="193"/>
      <c r="E231" s="1510" t="str">
        <f>IF(I13="","",IF(INDEX(EUconst_BMlistPulp,MATCH(I13,EUconst_BMlistNames,0)),I13,""))</f>
        <v/>
      </c>
      <c r="F231" s="1510"/>
      <c r="G231" s="1510"/>
      <c r="H231" s="154" t="str">
        <f>EUconst_Tons</f>
        <v>tonnes</v>
      </c>
      <c r="I231" s="311"/>
      <c r="J231" s="311"/>
      <c r="K231" s="311"/>
      <c r="L231" s="311"/>
      <c r="M231" s="311"/>
      <c r="N231" s="903"/>
      <c r="O231" s="17"/>
      <c r="P231" s="63" t="str">
        <f>EUconst_CNTR_HALPulpTotal &amp; I13</f>
        <v>HALPulpTotal_</v>
      </c>
      <c r="AA231" s="410" t="b">
        <f>IF(I13&lt;&gt;"",IF(INDEX(EUconst_BMlistPulp,MATCH(I13,EUconst_BMlistNames,0))=TRUE,FALSE,TRUE),FALSE)</f>
        <v>0</v>
      </c>
    </row>
    <row r="232" spans="2:27" ht="12.75" customHeight="1" x14ac:dyDescent="0.25">
      <c r="B232" s="17"/>
      <c r="C232" s="900"/>
      <c r="D232" s="193"/>
      <c r="E232" s="193"/>
      <c r="F232" s="193"/>
      <c r="G232" s="193"/>
      <c r="H232" s="193"/>
      <c r="I232" s="193"/>
      <c r="J232" s="193"/>
      <c r="K232" s="193"/>
      <c r="L232" s="193"/>
      <c r="M232" s="193"/>
      <c r="N232" s="903"/>
      <c r="O232" s="17"/>
    </row>
    <row r="233" spans="2:27" ht="12.75" customHeight="1" x14ac:dyDescent="0.25">
      <c r="B233" s="17"/>
      <c r="C233" s="900"/>
      <c r="D233" s="157" t="s">
        <v>362</v>
      </c>
      <c r="E233" s="1511" t="str">
        <f>Translations!$B$810</f>
        <v>Import or export of intermediate products covered by product benchmarks</v>
      </c>
      <c r="F233" s="1512"/>
      <c r="G233" s="1512"/>
      <c r="H233" s="1512"/>
      <c r="I233" s="1512"/>
      <c r="J233" s="1512"/>
      <c r="K233" s="1512"/>
      <c r="L233" s="1512"/>
      <c r="M233" s="1512"/>
      <c r="N233" s="1513"/>
      <c r="O233" s="17"/>
    </row>
    <row r="234" spans="2:27" ht="25.5" customHeight="1" x14ac:dyDescent="0.25">
      <c r="B234" s="17"/>
      <c r="C234" s="900"/>
      <c r="D234" s="342"/>
      <c r="E234" s="1533" t="s">
        <v>441</v>
      </c>
      <c r="F234" s="1512"/>
      <c r="G234" s="1512"/>
      <c r="H234" s="1512"/>
      <c r="I234" s="1512"/>
      <c r="J234" s="1512"/>
      <c r="K234" s="1512"/>
      <c r="L234" s="1512"/>
      <c r="M234" s="1512"/>
      <c r="N234" s="1513"/>
      <c r="O234" s="17"/>
    </row>
    <row r="235" spans="2:27" ht="12.75" customHeight="1" thickBot="1" x14ac:dyDescent="0.3">
      <c r="B235" s="17"/>
      <c r="C235" s="900"/>
      <c r="D235" s="342"/>
      <c r="E235" s="1535" t="str">
        <f>Translations!$B$812</f>
        <v>Data provided here might impact the update of the specific benchmark.</v>
      </c>
      <c r="F235" s="1511"/>
      <c r="G235" s="1511"/>
      <c r="H235" s="1511"/>
      <c r="I235" s="1511"/>
      <c r="J235" s="1511"/>
      <c r="K235" s="1511"/>
      <c r="L235" s="1511"/>
      <c r="M235" s="1511"/>
      <c r="N235" s="1536"/>
      <c r="O235" s="17"/>
    </row>
    <row r="236" spans="2:27" ht="12.75" customHeight="1" thickBot="1" x14ac:dyDescent="0.3">
      <c r="B236" s="17"/>
      <c r="C236" s="900"/>
      <c r="D236" s="193" t="s">
        <v>206</v>
      </c>
      <c r="E236" s="1514" t="str">
        <f>Translations!$B$813</f>
        <v>Is there any import or export of intermediate products covered by product benchmarks?</v>
      </c>
      <c r="F236" s="1514"/>
      <c r="G236" s="1514"/>
      <c r="H236" s="1514"/>
      <c r="I236" s="1514"/>
      <c r="J236" s="1514"/>
      <c r="K236" s="1515"/>
      <c r="L236" s="194"/>
      <c r="M236" s="342"/>
      <c r="N236" s="277"/>
      <c r="O236" s="17"/>
      <c r="W236" s="288" t="s">
        <v>418</v>
      </c>
      <c r="X236" s="215" t="b">
        <f>IF(AND(I13&lt;&gt;"",ISBLANK(L236)),EUconst_Error&amp;"BM"&amp;C13,FALSE)</f>
        <v>0</v>
      </c>
    </row>
    <row r="237" spans="2:27" ht="5.0999999999999996" customHeight="1" x14ac:dyDescent="0.25">
      <c r="B237" s="17"/>
      <c r="C237" s="900"/>
      <c r="D237" s="193"/>
      <c r="E237" s="193"/>
      <c r="F237" s="193"/>
      <c r="G237" s="193"/>
      <c r="H237" s="193"/>
      <c r="I237" s="193"/>
      <c r="J237" s="193"/>
      <c r="K237" s="193"/>
      <c r="L237" s="193"/>
      <c r="M237" s="193"/>
      <c r="N237" s="903"/>
      <c r="O237" s="17"/>
    </row>
    <row r="238" spans="2:27" ht="12.75" customHeight="1" thickBot="1" x14ac:dyDescent="0.3">
      <c r="B238" s="17"/>
      <c r="C238" s="900"/>
      <c r="D238" s="157"/>
      <c r="E238" s="1522" t="str">
        <f>Translations!$B$814</f>
        <v>Imported amounts:</v>
      </c>
      <c r="F238" s="1523"/>
      <c r="G238" s="1523"/>
      <c r="H238" s="192" t="str">
        <f>EUconst_Unit</f>
        <v>Unit</v>
      </c>
      <c r="I238" s="153">
        <f>I$1882</f>
        <v>2019</v>
      </c>
      <c r="J238" s="153">
        <f>J$1882</f>
        <v>2020</v>
      </c>
      <c r="K238" s="153">
        <f>K$1882</f>
        <v>2021</v>
      </c>
      <c r="L238" s="153">
        <f>L$1882</f>
        <v>2022</v>
      </c>
      <c r="M238" s="153">
        <f>M$1882</f>
        <v>2023</v>
      </c>
      <c r="N238" s="903"/>
      <c r="O238" s="17"/>
      <c r="AA238" s="145" t="s">
        <v>396</v>
      </c>
    </row>
    <row r="239" spans="2:27" ht="12.75" customHeight="1" x14ac:dyDescent="0.25">
      <c r="B239" s="17"/>
      <c r="C239" s="900"/>
      <c r="D239" s="193" t="s">
        <v>208</v>
      </c>
      <c r="E239" s="1524"/>
      <c r="F239" s="1524"/>
      <c r="G239" s="1524"/>
      <c r="H239" s="853" t="str">
        <f>IF(E239&lt;&gt;"",INDEX(EUconst_BMlistUnits,MATCH(E239,EUconst_BMlistNames,0)),EUconst_Tons)</f>
        <v>tonnes</v>
      </c>
      <c r="I239" s="953"/>
      <c r="J239" s="953"/>
      <c r="K239" s="953"/>
      <c r="L239" s="953"/>
      <c r="M239" s="953"/>
      <c r="N239" s="903"/>
      <c r="O239" s="17"/>
      <c r="P239" s="63" t="str">
        <f>EUconst_CNTR_IntermediateImport &amp; R239 &amp; "_" &amp; I13</f>
        <v>IntImp_1_</v>
      </c>
      <c r="R239" s="63">
        <v>1</v>
      </c>
      <c r="AA239" s="316" t="b">
        <f>AND(NOT(ISBLANK(L236)),L236=FALSE)</f>
        <v>0</v>
      </c>
    </row>
    <row r="240" spans="2:27" ht="12.75" customHeight="1" x14ac:dyDescent="0.25">
      <c r="B240" s="17"/>
      <c r="C240" s="900"/>
      <c r="D240" s="193" t="s">
        <v>209</v>
      </c>
      <c r="E240" s="1525"/>
      <c r="F240" s="1525"/>
      <c r="G240" s="1525"/>
      <c r="H240" s="950" t="str">
        <f>IF(E240&lt;&gt;"",INDEX(EUconst_BMlistUnits,MATCH(E240,EUconst_BMlistNames,0)),EUconst_Tons)</f>
        <v>tonnes</v>
      </c>
      <c r="I240" s="954"/>
      <c r="J240" s="954"/>
      <c r="K240" s="954"/>
      <c r="L240" s="954"/>
      <c r="M240" s="954"/>
      <c r="N240" s="903"/>
      <c r="O240" s="17"/>
      <c r="P240" s="63" t="str">
        <f>EUconst_CNTR_IntermediateImport &amp; R240 &amp; "_" &amp; I13</f>
        <v>IntImp_2_</v>
      </c>
      <c r="R240" s="63">
        <v>2</v>
      </c>
      <c r="AA240" s="285" t="b">
        <f>AA239</f>
        <v>0</v>
      </c>
    </row>
    <row r="241" spans="2:27" ht="5.0999999999999996" customHeight="1" x14ac:dyDescent="0.25">
      <c r="B241" s="17"/>
      <c r="C241" s="900"/>
      <c r="D241" s="193"/>
      <c r="E241" s="193"/>
      <c r="F241" s="193"/>
      <c r="G241" s="193"/>
      <c r="H241" s="193"/>
      <c r="I241" s="193"/>
      <c r="J241" s="193"/>
      <c r="K241" s="193"/>
      <c r="L241" s="193"/>
      <c r="M241" s="193"/>
      <c r="N241" s="903"/>
      <c r="O241" s="17"/>
      <c r="AA241" s="815"/>
    </row>
    <row r="242" spans="2:27" ht="12.75" customHeight="1" x14ac:dyDescent="0.25">
      <c r="B242" s="17"/>
      <c r="C242" s="900"/>
      <c r="D242" s="157"/>
      <c r="E242" s="1522" t="str">
        <f>Translations!$B$815</f>
        <v>Exported amounts:</v>
      </c>
      <c r="F242" s="1523"/>
      <c r="G242" s="1523"/>
      <c r="H242" s="192" t="str">
        <f>EUconst_Unit</f>
        <v>Unit</v>
      </c>
      <c r="I242" s="153">
        <f>I$1882</f>
        <v>2019</v>
      </c>
      <c r="J242" s="153">
        <f>J$1882</f>
        <v>2020</v>
      </c>
      <c r="K242" s="153">
        <f>K$1882</f>
        <v>2021</v>
      </c>
      <c r="L242" s="153">
        <f>L$1882</f>
        <v>2022</v>
      </c>
      <c r="M242" s="153">
        <f>M$1882</f>
        <v>2023</v>
      </c>
      <c r="N242" s="903"/>
      <c r="O242" s="17"/>
      <c r="AA242" s="815"/>
    </row>
    <row r="243" spans="2:27" ht="12.75" customHeight="1" x14ac:dyDescent="0.25">
      <c r="B243" s="17"/>
      <c r="C243" s="900"/>
      <c r="D243" s="193" t="s">
        <v>210</v>
      </c>
      <c r="E243" s="1524"/>
      <c r="F243" s="1524"/>
      <c r="G243" s="1524"/>
      <c r="H243" s="853" t="str">
        <f>IF(E243&lt;&gt;"",INDEX(EUconst_BMlistUnits,MATCH(E243,EUconst_BMlistNames,0)),EUconst_Tons)</f>
        <v>tonnes</v>
      </c>
      <c r="I243" s="953"/>
      <c r="J243" s="953"/>
      <c r="K243" s="953"/>
      <c r="L243" s="953"/>
      <c r="M243" s="953"/>
      <c r="N243" s="903"/>
      <c r="O243" s="17"/>
      <c r="P243" s="63" t="str">
        <f>EUconst_CNTR_IntermediateExport &amp; R239 &amp; "_" &amp; I13</f>
        <v>IntExp_1_</v>
      </c>
      <c r="R243" s="63">
        <v>1</v>
      </c>
      <c r="U243" s="955"/>
      <c r="V243" s="955"/>
      <c r="AA243" s="285" t="b">
        <f>AA239</f>
        <v>0</v>
      </c>
    </row>
    <row r="244" spans="2:27" ht="12.75" customHeight="1" x14ac:dyDescent="0.25">
      <c r="B244" s="17"/>
      <c r="C244" s="900"/>
      <c r="D244" s="193" t="s">
        <v>220</v>
      </c>
      <c r="E244" s="1525"/>
      <c r="F244" s="1525"/>
      <c r="G244" s="1525"/>
      <c r="H244" s="950" t="str">
        <f>IF(E244&lt;&gt;"",INDEX(EUconst_BMlistUnits,MATCH(E244,EUconst_BMlistNames,0)),EUconst_Tons)</f>
        <v>tonnes</v>
      </c>
      <c r="I244" s="954"/>
      <c r="J244" s="954"/>
      <c r="K244" s="954"/>
      <c r="L244" s="954"/>
      <c r="M244" s="954"/>
      <c r="N244" s="903"/>
      <c r="O244" s="17"/>
      <c r="P244" s="63" t="str">
        <f>EUconst_CNTR_IntermediateExport &amp; R244 &amp; "_" &amp; I13</f>
        <v>IntExp_2_</v>
      </c>
      <c r="R244" s="63">
        <v>2</v>
      </c>
      <c r="U244" s="955"/>
      <c r="V244" s="955"/>
      <c r="AA244" s="285" t="b">
        <f>AA239</f>
        <v>0</v>
      </c>
    </row>
    <row r="245" spans="2:27" ht="5.0999999999999996" customHeight="1" x14ac:dyDescent="0.25">
      <c r="B245" s="17"/>
      <c r="C245" s="900"/>
      <c r="D245" s="193"/>
      <c r="E245" s="193"/>
      <c r="F245" s="193"/>
      <c r="G245" s="193"/>
      <c r="H245" s="193"/>
      <c r="I245" s="193"/>
      <c r="J245" s="193"/>
      <c r="K245" s="193"/>
      <c r="L245" s="193"/>
      <c r="M245" s="193"/>
      <c r="N245" s="903"/>
      <c r="O245" s="17"/>
      <c r="U245" s="955"/>
      <c r="V245" s="955"/>
      <c r="AA245" s="815"/>
    </row>
    <row r="246" spans="2:27" ht="12.75" customHeight="1" x14ac:dyDescent="0.25">
      <c r="B246" s="17"/>
      <c r="C246" s="900"/>
      <c r="D246" s="193" t="s">
        <v>221</v>
      </c>
      <c r="E246" s="1514" t="str">
        <f>Translations!$B$816</f>
        <v>Description of the intermediate products imported or exported</v>
      </c>
      <c r="F246" s="1514"/>
      <c r="G246" s="1514"/>
      <c r="H246" s="1514"/>
      <c r="I246" s="1514"/>
      <c r="J246" s="1514"/>
      <c r="K246" s="1514"/>
      <c r="L246" s="1514"/>
      <c r="M246" s="1514"/>
      <c r="N246" s="903"/>
      <c r="O246" s="17"/>
      <c r="U246" s="955"/>
      <c r="V246" s="955"/>
      <c r="AA246" s="815"/>
    </row>
    <row r="247" spans="2:27" ht="12.75" customHeight="1" x14ac:dyDescent="0.25">
      <c r="B247" s="17"/>
      <c r="C247" s="900"/>
      <c r="D247" s="193"/>
      <c r="E247" s="1533" t="str">
        <f>Translations!$B$817</f>
        <v>Please provide a brief description of the production process with respect to the intermediate products imported or exported.</v>
      </c>
      <c r="F247" s="1512"/>
      <c r="G247" s="1512"/>
      <c r="H247" s="1512"/>
      <c r="I247" s="1512"/>
      <c r="J247" s="1512"/>
      <c r="K247" s="1512"/>
      <c r="L247" s="1512"/>
      <c r="M247" s="1512"/>
      <c r="N247" s="1513"/>
      <c r="O247" s="17"/>
      <c r="U247" s="955"/>
      <c r="V247" s="955"/>
      <c r="AA247" s="815"/>
    </row>
    <row r="248" spans="2:27" ht="12.75" customHeight="1" x14ac:dyDescent="0.25">
      <c r="B248" s="17"/>
      <c r="C248" s="900"/>
      <c r="D248" s="193"/>
      <c r="E248" s="1516"/>
      <c r="F248" s="1517"/>
      <c r="G248" s="1517"/>
      <c r="H248" s="1517"/>
      <c r="I248" s="1517"/>
      <c r="J248" s="1517"/>
      <c r="K248" s="1517"/>
      <c r="L248" s="1517"/>
      <c r="M248" s="1518"/>
      <c r="N248" s="903"/>
      <c r="O248" s="17"/>
      <c r="U248" s="955"/>
      <c r="V248" s="955"/>
      <c r="AA248" s="285" t="b">
        <f>AA239</f>
        <v>0</v>
      </c>
    </row>
    <row r="249" spans="2:27" ht="12.75" customHeight="1" thickBot="1" x14ac:dyDescent="0.3">
      <c r="B249" s="17"/>
      <c r="C249" s="900"/>
      <c r="D249" s="193"/>
      <c r="E249" s="1519"/>
      <c r="F249" s="1520"/>
      <c r="G249" s="1520"/>
      <c r="H249" s="1520"/>
      <c r="I249" s="1520"/>
      <c r="J249" s="1520"/>
      <c r="K249" s="1520"/>
      <c r="L249" s="1520"/>
      <c r="M249" s="1521"/>
      <c r="N249" s="903"/>
      <c r="O249" s="17"/>
      <c r="U249" s="955"/>
      <c r="V249" s="955"/>
      <c r="AA249" s="286" t="b">
        <f>AA239</f>
        <v>0</v>
      </c>
    </row>
    <row r="250" spans="2:27" ht="12.75" customHeight="1" thickBot="1" x14ac:dyDescent="0.3">
      <c r="B250" s="17"/>
      <c r="C250" s="956"/>
      <c r="D250" s="465"/>
      <c r="E250" s="465"/>
      <c r="F250" s="465"/>
      <c r="G250" s="465"/>
      <c r="H250" s="465"/>
      <c r="I250" s="465"/>
      <c r="J250" s="465"/>
      <c r="K250" s="465"/>
      <c r="L250" s="465"/>
      <c r="M250" s="465"/>
      <c r="N250" s="466"/>
      <c r="O250" s="17"/>
    </row>
    <row r="251" spans="2:27" ht="13.8" thickBot="1" x14ac:dyDescent="0.3">
      <c r="B251" s="17"/>
      <c r="C251" s="17"/>
      <c r="D251" s="17"/>
      <c r="E251" s="17"/>
      <c r="F251" s="17"/>
      <c r="G251" s="17"/>
      <c r="H251" s="17"/>
      <c r="I251" s="17"/>
      <c r="J251" s="17"/>
      <c r="K251" s="17"/>
      <c r="L251" s="17"/>
      <c r="M251" s="17"/>
      <c r="N251" s="17"/>
      <c r="O251" s="17"/>
      <c r="P251" s="372" t="str">
        <f>IF(OR(AND(CNTR_ExistProductSubEntries=FALSE,P13=1),AND(I13&lt;&gt;"",COUNTIF(P252:$P$1876,"PRINT")=0)),"PRINT","")</f>
        <v>PRINT</v>
      </c>
      <c r="Q251" s="145" t="s">
        <v>442</v>
      </c>
    </row>
    <row r="252" spans="2:27" ht="5.0999999999999996" customHeight="1" thickBot="1" x14ac:dyDescent="0.3">
      <c r="B252" s="17"/>
      <c r="C252" s="957"/>
      <c r="D252" s="957"/>
      <c r="E252" s="957"/>
      <c r="F252" s="957"/>
      <c r="G252" s="957"/>
      <c r="H252" s="957"/>
      <c r="I252" s="957"/>
      <c r="J252" s="957"/>
      <c r="K252" s="957"/>
      <c r="L252" s="957"/>
      <c r="M252" s="957"/>
      <c r="N252" s="957"/>
      <c r="O252" s="17"/>
    </row>
    <row r="253" spans="2:27" ht="14.4" thickBot="1" x14ac:dyDescent="0.3">
      <c r="B253" s="17"/>
      <c r="C253" s="456">
        <v>2</v>
      </c>
      <c r="D253" s="1234" t="str">
        <f>EUconst_BMSubinst &amp; ":"</f>
        <v>Sub-installation with product benchmark:</v>
      </c>
      <c r="E253" s="1176"/>
      <c r="F253" s="1176"/>
      <c r="G253" s="1176"/>
      <c r="H253" s="1260"/>
      <c r="I253" s="1550" t="str">
        <f>IF(INDEX(CNTR_SubInstListIsProdBM,$C253),INDEX(CNTR_SubInstListNames,$C253),"")</f>
        <v/>
      </c>
      <c r="J253" s="1509"/>
      <c r="K253" s="1509"/>
      <c r="L253" s="1509"/>
      <c r="M253" s="1509"/>
      <c r="N253" s="1189"/>
      <c r="O253" s="17"/>
      <c r="P253" s="372">
        <f>C253</f>
        <v>2</v>
      </c>
      <c r="Q253" s="288" t="s">
        <v>296</v>
      </c>
      <c r="R253" s="457" t="str">
        <f>IF(I253="","",INDEX(CNTR_SubInstStartDate,MATCH($I253,CNTR_SubInstListNames,0)))</f>
        <v/>
      </c>
      <c r="S253" s="458" t="b">
        <f>IF($I253="",FALSE,AND(I$1885, IF($R253&lt;DATE($L$1882,1,1),YEAR($R253)&lt;=I$1882,YEAR($R253-1)&lt;I$1882) ) )</f>
        <v>0</v>
      </c>
      <c r="T253" s="458" t="b">
        <f>IF($I253="",FALSE,AND(J$1885, IF($R253&lt;DATE($L$1882,1,1),YEAR($R253)&lt;=J$1882,YEAR($R253-1)&lt;J$1882) ) )</f>
        <v>0</v>
      </c>
      <c r="U253" s="458" t="b">
        <f>IF($I253="",FALSE,AND(K$1885, IF($R253&lt;DATE($L$1882,1,1),YEAR($R253)&lt;=K$1882,YEAR($R253-1)&lt;K$1882) ) )</f>
        <v>0</v>
      </c>
      <c r="V253" s="458" t="b">
        <f>IF($I253="",FALSE,AND(L$1885, IF($R253&lt;DATE($L$1882,1,1),YEAR($R253)&lt;=L$1882,YEAR($R253-1)&lt;L$1882) ) )</f>
        <v>0</v>
      </c>
      <c r="W253" s="458" t="b">
        <f>IF($I253="",FALSE,AND(M$1885, IF($R253&lt;DATE($L$1882,1,1),YEAR($R253)&lt;=M$1882,YEAR($R253-1)&lt;M$1882) ) )</f>
        <v>0</v>
      </c>
      <c r="Z253" s="288" t="s">
        <v>390</v>
      </c>
      <c r="AA253" s="410" t="b">
        <f>AND(CNTR_ExistSubInstEntries,I253="")</f>
        <v>0</v>
      </c>
    </row>
    <row r="254" spans="2:27" ht="5.0999999999999996" customHeight="1" x14ac:dyDescent="0.25">
      <c r="B254" s="17"/>
      <c r="C254" s="17"/>
      <c r="D254" s="17"/>
      <c r="E254" s="17"/>
      <c r="F254" s="17"/>
      <c r="G254" s="17"/>
      <c r="H254" s="17"/>
      <c r="I254" s="17"/>
      <c r="J254" s="17"/>
      <c r="K254" s="17"/>
      <c r="L254" s="17"/>
      <c r="M254" s="17"/>
      <c r="N254" s="17"/>
      <c r="O254" s="17"/>
    </row>
    <row r="255" spans="2:27" ht="12.75" customHeight="1" x14ac:dyDescent="0.25">
      <c r="B255" s="17"/>
      <c r="C255" s="17"/>
      <c r="D255" s="17"/>
      <c r="E255" s="1413" t="str">
        <f>CONCATENATE(EUconst_MsgSeeFirst," (F.I.1)")</f>
        <v>Detailed instructions for data entries in this tool can be found at the first copy of this tool.  (F.I.1)</v>
      </c>
      <c r="F255" s="1413"/>
      <c r="G255" s="1413"/>
      <c r="H255" s="1413"/>
      <c r="I255" s="1413"/>
      <c r="J255" s="1413"/>
      <c r="K255" s="1413"/>
      <c r="L255" s="1413"/>
      <c r="M255" s="1413"/>
      <c r="N255" s="1413"/>
      <c r="O255" s="17"/>
    </row>
    <row r="256" spans="2:27" ht="5.0999999999999996" customHeight="1" x14ac:dyDescent="0.25">
      <c r="B256" s="17"/>
      <c r="C256" s="17"/>
      <c r="D256" s="17"/>
      <c r="E256" s="17"/>
      <c r="F256" s="17"/>
      <c r="G256" s="17"/>
      <c r="H256" s="17"/>
      <c r="I256" s="17"/>
      <c r="J256" s="17"/>
      <c r="K256" s="17"/>
      <c r="L256" s="17"/>
      <c r="M256" s="17"/>
      <c r="N256" s="17"/>
      <c r="O256" s="17"/>
    </row>
    <row r="257" spans="2:27" ht="13.8" thickBot="1" x14ac:dyDescent="0.3">
      <c r="B257" s="17"/>
      <c r="C257" s="17"/>
      <c r="D257" s="15" t="s">
        <v>190</v>
      </c>
      <c r="E257" s="1165" t="str">
        <f>Translations!$B$670</f>
        <v>Historic activity levels</v>
      </c>
      <c r="F257" s="1176"/>
      <c r="G257" s="1176"/>
      <c r="H257" s="1176"/>
      <c r="I257" s="1176"/>
      <c r="J257" s="1176"/>
      <c r="K257" s="1176"/>
      <c r="L257" s="1176"/>
      <c r="M257" s="1176"/>
      <c r="N257" s="1176"/>
      <c r="O257" s="17"/>
    </row>
    <row r="258" spans="2:27" ht="13.5" customHeight="1" thickBot="1" x14ac:dyDescent="0.3">
      <c r="B258" s="17"/>
      <c r="C258" s="17"/>
      <c r="D258" s="15"/>
      <c r="E258" s="1259" t="str">
        <f>Translations!$B$676</f>
        <v>Annual activity levels:</v>
      </c>
      <c r="F258" s="1259"/>
      <c r="G258" s="1259"/>
      <c r="H258" s="23" t="str">
        <f>EUconst_Unit</f>
        <v>Unit</v>
      </c>
      <c r="I258" s="128">
        <f>I$1882</f>
        <v>2019</v>
      </c>
      <c r="J258" s="128">
        <f>J$1882</f>
        <v>2020</v>
      </c>
      <c r="K258" s="128">
        <f>K$1882</f>
        <v>2021</v>
      </c>
      <c r="L258" s="128">
        <f>L$1882</f>
        <v>2022</v>
      </c>
      <c r="M258" s="144">
        <f>M$1882</f>
        <v>2023</v>
      </c>
      <c r="N258" s="376" t="str">
        <f>IF(I253="","",IF(S263,YEAR(R253)+1,""))</f>
        <v/>
      </c>
      <c r="O258" s="17"/>
      <c r="Q258" s="147" t="s">
        <v>395</v>
      </c>
      <c r="R258" s="920"/>
      <c r="S258" s="920"/>
      <c r="T258" s="920"/>
      <c r="U258" s="920"/>
      <c r="V258" s="920"/>
      <c r="W258" s="921"/>
      <c r="Y258" s="316" t="b">
        <f>IF(CNTR_ExistSubInstEntries,IF(I253&lt;&gt;"",NOT(S263),TRUE),FALSE)</f>
        <v>0</v>
      </c>
      <c r="AA258" s="145" t="s">
        <v>396</v>
      </c>
    </row>
    <row r="259" spans="2:27" ht="13.8" thickBot="1" x14ac:dyDescent="0.3">
      <c r="B259" s="17"/>
      <c r="C259" s="17"/>
      <c r="D259" s="113" t="s">
        <v>206</v>
      </c>
      <c r="E259" s="1560" t="str">
        <f>I253</f>
        <v/>
      </c>
      <c r="F259" s="1560"/>
      <c r="G259" s="1560"/>
      <c r="H259" s="820" t="str">
        <f>IF(INDEX(CNTR_SubInstListIsProdBM,$C253),INDEX(CNTR_SubInstListHALUnit,$C253),EUconst_Tons)</f>
        <v>tonnes</v>
      </c>
      <c r="I259" s="231"/>
      <c r="J259" s="231"/>
      <c r="K259" s="231"/>
      <c r="L259" s="231"/>
      <c r="M259" s="375"/>
      <c r="N259" s="922"/>
      <c r="O259" s="17"/>
      <c r="P259" s="392" t="s">
        <v>397</v>
      </c>
      <c r="Q259" s="581" t="s">
        <v>398</v>
      </c>
      <c r="R259" s="65" t="s">
        <v>399</v>
      </c>
      <c r="S259" s="808">
        <f>I258</f>
        <v>2019</v>
      </c>
      <c r="T259" s="809">
        <f>J258</f>
        <v>2020</v>
      </c>
      <c r="U259" s="809">
        <f>K258</f>
        <v>2021</v>
      </c>
      <c r="V259" s="809">
        <f>L258</f>
        <v>2022</v>
      </c>
      <c r="W259" s="810">
        <f>M258</f>
        <v>2023</v>
      </c>
      <c r="Y259" s="406" t="b">
        <f>IF(CNTR_ExistSubInstEntries,IF(AND(I253&lt;&gt;"",N260=""),NOT(S263),TRUE),FALSE)</f>
        <v>0</v>
      </c>
      <c r="AA259" s="316" t="b">
        <f>IF(CNTR_ExistSubInstEntries,AND(I253&lt;&gt;"",Q263),FALSE)</f>
        <v>0</v>
      </c>
    </row>
    <row r="260" spans="2:27" ht="13.8" thickBot="1" x14ac:dyDescent="0.3">
      <c r="B260" s="17"/>
      <c r="C260" s="17"/>
      <c r="D260" s="113" t="s">
        <v>208</v>
      </c>
      <c r="E260" s="1560" t="str">
        <f>Translations!$B$677</f>
        <v>From sheet "H_SpecialBM":</v>
      </c>
      <c r="F260" s="1560"/>
      <c r="G260" s="1560"/>
      <c r="H260" s="820" t="str">
        <f>H259</f>
        <v>tonnes</v>
      </c>
      <c r="I260" s="148" t="str">
        <f>IF($I253="","",IF($Q263,SUMIF(H_SpecialBM!$P$9:$P$384,$P260,H_SpecialBM!I$9:I$384),""))</f>
        <v/>
      </c>
      <c r="J260" s="148" t="str">
        <f>IF($I253="","",IF($Q263,SUMIF(H_SpecialBM!$P$9:$P$384,$P260,H_SpecialBM!J$9:J$384),""))</f>
        <v/>
      </c>
      <c r="K260" s="148" t="str">
        <f>IF($I253="","",IF($Q263,SUMIF(H_SpecialBM!$P$9:$P$384,$P260,H_SpecialBM!K$9:K$384),""))</f>
        <v/>
      </c>
      <c r="L260" s="148" t="str">
        <f>IF($I253="","",IF($Q263,SUMIF(H_SpecialBM!$P$9:$P$384,$P260,H_SpecialBM!L$9:L$384),""))</f>
        <v/>
      </c>
      <c r="M260" s="923" t="str">
        <f>IF($I253="","",IF($Q263,SUMIF(H_SpecialBM!$P$9:$P$384,$P260,H_SpecialBM!M$9:M$384),""))</f>
        <v/>
      </c>
      <c r="N260" s="924" t="str">
        <f>IF($I253="","",IF(AND($Q263,$S263),SUMIF(H_SpecialBM!$P$9:$P$384,$P260,H_SpecialBM!N$9:N$384),""))</f>
        <v/>
      </c>
      <c r="O260" s="17"/>
      <c r="P260" s="392" t="str">
        <f>EUconst_CNTR_HALspecial&amp;I253</f>
        <v>HALspecial_</v>
      </c>
      <c r="Q260" s="391" t="str">
        <f>IF(COUNT($U260:$V260)&gt;0,SUM($U260:$V260),"")</f>
        <v/>
      </c>
      <c r="R260" s="925" t="str">
        <f>IF(COUNT(S260:W260)&gt;0,AVERAGE(S260:W260),"")</f>
        <v/>
      </c>
      <c r="S260" s="385" t="str">
        <f>IF(S253,IF(ISNUMBER(I260),I260,""),"")</f>
        <v/>
      </c>
      <c r="T260" s="926" t="str">
        <f>IF(T253,IF(ISNUMBER(J260),J260,""),"")</f>
        <v/>
      </c>
      <c r="U260" s="926" t="str">
        <f>IF(U253,IF(ISNUMBER(K260),K260,""),"")</f>
        <v/>
      </c>
      <c r="V260" s="926" t="str">
        <f>IF(V253,IF(ISNUMBER(L260),L260,""),"")</f>
        <v/>
      </c>
      <c r="W260" s="925" t="str">
        <f>IF(W253,IF(ISNUMBER(M260),M260,""),"")</f>
        <v/>
      </c>
      <c r="Y260" s="406" t="b">
        <f>OR(Y258,AA260)</f>
        <v>0</v>
      </c>
      <c r="AA260" s="317" t="b">
        <f>Q263=FALSE</f>
        <v>0</v>
      </c>
    </row>
    <row r="261" spans="2:27" ht="13.8" thickBot="1" x14ac:dyDescent="0.3">
      <c r="B261" s="17"/>
      <c r="C261" s="17"/>
      <c r="D261" s="113" t="s">
        <v>209</v>
      </c>
      <c r="E261" s="1560" t="str">
        <f>Translations!$B$678</f>
        <v>Values used for calculation:</v>
      </c>
      <c r="F261" s="1560"/>
      <c r="G261" s="1560"/>
      <c r="H261" s="820" t="str">
        <f>H260</f>
        <v>tonnes</v>
      </c>
      <c r="I261" s="148" t="str">
        <f>IF($I253="","",IF($Q263=TRUE,IF(ISNUMBER(I260),I260,0),IF(ISNUMBER(I259),I259,0)))</f>
        <v/>
      </c>
      <c r="J261" s="148" t="str">
        <f>IF($I253="","",IF($Q263=TRUE,IF(ISNUMBER(J260),J260,0),IF(ISNUMBER(J259),J259,0)))</f>
        <v/>
      </c>
      <c r="K261" s="148" t="str">
        <f>IF($I253="","",IF($Q263=TRUE,IF(ISNUMBER(K260),K260,0),IF(ISNUMBER(K259),K259,0)))</f>
        <v/>
      </c>
      <c r="L261" s="148" t="str">
        <f>IF($I253="","",IF($Q263=TRUE,IF(ISNUMBER(L260),L260,0),IF(ISNUMBER(L259),L259,0)))</f>
        <v/>
      </c>
      <c r="M261" s="923" t="str">
        <f>IF($I253="","",IF($Q263=TRUE,IF(ISNUMBER(M260),M260,0),IF(ISNUMBER(M259),M259,0)))</f>
        <v/>
      </c>
      <c r="N261" s="924" t="str">
        <f>IF($I253="","",IF(S263,IF($Q263=TRUE,IF(ISNUMBER(N260),N260,0),IF(ISNUMBER(N259),N259,0)),""))</f>
        <v/>
      </c>
      <c r="O261" s="17"/>
      <c r="P261" s="392" t="str">
        <f>EUconst_CNTR_HAL&amp;I253</f>
        <v>HAL_</v>
      </c>
      <c r="Q261" s="286" t="str">
        <f>IF(COUNT($U261:$V261)&gt;0,SUM($U261:$V261),"")</f>
        <v/>
      </c>
      <c r="R261" s="390" t="str">
        <f>IF(COUNT(S261:W261)&gt;0,AVERAGE(S261:W261),"")</f>
        <v/>
      </c>
      <c r="S261" s="388" t="str">
        <f>IF(S253,IF(ISNUMBER(I261),I261,""),"")</f>
        <v/>
      </c>
      <c r="T261" s="389" t="str">
        <f>IF(T253,IF(ISNUMBER(J261),J261,""),"")</f>
        <v/>
      </c>
      <c r="U261" s="389" t="str">
        <f>IF(U253,IF(ISNUMBER(K261),K261,""),"")</f>
        <v/>
      </c>
      <c r="V261" s="389" t="str">
        <f>IF(V253,IF(ISNUMBER(L261),L261,""),"")</f>
        <v/>
      </c>
      <c r="W261" s="390" t="str">
        <f>IF(W253,IF(ISNUMBER(M261),M261,""),"")</f>
        <v/>
      </c>
      <c r="Y261" s="286" t="b">
        <f>Y258</f>
        <v>0</v>
      </c>
    </row>
    <row r="262" spans="2:27" ht="5.0999999999999996" customHeight="1" x14ac:dyDescent="0.25">
      <c r="B262" s="17"/>
      <c r="C262" s="17"/>
      <c r="D262" s="17"/>
      <c r="E262" s="17"/>
      <c r="F262" s="17"/>
      <c r="G262" s="17"/>
      <c r="H262" s="17"/>
      <c r="I262" s="17"/>
      <c r="J262" s="17"/>
      <c r="K262" s="17"/>
      <c r="L262" s="17"/>
      <c r="M262" s="17"/>
      <c r="N262" s="17"/>
      <c r="O262" s="17"/>
    </row>
    <row r="263" spans="2:27" x14ac:dyDescent="0.25">
      <c r="B263" s="17"/>
      <c r="C263" s="17"/>
      <c r="D263" s="15" t="s">
        <v>192</v>
      </c>
      <c r="E263" s="1165" t="str">
        <f>Translations!$B$679</f>
        <v>Special reporting requirements:</v>
      </c>
      <c r="F263" s="1165"/>
      <c r="G263" s="1425"/>
      <c r="H263" s="1561" t="str">
        <f>IF(I253="","",HYPERLINK(INDEX(EUconst_BMlistSpecialJumpTable,MATCH(I253,EUconst_BMlistNames,0)),INDEX(EUconst_BMlistSpecialReporting,MATCH(I253,EUconst_BMlistNames,0))))</f>
        <v/>
      </c>
      <c r="I263" s="1562"/>
      <c r="J263" s="1562"/>
      <c r="K263" s="1562"/>
      <c r="L263" s="1562"/>
      <c r="M263" s="1562"/>
      <c r="N263" s="1563"/>
      <c r="O263" s="17"/>
      <c r="P263" s="288" t="s">
        <v>400</v>
      </c>
      <c r="Q263" s="63" t="str">
        <f>IF(I253="","",IF(AND(INDEX(EUconst_BMlistSpecialJumpTable,MATCH(I253,EUconst_BMlistNames,0))&lt;&gt;"",MATCH(I253,EUconst_BMlistNames,0)&lt;&gt;47),TRUE,FALSE))</f>
        <v/>
      </c>
      <c r="R263" s="288" t="s">
        <v>304</v>
      </c>
      <c r="S263" s="63" t="b">
        <f>IF(I253="",FALSE,INDEX(CNTR_SubInstLess1Year,MATCH(I253,CNTR_SubInstListNames,0)))</f>
        <v>0</v>
      </c>
    </row>
    <row r="264" spans="2:27" ht="12.75" customHeight="1" x14ac:dyDescent="0.25">
      <c r="B264" s="17"/>
      <c r="C264" s="17"/>
      <c r="D264" s="17"/>
      <c r="E264" s="17"/>
      <c r="F264" s="17"/>
      <c r="G264" s="17"/>
      <c r="H264" s="17"/>
      <c r="I264" s="17"/>
      <c r="J264" s="17"/>
      <c r="K264" s="17"/>
      <c r="L264" s="17"/>
      <c r="M264" s="17"/>
      <c r="N264" s="17"/>
      <c r="O264" s="17"/>
    </row>
    <row r="265" spans="2:27" ht="15" customHeight="1" x14ac:dyDescent="0.25">
      <c r="B265" s="17"/>
      <c r="C265" s="17"/>
      <c r="D265" s="1234" t="str">
        <f>Translations!$B$681</f>
        <v>Further correction factors</v>
      </c>
      <c r="E265" s="1176"/>
      <c r="F265" s="1176"/>
      <c r="G265" s="1176"/>
      <c r="H265" s="1176"/>
      <c r="I265" s="1176"/>
      <c r="J265" s="1176"/>
      <c r="K265" s="1176"/>
      <c r="L265" s="1176"/>
      <c r="M265" s="1176"/>
      <c r="N265" s="1176"/>
      <c r="O265" s="17"/>
    </row>
    <row r="266" spans="2:27" ht="5.0999999999999996" customHeight="1" x14ac:dyDescent="0.25">
      <c r="B266" s="17"/>
      <c r="C266" s="17"/>
      <c r="D266" s="17"/>
      <c r="E266" s="17"/>
      <c r="F266" s="17"/>
      <c r="G266" s="17"/>
      <c r="H266" s="17"/>
      <c r="I266" s="17"/>
      <c r="J266" s="17"/>
      <c r="K266" s="17"/>
      <c r="L266" s="17"/>
      <c r="M266" s="17"/>
      <c r="N266" s="17"/>
      <c r="O266" s="17"/>
    </row>
    <row r="267" spans="2:27" ht="13.8" thickBot="1" x14ac:dyDescent="0.3">
      <c r="B267" s="17"/>
      <c r="C267" s="17"/>
      <c r="D267" s="15" t="s">
        <v>195</v>
      </c>
      <c r="E267" s="1165" t="str">
        <f>Translations!$B$682</f>
        <v>Exchangeability of fuel and electricity:</v>
      </c>
      <c r="F267" s="1176"/>
      <c r="G267" s="1176"/>
      <c r="H267" s="1176"/>
      <c r="I267" s="1260"/>
      <c r="J267" s="1561" t="str">
        <f>IF(I253="","",IF(INDEX(EUconst_BMlistElExchangability,MATCH(I253,EUconst_BMlistNames,0))=TRUE,"",HYPERLINK(Q267,EUconst_MsgGoOn)))</f>
        <v/>
      </c>
      <c r="K267" s="1564"/>
      <c r="L267" s="1564"/>
      <c r="M267" s="1564"/>
      <c r="N267" s="1205"/>
      <c r="O267" s="17"/>
      <c r="P267" s="145" t="s">
        <v>334</v>
      </c>
      <c r="Q267" s="372" t="str">
        <f>"#"&amp;ADDRESS(ROW(D275),COLUMN(D275))</f>
        <v>#$D$275</v>
      </c>
    </row>
    <row r="268" spans="2:27" ht="13.8" thickBot="1" x14ac:dyDescent="0.3">
      <c r="B268" s="17"/>
      <c r="C268" s="17"/>
      <c r="D268" s="15"/>
      <c r="E268" s="1259" t="str">
        <f>Translations!$B$686</f>
        <v>Parameter</v>
      </c>
      <c r="F268" s="1212"/>
      <c r="G268" s="1212"/>
      <c r="H268" s="23" t="str">
        <f>EUconst_Unit</f>
        <v>Unit</v>
      </c>
      <c r="I268" s="128">
        <f>I$66</f>
        <v>2019</v>
      </c>
      <c r="J268" s="128">
        <f>J$66</f>
        <v>2020</v>
      </c>
      <c r="K268" s="128">
        <f>K$66</f>
        <v>2021</v>
      </c>
      <c r="L268" s="128">
        <f>L$66</f>
        <v>2022</v>
      </c>
      <c r="M268" s="144">
        <f>M$66</f>
        <v>2023</v>
      </c>
      <c r="N268" s="376" t="str">
        <f>IF(AA269=FALSE,N258,"")</f>
        <v/>
      </c>
      <c r="O268" s="17"/>
      <c r="Y268" s="316" t="b">
        <f>OR(Y258,AA269)</f>
        <v>0</v>
      </c>
      <c r="AA268" s="145" t="s">
        <v>402</v>
      </c>
    </row>
    <row r="269" spans="2:27" ht="13.8" thickBot="1" x14ac:dyDescent="0.3">
      <c r="B269" s="17"/>
      <c r="C269" s="17"/>
      <c r="D269" s="113" t="s">
        <v>206</v>
      </c>
      <c r="E269" s="1248" t="str">
        <f>Translations!$B$687</f>
        <v>Direct emissions</v>
      </c>
      <c r="F269" s="1248"/>
      <c r="G269" s="1248"/>
      <c r="H269" s="222" t="str">
        <f>EUconst_tCO2pa</f>
        <v>t CO2 / year</v>
      </c>
      <c r="I269" s="331"/>
      <c r="J269" s="331"/>
      <c r="K269" s="332"/>
      <c r="L269" s="331"/>
      <c r="M269" s="377"/>
      <c r="N269" s="383"/>
      <c r="O269" s="17"/>
      <c r="Y269" s="285" t="b">
        <f>Y268</f>
        <v>0</v>
      </c>
      <c r="AA269" s="316" t="b">
        <f>IF(CNTR_ExistSubInstEntries,IF(I253&lt;&gt;"",IF(INDEX(EUconst_BMlistElExchangability,MATCH(I253,EUconst_BMlistNames,0)),FALSE,TRUE),TRUE),FALSE)</f>
        <v>0</v>
      </c>
    </row>
    <row r="270" spans="2:27" x14ac:dyDescent="0.25">
      <c r="B270" s="17"/>
      <c r="C270" s="17"/>
      <c r="D270" s="113" t="s">
        <v>208</v>
      </c>
      <c r="E270" s="1251" t="str">
        <f>Translations!$B$688</f>
        <v>Net imported heat</v>
      </c>
      <c r="F270" s="1251"/>
      <c r="G270" s="1251"/>
      <c r="H270" s="225" t="str">
        <f>EUconst_TJpa</f>
        <v>TJ / year</v>
      </c>
      <c r="I270" s="226" t="str">
        <f>IF($I253&lt;&gt;"",IF(INDEX(EUconst_BMlistElExchangability,MATCH($I253,EUconst_BMlistNames,0)),SUM(I354),""),"")</f>
        <v/>
      </c>
      <c r="J270" s="226" t="str">
        <f>IF($I253&lt;&gt;"",IF(INDEX(EUconst_BMlistElExchangability,MATCH($I253,EUconst_BMlistNames,0)),SUM(J354),""),"")</f>
        <v/>
      </c>
      <c r="K270" s="226" t="str">
        <f>IF($I253&lt;&gt;"",IF(INDEX(EUconst_BMlistElExchangability,MATCH($I253,EUconst_BMlistNames,0)),SUM(K354),""),"")</f>
        <v/>
      </c>
      <c r="L270" s="226" t="str">
        <f>IF($I253&lt;&gt;"",IF(INDEX(EUconst_BMlistElExchangability,MATCH($I253,EUconst_BMlistNames,0)),SUM(L354),""),"")</f>
        <v/>
      </c>
      <c r="M270" s="378" t="str">
        <f>IF($I253&lt;&gt;"",IF(INDEX(EUconst_BMlistElExchangability,MATCH($I253,EUconst_BMlistNames,0)),SUM(M354),""),"")</f>
        <v/>
      </c>
      <c r="N270" s="384"/>
      <c r="O270" s="17"/>
      <c r="R270" s="459"/>
      <c r="S270" s="326">
        <f>I268</f>
        <v>2019</v>
      </c>
      <c r="T270" s="326">
        <f>J268</f>
        <v>2020</v>
      </c>
      <c r="U270" s="326">
        <f>K268</f>
        <v>2021</v>
      </c>
      <c r="V270" s="326">
        <f>L268</f>
        <v>2022</v>
      </c>
      <c r="W270" s="327">
        <f>M268</f>
        <v>2023</v>
      </c>
      <c r="Y270" s="285" t="b">
        <f>Y269</f>
        <v>0</v>
      </c>
      <c r="AA270" s="285" t="b">
        <f>AA269</f>
        <v>0</v>
      </c>
    </row>
    <row r="271" spans="2:27" ht="12.75" customHeight="1" thickBot="1" x14ac:dyDescent="0.3">
      <c r="B271" s="17"/>
      <c r="C271" s="17"/>
      <c r="D271" s="113" t="s">
        <v>209</v>
      </c>
      <c r="E271" s="1565" t="str">
        <f>Translations!$B$689</f>
        <v>Relevant electricity consumption</v>
      </c>
      <c r="F271" s="1565"/>
      <c r="G271" s="1565"/>
      <c r="H271" s="927" t="str">
        <f>EUconst_MWhpa</f>
        <v>MWh / year</v>
      </c>
      <c r="I271" s="928"/>
      <c r="J271" s="928"/>
      <c r="K271" s="928"/>
      <c r="L271" s="928"/>
      <c r="M271" s="929"/>
      <c r="N271" s="930"/>
      <c r="O271" s="17"/>
      <c r="P271" s="63" t="str">
        <f>EUconst_CNTR_HAL&amp;EUconst_CNTR_ELEXCH</f>
        <v>HAL_ELEXCH_</v>
      </c>
      <c r="Q271" s="63" t="str">
        <f>EUconst_CNTR_HAL&amp;EUconst_CNTR_ELEXCH &amp; I253</f>
        <v>HAL_ELEXCH_</v>
      </c>
      <c r="R271" s="460" t="str">
        <f>EUconst_CNTR_AttributedEmissions &amp; I253</f>
        <v>AttrEmissions_</v>
      </c>
      <c r="S271" s="389" t="str">
        <f>IF(S253,SUM(I271)*EUconst_ElBM,"")</f>
        <v/>
      </c>
      <c r="T271" s="389" t="str">
        <f>IF(T253,SUM(J271)*EUconst_ElBM,"")</f>
        <v/>
      </c>
      <c r="U271" s="389" t="str">
        <f>IF(U253,SUM(K271)*EUconst_ElBM,"")</f>
        <v/>
      </c>
      <c r="V271" s="389" t="str">
        <f>IF(V253,SUM(L271)*EUconst_ElBM,"")</f>
        <v/>
      </c>
      <c r="W271" s="390" t="str">
        <f>IF(W253,SUM(M271)*EUconst_ElBM,"")</f>
        <v/>
      </c>
      <c r="X271" s="145" t="str">
        <f>N268</f>
        <v/>
      </c>
      <c r="Y271" s="285" t="b">
        <f>Y270</f>
        <v>0</v>
      </c>
      <c r="AA271" s="285" t="b">
        <f>AA270</f>
        <v>0</v>
      </c>
    </row>
    <row r="272" spans="2:27" ht="13.8" thickBot="1" x14ac:dyDescent="0.3">
      <c r="B272" s="17"/>
      <c r="C272" s="17"/>
      <c r="D272" s="113" t="s">
        <v>210</v>
      </c>
      <c r="E272" s="1248" t="str">
        <f>Translations!$B$690</f>
        <v>Total direct emissions</v>
      </c>
      <c r="F272" s="1248"/>
      <c r="G272" s="1248"/>
      <c r="H272" s="222" t="str">
        <f>EUconst_tCO2pa</f>
        <v>t CO2 / year</v>
      </c>
      <c r="I272" s="223" t="str">
        <f>IF(ISNUMBER(I269),I269+SUM(I270)*EUconst_HeatBMvalue,"")</f>
        <v/>
      </c>
      <c r="J272" s="223" t="str">
        <f>IF(ISNUMBER(J269),J269+SUM(J270)*EUconst_HeatBMvalue,"")</f>
        <v/>
      </c>
      <c r="K272" s="224" t="str">
        <f>IF(ISNUMBER(K269),K269+SUM(K270)*EUconst_HeatBMvalue,"")</f>
        <v/>
      </c>
      <c r="L272" s="223" t="str">
        <f>IF(ISNUMBER(L269),L269+SUM(L270)*EUconst_HeatBMvalue,"")</f>
        <v/>
      </c>
      <c r="M272" s="379" t="str">
        <f>IF(ISNUMBER(M269),M269+SUM(M270)*EUconst_HeatBMvalue,"")</f>
        <v/>
      </c>
      <c r="N272" s="381" t="str">
        <f>IF(AND(S263,ISNUMBER(N269)),N269+SUM(N270)*EUconst_HeatBMvalue,"")</f>
        <v/>
      </c>
      <c r="O272" s="17"/>
      <c r="R272" s="288" t="s">
        <v>403</v>
      </c>
      <c r="S272" s="385" t="str">
        <f>IF(S253,IF(ISNUMBER(I272),I272,0),"")</f>
        <v/>
      </c>
      <c r="T272" s="386" t="str">
        <f>IF(T253,IF(ISNUMBER(J272),J272,0),"")</f>
        <v/>
      </c>
      <c r="U272" s="386" t="str">
        <f>IF(U253,IF(ISNUMBER(K272),K272,0),"")</f>
        <v/>
      </c>
      <c r="V272" s="386" t="str">
        <f>IF(V253,IF(ISNUMBER(L272),L272,0),"")</f>
        <v/>
      </c>
      <c r="W272" s="387" t="str">
        <f>IF(W253,IF(ISNUMBER(M272),M272,0),"")</f>
        <v/>
      </c>
      <c r="X272" s="391" t="str">
        <f>IF(S263,IF(ISNUMBER(N272),N272,0),"")</f>
        <v/>
      </c>
      <c r="Y272" s="285" t="b">
        <f>Y271</f>
        <v>0</v>
      </c>
      <c r="AA272" s="285" t="b">
        <f>AA271</f>
        <v>0</v>
      </c>
    </row>
    <row r="273" spans="2:27" ht="13.8" thickBot="1" x14ac:dyDescent="0.3">
      <c r="B273" s="17"/>
      <c r="C273" s="17"/>
      <c r="D273" s="113" t="s">
        <v>220</v>
      </c>
      <c r="E273" s="1254" t="str">
        <f>Translations!$B$691</f>
        <v>Indirect emissions</v>
      </c>
      <c r="F273" s="1254"/>
      <c r="G273" s="1254"/>
      <c r="H273" s="227" t="str">
        <f>EUconst_tCO2pa</f>
        <v>t CO2 / year</v>
      </c>
      <c r="I273" s="228" t="str">
        <f t="shared" ref="I273:N273" si="4">IF(ISNUMBER(I271),I271*EUconst_ElBM,"")</f>
        <v/>
      </c>
      <c r="J273" s="228" t="str">
        <f t="shared" si="4"/>
        <v/>
      </c>
      <c r="K273" s="229" t="str">
        <f t="shared" si="4"/>
        <v/>
      </c>
      <c r="L273" s="228" t="str">
        <f t="shared" si="4"/>
        <v/>
      </c>
      <c r="M273" s="380" t="str">
        <f t="shared" si="4"/>
        <v/>
      </c>
      <c r="N273" s="382" t="str">
        <f t="shared" si="4"/>
        <v/>
      </c>
      <c r="O273" s="17"/>
      <c r="P273" s="392" t="str">
        <f>EUconst_CNTR_ELEXCH &amp; I253</f>
        <v>ELEXCH_</v>
      </c>
      <c r="Q273" s="393" t="str">
        <f>IF(SUM(S273:X273)&lt;&gt;0,SUM(S272:X272)/SUM(S273:X273),EUconst_NA)</f>
        <v>N.A.</v>
      </c>
      <c r="R273" s="288" t="s">
        <v>323</v>
      </c>
      <c r="S273" s="388" t="str">
        <f>IF(S253,IF(COUNT(I272:I273)&gt;0,SUM(I272:I273),0),"")</f>
        <v/>
      </c>
      <c r="T273" s="389" t="str">
        <f>IF(T253,IF(COUNT(J272:J273)&gt;0,SUM(J272:J273),0),"")</f>
        <v/>
      </c>
      <c r="U273" s="389" t="str">
        <f>IF(U253,IF(COUNT(K272:K273)&gt;0,SUM(K272:K273),0),"")</f>
        <v/>
      </c>
      <c r="V273" s="389" t="str">
        <f>IF(V253,IF(COUNT(L272:L273)&gt;0,SUM(L272:L273),0),"")</f>
        <v/>
      </c>
      <c r="W273" s="390" t="str">
        <f>IF(W253,IF(COUNT(M272:M273)&gt;0,SUM(M272:M273),0),"")</f>
        <v/>
      </c>
      <c r="X273" s="286" t="str">
        <f>IF(S263,IF(COUNT(N272:N273)&gt;0,SUM(N272:N273),0),"")</f>
        <v/>
      </c>
      <c r="Y273" s="286" t="b">
        <f>Y272</f>
        <v>0</v>
      </c>
      <c r="AA273" s="286" t="b">
        <f>AA272</f>
        <v>0</v>
      </c>
    </row>
    <row r="274" spans="2:27" ht="5.0999999999999996" customHeight="1" x14ac:dyDescent="0.25">
      <c r="B274" s="17"/>
      <c r="C274" s="17"/>
      <c r="D274" s="17"/>
      <c r="E274" s="17"/>
      <c r="F274" s="17"/>
      <c r="G274" s="17"/>
      <c r="H274" s="17"/>
      <c r="I274" s="17"/>
      <c r="J274" s="17"/>
      <c r="K274" s="17"/>
      <c r="L274" s="17"/>
      <c r="M274" s="17"/>
      <c r="N274" s="17"/>
      <c r="O274" s="17"/>
    </row>
    <row r="275" spans="2:27" x14ac:dyDescent="0.25">
      <c r="B275" s="17"/>
      <c r="C275" s="17"/>
      <c r="D275" s="15" t="s">
        <v>197</v>
      </c>
      <c r="E275" s="1165" t="str">
        <f>Translations!$B$692</f>
        <v>Heat imported from non-ETS installations or entities:</v>
      </c>
      <c r="F275" s="1165"/>
      <c r="G275" s="1165"/>
      <c r="H275" s="1165"/>
      <c r="I275" s="1425"/>
      <c r="J275" s="1561" t="str">
        <f>IF(I253="","",HYPERLINK(Q275,EUconst_MsgGoOnIfNotRelevant))</f>
        <v/>
      </c>
      <c r="K275" s="1564"/>
      <c r="L275" s="1564"/>
      <c r="M275" s="1564"/>
      <c r="N275" s="1205"/>
      <c r="O275" s="17"/>
      <c r="P275" s="145" t="s">
        <v>334</v>
      </c>
      <c r="Q275" s="372" t="str">
        <f>"#"&amp;ADDRESS(ROW(D282),COLUMN(D282))</f>
        <v>#$D$282</v>
      </c>
    </row>
    <row r="276" spans="2:27" ht="13.5" customHeight="1" thickBot="1" x14ac:dyDescent="0.3">
      <c r="B276" s="17"/>
      <c r="C276" s="17"/>
      <c r="D276" s="17"/>
      <c r="E276" s="1223"/>
      <c r="F276" s="1223"/>
      <c r="G276" s="1223"/>
      <c r="H276" s="1223"/>
      <c r="I276" s="1223"/>
      <c r="J276" s="1223"/>
      <c r="K276" s="1223"/>
      <c r="L276" s="1223"/>
      <c r="M276" s="1223"/>
      <c r="N276" s="1223"/>
      <c r="O276" s="17"/>
      <c r="Y276" s="145" t="s">
        <v>394</v>
      </c>
    </row>
    <row r="277" spans="2:27" ht="13.8" thickBot="1" x14ac:dyDescent="0.3">
      <c r="B277" s="17"/>
      <c r="C277" s="17"/>
      <c r="D277" s="15"/>
      <c r="E277" s="1259" t="str">
        <f>Translations!$B$686</f>
        <v>Parameter</v>
      </c>
      <c r="F277" s="1212"/>
      <c r="G277" s="1212"/>
      <c r="H277" s="23" t="str">
        <f>EUconst_Unit</f>
        <v>Unit</v>
      </c>
      <c r="I277" s="128">
        <f>I$66</f>
        <v>2019</v>
      </c>
      <c r="J277" s="128">
        <f>J$66</f>
        <v>2020</v>
      </c>
      <c r="K277" s="128">
        <f>K$66</f>
        <v>2021</v>
      </c>
      <c r="L277" s="128">
        <f>L$66</f>
        <v>2022</v>
      </c>
      <c r="M277" s="144">
        <f>M$66</f>
        <v>2023</v>
      </c>
      <c r="N277" s="376" t="str">
        <f>N268</f>
        <v/>
      </c>
      <c r="O277" s="17"/>
      <c r="Q277" s="28"/>
      <c r="S277" s="28">
        <f t="shared" ref="S277:X277" si="5">I277</f>
        <v>2019</v>
      </c>
      <c r="T277" s="28">
        <f t="shared" si="5"/>
        <v>2020</v>
      </c>
      <c r="U277" s="28">
        <f t="shared" si="5"/>
        <v>2021</v>
      </c>
      <c r="V277" s="28">
        <f t="shared" si="5"/>
        <v>2022</v>
      </c>
      <c r="W277" s="28">
        <f t="shared" si="5"/>
        <v>2023</v>
      </c>
      <c r="X277" s="145" t="str">
        <f t="shared" si="5"/>
        <v/>
      </c>
      <c r="Y277" s="295" t="b">
        <f>Y258</f>
        <v>0</v>
      </c>
      <c r="Z277" s="28"/>
      <c r="AA277" s="145" t="s">
        <v>396</v>
      </c>
    </row>
    <row r="278" spans="2:27" ht="13.8" thickBot="1" x14ac:dyDescent="0.3">
      <c r="B278" s="17"/>
      <c r="C278" s="17"/>
      <c r="D278" s="113" t="s">
        <v>206</v>
      </c>
      <c r="E278" s="1412" t="str">
        <f>Translations!$B$697</f>
        <v>Measurable heat imported from non-ETS:</v>
      </c>
      <c r="F278" s="1412"/>
      <c r="G278" s="1412"/>
      <c r="H278" s="43" t="str">
        <f>EUconst_TJpa</f>
        <v>TJ / year</v>
      </c>
      <c r="I278" s="293"/>
      <c r="J278" s="293"/>
      <c r="K278" s="293"/>
      <c r="L278" s="293"/>
      <c r="M278" s="931"/>
      <c r="N278" s="397"/>
      <c r="O278" s="17"/>
      <c r="P278" s="63" t="str">
        <f>EUconst_CNTR_HAL&amp;EUconst_CNTR_nonETSMeasHeat</f>
        <v>HAL_non-ETS measurable heat</v>
      </c>
      <c r="S278" s="808" t="str">
        <f>IF(S253,IF(ISNUMBER(I278),I278,0),"")</f>
        <v/>
      </c>
      <c r="T278" s="809" t="str">
        <f>IF(T253,IF(ISNUMBER(J278),J278,0),"")</f>
        <v/>
      </c>
      <c r="U278" s="809" t="str">
        <f>IF(U253,IF(ISNUMBER(K278),K278,0),"")</f>
        <v/>
      </c>
      <c r="V278" s="809" t="str">
        <f>IF(V253,IF(ISNUMBER(L278),L278,0),"")</f>
        <v/>
      </c>
      <c r="W278" s="810" t="str">
        <f>IF(W253,IF(ISNUMBER(M278),M278,0),"")</f>
        <v/>
      </c>
      <c r="X278" s="215" t="str">
        <f>IF(S263,IF(ISNUMBER(N278),N278,0),"")</f>
        <v/>
      </c>
      <c r="Y278" s="286" t="b">
        <f>Y277</f>
        <v>0</v>
      </c>
      <c r="AA278" s="316" t="b">
        <f>AND(CNTR_ExistSubInstEntries,I253="")</f>
        <v>0</v>
      </c>
    </row>
    <row r="279" spans="2:27" ht="25.5" customHeight="1" thickBot="1" x14ac:dyDescent="0.3">
      <c r="B279" s="17"/>
      <c r="C279" s="17"/>
      <c r="D279" s="113" t="s">
        <v>208</v>
      </c>
      <c r="E279" s="1248" t="str">
        <f>Translations!$B$698</f>
        <v>Consistency check with sheet "E_Energy flows":</v>
      </c>
      <c r="F279" s="1248"/>
      <c r="G279" s="1248"/>
      <c r="H279" s="856" t="s">
        <v>354</v>
      </c>
      <c r="I279" s="932" t="str">
        <f>IF(AND(ISNUMBER(I278),ISNUMBER(E_EnergyFlows!I$102)), I278/E_EnergyFlows!I$102*100,"")</f>
        <v/>
      </c>
      <c r="J279" s="932" t="str">
        <f>IF(AND(ISNUMBER(J278),ISNUMBER(E_EnergyFlows!J$102)), J278/E_EnergyFlows!J$102*100,"")</f>
        <v/>
      </c>
      <c r="K279" s="932" t="str">
        <f>IF(AND(ISNUMBER(K278),ISNUMBER(E_EnergyFlows!K$102)), K278/E_EnergyFlows!K$102*100,"")</f>
        <v/>
      </c>
      <c r="L279" s="932" t="str">
        <f>IF(AND(ISNUMBER(L278),ISNUMBER(E_EnergyFlows!L$102)), L278/E_EnergyFlows!L$102*100,"")</f>
        <v/>
      </c>
      <c r="M279" s="933" t="str">
        <f>IF(AND(ISNUMBER(M278),ISNUMBER(E_EnergyFlows!M$102)), M278/E_EnergyFlows!M$102*100,"")</f>
        <v/>
      </c>
      <c r="N279" s="646"/>
      <c r="O279" s="17"/>
      <c r="P279" s="392" t="str">
        <f>EUconst_CNTR_HEAT &amp; I253</f>
        <v>HEAT_</v>
      </c>
      <c r="Q279" s="109" t="str">
        <f>IF(COUNT(S278:X278)&gt;0,AVERAGE(S278:X278)*EUconst_HeatBMvalue,EUconst_NA)</f>
        <v>N.A.</v>
      </c>
      <c r="AA279" s="815"/>
    </row>
    <row r="280" spans="2:27" ht="12.75" customHeight="1" x14ac:dyDescent="0.25">
      <c r="B280" s="17"/>
      <c r="C280" s="17"/>
      <c r="D280" s="113" t="s">
        <v>209</v>
      </c>
      <c r="E280" s="1254" t="str">
        <f>Translations!$B$699</f>
        <v>Consistency check with point (k)(i):</v>
      </c>
      <c r="F280" s="1254"/>
      <c r="G280" s="1254"/>
      <c r="H280" s="860" t="s">
        <v>354</v>
      </c>
      <c r="I280" s="934" t="str">
        <f>IF(AND(I354&gt;0,ISNUMBER(I278)), I278/I354*100,"")</f>
        <v/>
      </c>
      <c r="J280" s="934" t="str">
        <f>IF(AND(J354&gt;0,ISNUMBER(J278)), J278/J354*100,"")</f>
        <v/>
      </c>
      <c r="K280" s="934" t="str">
        <f>IF(AND(K354&gt;0,ISNUMBER(K278)), K278/K354*100,"")</f>
        <v/>
      </c>
      <c r="L280" s="934" t="str">
        <f>IF(AND(L354&gt;0,ISNUMBER(L278)), L278/L354*100,"")</f>
        <v/>
      </c>
      <c r="M280" s="935" t="str">
        <f>IF(AND(M354&gt;0,ISNUMBER(M278)), M278/M354*100,"")</f>
        <v/>
      </c>
      <c r="N280" s="646"/>
      <c r="O280" s="17"/>
      <c r="AA280" s="815"/>
    </row>
    <row r="281" spans="2:27" ht="12.75" customHeight="1" x14ac:dyDescent="0.25">
      <c r="B281" s="17"/>
      <c r="C281" s="17"/>
      <c r="D281" s="17"/>
      <c r="E281" s="17"/>
      <c r="F281" s="17"/>
      <c r="G281" s="17"/>
      <c r="H281" s="17"/>
      <c r="I281" s="31"/>
      <c r="J281" s="17"/>
      <c r="K281" s="17"/>
      <c r="L281" s="17"/>
      <c r="M281" s="17"/>
      <c r="N281" s="17"/>
      <c r="O281" s="17"/>
      <c r="P281" s="44"/>
      <c r="AA281" s="815"/>
    </row>
    <row r="282" spans="2:27" ht="13.8" x14ac:dyDescent="0.25">
      <c r="B282" s="17"/>
      <c r="C282" s="338"/>
      <c r="D282" s="1234" t="str">
        <f>Translations!$B$700</f>
        <v>Production details</v>
      </c>
      <c r="E282" s="1176"/>
      <c r="F282" s="1176"/>
      <c r="G282" s="1176"/>
      <c r="H282" s="1176"/>
      <c r="I282" s="1176"/>
      <c r="J282" s="1176"/>
      <c r="K282" s="1176"/>
      <c r="L282" s="1176"/>
      <c r="M282" s="1176"/>
      <c r="N282" s="1176"/>
      <c r="O282" s="17"/>
      <c r="AA282" s="815"/>
    </row>
    <row r="283" spans="2:27" ht="5.0999999999999996" customHeight="1" x14ac:dyDescent="0.25">
      <c r="B283" s="17"/>
      <c r="C283" s="17"/>
      <c r="D283" s="17"/>
      <c r="E283" s="17"/>
      <c r="F283" s="17"/>
      <c r="G283" s="17"/>
      <c r="H283" s="17"/>
      <c r="I283" s="17"/>
      <c r="J283" s="17"/>
      <c r="K283" s="17"/>
      <c r="L283" s="17"/>
      <c r="M283" s="17"/>
      <c r="N283" s="17"/>
      <c r="O283" s="17"/>
      <c r="AA283" s="815"/>
    </row>
    <row r="284" spans="2:27" x14ac:dyDescent="0.25">
      <c r="B284" s="17"/>
      <c r="C284" s="15"/>
      <c r="D284" s="15" t="s">
        <v>202</v>
      </c>
      <c r="E284" s="1165" t="str">
        <f>Translations!$B$701</f>
        <v>Identification of products included in this product benchmark sub-installation</v>
      </c>
      <c r="F284" s="1176"/>
      <c r="G284" s="1176"/>
      <c r="H284" s="1176"/>
      <c r="I284" s="1176"/>
      <c r="J284" s="1176"/>
      <c r="K284" s="1176"/>
      <c r="L284" s="1176"/>
      <c r="M284" s="1176"/>
      <c r="N284" s="1176"/>
      <c r="O284" s="17"/>
      <c r="AA284" s="815"/>
    </row>
    <row r="285" spans="2:27" x14ac:dyDescent="0.25">
      <c r="B285" s="17"/>
      <c r="C285" s="17"/>
      <c r="D285" s="17"/>
      <c r="E285" s="1223" t="s">
        <v>443</v>
      </c>
      <c r="F285" s="1176"/>
      <c r="G285" s="1176"/>
      <c r="H285" s="1176"/>
      <c r="I285" s="1176"/>
      <c r="J285" s="1176"/>
      <c r="K285" s="1176"/>
      <c r="L285" s="1176"/>
      <c r="M285" s="1176"/>
      <c r="N285" s="1176"/>
      <c r="O285" s="17"/>
      <c r="AA285" s="815"/>
    </row>
    <row r="286" spans="2:27" x14ac:dyDescent="0.25">
      <c r="B286" s="17"/>
      <c r="C286" s="17"/>
      <c r="D286" s="17"/>
      <c r="E286" s="1554" t="s">
        <v>408</v>
      </c>
      <c r="F286" s="1555"/>
      <c r="G286" s="1555"/>
      <c r="H286" s="1555"/>
      <c r="I286" s="1555"/>
      <c r="J286" s="1555"/>
      <c r="K286" s="1555"/>
      <c r="L286" s="1555"/>
      <c r="M286" s="1555"/>
      <c r="N286" s="1555"/>
      <c r="O286" s="17"/>
      <c r="AA286" s="815"/>
    </row>
    <row r="287" spans="2:27" ht="5.0999999999999996" customHeight="1" x14ac:dyDescent="0.25">
      <c r="B287" s="17"/>
      <c r="C287" s="17"/>
      <c r="D287" s="17"/>
      <c r="E287" s="17"/>
      <c r="F287" s="17"/>
      <c r="G287" s="17"/>
      <c r="H287" s="17"/>
      <c r="I287" s="17"/>
      <c r="J287" s="17"/>
      <c r="K287" s="17"/>
      <c r="L287" s="17"/>
      <c r="M287" s="17"/>
      <c r="N287" s="17"/>
      <c r="O287" s="17"/>
      <c r="AA287" s="815"/>
    </row>
    <row r="288" spans="2:27" x14ac:dyDescent="0.25">
      <c r="B288" s="17"/>
      <c r="C288" s="15"/>
      <c r="D288" s="15" t="s">
        <v>199</v>
      </c>
      <c r="E288" s="1165" t="str">
        <f>Translations!$B$706</f>
        <v>Individual production levels of products included in this product benchmark sub-installation</v>
      </c>
      <c r="F288" s="1176"/>
      <c r="G288" s="1176"/>
      <c r="H288" s="1176"/>
      <c r="I288" s="1176"/>
      <c r="J288" s="1176"/>
      <c r="K288" s="1176"/>
      <c r="L288" s="1176"/>
      <c r="M288" s="1176"/>
      <c r="N288" s="1176"/>
      <c r="O288" s="17"/>
      <c r="AA288" s="815"/>
    </row>
    <row r="289" spans="2:27" ht="5.0999999999999996" customHeight="1" x14ac:dyDescent="0.25">
      <c r="B289" s="17"/>
      <c r="C289" s="17"/>
      <c r="D289" s="17"/>
      <c r="E289" s="884"/>
      <c r="F289" s="884"/>
      <c r="G289" s="884"/>
      <c r="H289" s="884"/>
      <c r="I289" s="884"/>
      <c r="J289" s="77"/>
      <c r="K289" s="77"/>
      <c r="L289" s="77"/>
      <c r="M289" s="17"/>
      <c r="N289" s="17"/>
      <c r="O289" s="17"/>
      <c r="AA289" s="815"/>
    </row>
    <row r="290" spans="2:27" ht="25.5" customHeight="1" x14ac:dyDescent="0.25">
      <c r="B290" s="17"/>
      <c r="C290" s="17"/>
      <c r="D290" s="26"/>
      <c r="E290" s="129" t="s">
        <v>409</v>
      </c>
      <c r="F290" s="1556" t="str">
        <f>Translations!$B$707</f>
        <v>Name of product or group of products</v>
      </c>
      <c r="G290" s="1557"/>
      <c r="H290" s="461" t="str">
        <f>EUconst_Unit</f>
        <v>Unit</v>
      </c>
      <c r="I290" s="128">
        <f>I$1882</f>
        <v>2019</v>
      </c>
      <c r="J290" s="128">
        <f>J$1882</f>
        <v>2020</v>
      </c>
      <c r="K290" s="128">
        <f>K$1882</f>
        <v>2021</v>
      </c>
      <c r="L290" s="128">
        <f>L$1882</f>
        <v>2022</v>
      </c>
      <c r="M290" s="128">
        <f>M$1882</f>
        <v>2023</v>
      </c>
      <c r="N290" s="17"/>
      <c r="O290" s="17"/>
      <c r="AA290" s="815"/>
    </row>
    <row r="291" spans="2:27" x14ac:dyDescent="0.25">
      <c r="B291" s="17"/>
      <c r="C291" s="17"/>
      <c r="D291" s="222">
        <v>1</v>
      </c>
      <c r="E291" s="602"/>
      <c r="F291" s="1558"/>
      <c r="G291" s="1559"/>
      <c r="H291" s="322"/>
      <c r="I291" s="889"/>
      <c r="J291" s="889"/>
      <c r="K291" s="889"/>
      <c r="L291" s="889"/>
      <c r="M291" s="889"/>
      <c r="N291" s="17"/>
      <c r="O291" s="17"/>
      <c r="AA291" s="285" t="b">
        <f>AA278</f>
        <v>0</v>
      </c>
    </row>
    <row r="292" spans="2:27" x14ac:dyDescent="0.25">
      <c r="B292" s="17"/>
      <c r="C292" s="17"/>
      <c r="D292" s="225">
        <f>D291+1</f>
        <v>2</v>
      </c>
      <c r="E292" s="760"/>
      <c r="F292" s="1542"/>
      <c r="G292" s="1543"/>
      <c r="H292" s="936"/>
      <c r="I292" s="892"/>
      <c r="J292" s="892"/>
      <c r="K292" s="892"/>
      <c r="L292" s="892"/>
      <c r="M292" s="892"/>
      <c r="N292" s="17"/>
      <c r="O292" s="17"/>
      <c r="AA292" s="285" t="b">
        <f>AA291</f>
        <v>0</v>
      </c>
    </row>
    <row r="293" spans="2:27" x14ac:dyDescent="0.25">
      <c r="B293" s="17"/>
      <c r="C293" s="17"/>
      <c r="D293" s="225">
        <f t="shared" ref="D293:D300" si="6">D292+1</f>
        <v>3</v>
      </c>
      <c r="E293" s="760"/>
      <c r="F293" s="1542"/>
      <c r="G293" s="1543"/>
      <c r="H293" s="936"/>
      <c r="I293" s="892"/>
      <c r="J293" s="892"/>
      <c r="K293" s="892"/>
      <c r="L293" s="892"/>
      <c r="M293" s="892"/>
      <c r="N293" s="17"/>
      <c r="O293" s="17"/>
      <c r="AA293" s="285" t="b">
        <f t="shared" ref="AA293:AA301" si="7">AA292</f>
        <v>0</v>
      </c>
    </row>
    <row r="294" spans="2:27" x14ac:dyDescent="0.25">
      <c r="B294" s="17"/>
      <c r="C294" s="17"/>
      <c r="D294" s="225">
        <f t="shared" si="6"/>
        <v>4</v>
      </c>
      <c r="E294" s="760"/>
      <c r="F294" s="1542"/>
      <c r="G294" s="1543"/>
      <c r="H294" s="936"/>
      <c r="I294" s="892"/>
      <c r="J294" s="892"/>
      <c r="K294" s="892"/>
      <c r="L294" s="892"/>
      <c r="M294" s="892"/>
      <c r="N294" s="17"/>
      <c r="O294" s="17"/>
      <c r="AA294" s="285" t="b">
        <f t="shared" si="7"/>
        <v>0</v>
      </c>
    </row>
    <row r="295" spans="2:27" x14ac:dyDescent="0.25">
      <c r="B295" s="17"/>
      <c r="C295" s="17"/>
      <c r="D295" s="225">
        <f t="shared" si="6"/>
        <v>5</v>
      </c>
      <c r="E295" s="760"/>
      <c r="F295" s="1542"/>
      <c r="G295" s="1543"/>
      <c r="H295" s="936"/>
      <c r="I295" s="892"/>
      <c r="J295" s="892"/>
      <c r="K295" s="892"/>
      <c r="L295" s="892"/>
      <c r="M295" s="892"/>
      <c r="N295" s="17"/>
      <c r="O295" s="17"/>
      <c r="AA295" s="285" t="b">
        <f t="shared" si="7"/>
        <v>0</v>
      </c>
    </row>
    <row r="296" spans="2:27" x14ac:dyDescent="0.25">
      <c r="B296" s="17"/>
      <c r="C296" s="17"/>
      <c r="D296" s="225">
        <f t="shared" si="6"/>
        <v>6</v>
      </c>
      <c r="E296" s="760"/>
      <c r="F296" s="1542"/>
      <c r="G296" s="1543"/>
      <c r="H296" s="936"/>
      <c r="I296" s="892"/>
      <c r="J296" s="892"/>
      <c r="K296" s="892"/>
      <c r="L296" s="892"/>
      <c r="M296" s="892"/>
      <c r="N296" s="17"/>
      <c r="O296" s="17"/>
      <c r="AA296" s="285" t="b">
        <f t="shared" si="7"/>
        <v>0</v>
      </c>
    </row>
    <row r="297" spans="2:27" x14ac:dyDescent="0.25">
      <c r="B297" s="17"/>
      <c r="C297" s="17"/>
      <c r="D297" s="225">
        <f t="shared" si="6"/>
        <v>7</v>
      </c>
      <c r="E297" s="760"/>
      <c r="F297" s="1542"/>
      <c r="G297" s="1543"/>
      <c r="H297" s="936"/>
      <c r="I297" s="892"/>
      <c r="J297" s="892"/>
      <c r="K297" s="892"/>
      <c r="L297" s="892"/>
      <c r="M297" s="892"/>
      <c r="N297" s="17"/>
      <c r="O297" s="17"/>
      <c r="AA297" s="285" t="b">
        <f t="shared" si="7"/>
        <v>0</v>
      </c>
    </row>
    <row r="298" spans="2:27" x14ac:dyDescent="0.25">
      <c r="B298" s="17"/>
      <c r="C298" s="17"/>
      <c r="D298" s="225">
        <f t="shared" si="6"/>
        <v>8</v>
      </c>
      <c r="E298" s="760"/>
      <c r="F298" s="1542"/>
      <c r="G298" s="1543"/>
      <c r="H298" s="936"/>
      <c r="I298" s="892"/>
      <c r="J298" s="892"/>
      <c r="K298" s="892"/>
      <c r="L298" s="892"/>
      <c r="M298" s="892"/>
      <c r="N298" s="17"/>
      <c r="O298" s="17"/>
      <c r="AA298" s="285" t="b">
        <f t="shared" si="7"/>
        <v>0</v>
      </c>
    </row>
    <row r="299" spans="2:27" x14ac:dyDescent="0.25">
      <c r="B299" s="17"/>
      <c r="C299" s="17"/>
      <c r="D299" s="225">
        <f t="shared" si="6"/>
        <v>9</v>
      </c>
      <c r="E299" s="760"/>
      <c r="F299" s="1542"/>
      <c r="G299" s="1543"/>
      <c r="H299" s="936"/>
      <c r="I299" s="892"/>
      <c r="J299" s="892"/>
      <c r="K299" s="892"/>
      <c r="L299" s="892"/>
      <c r="M299" s="892"/>
      <c r="N299" s="17"/>
      <c r="O299" s="17"/>
      <c r="AA299" s="285" t="b">
        <f t="shared" si="7"/>
        <v>0</v>
      </c>
    </row>
    <row r="300" spans="2:27" x14ac:dyDescent="0.25">
      <c r="B300" s="17"/>
      <c r="C300" s="17"/>
      <c r="D300" s="227">
        <f t="shared" si="6"/>
        <v>10</v>
      </c>
      <c r="E300" s="761"/>
      <c r="F300" s="1544"/>
      <c r="G300" s="1545"/>
      <c r="H300" s="937"/>
      <c r="I300" s="895"/>
      <c r="J300" s="895"/>
      <c r="K300" s="895"/>
      <c r="L300" s="895"/>
      <c r="M300" s="895"/>
      <c r="N300" s="17"/>
      <c r="O300" s="17"/>
      <c r="AA300" s="285" t="b">
        <f t="shared" si="7"/>
        <v>0</v>
      </c>
    </row>
    <row r="301" spans="2:27" ht="12.75" customHeight="1" thickBot="1" x14ac:dyDescent="0.3">
      <c r="B301" s="17"/>
      <c r="C301" s="17"/>
      <c r="D301" s="262"/>
      <c r="E301" s="1546" t="str">
        <f>Translations!$B$708</f>
        <v>Sum of production levels</v>
      </c>
      <c r="F301" s="1546"/>
      <c r="G301" s="1546"/>
      <c r="H301" s="1067"/>
      <c r="I301" s="841" t="str">
        <f>IF(COUNT(I291:I300)&gt;0,SUM(I291:I300),"")</f>
        <v/>
      </c>
      <c r="J301" s="841" t="str">
        <f>IF(COUNT(J291:J300)&gt;0,SUM(J291:J300),"")</f>
        <v/>
      </c>
      <c r="K301" s="841" t="str">
        <f>IF(COUNT(K291:K300)&gt;0,SUM(K291:K300),"")</f>
        <v/>
      </c>
      <c r="L301" s="841" t="str">
        <f>IF(COUNT(L291:L300)&gt;0,SUM(L291:L300),"")</f>
        <v/>
      </c>
      <c r="M301" s="841" t="str">
        <f>IF(COUNT(M291:M300)&gt;0,SUM(M291:M300),"")</f>
        <v/>
      </c>
      <c r="N301" s="17"/>
      <c r="O301" s="17"/>
      <c r="AA301" s="286" t="b">
        <f t="shared" si="7"/>
        <v>0</v>
      </c>
    </row>
    <row r="302" spans="2:27" ht="12.75" customHeight="1" thickBot="1" x14ac:dyDescent="0.3">
      <c r="B302" s="17"/>
      <c r="C302" s="17"/>
      <c r="D302" s="17"/>
      <c r="E302" s="17"/>
      <c r="F302" s="17"/>
      <c r="G302" s="17"/>
      <c r="H302" s="17"/>
      <c r="I302" s="17"/>
      <c r="J302" s="17"/>
      <c r="K302" s="17"/>
      <c r="L302" s="17"/>
      <c r="M302" s="17"/>
      <c r="N302" s="17"/>
      <c r="O302" s="17"/>
    </row>
    <row r="303" spans="2:27" ht="5.0999999999999996" customHeight="1" x14ac:dyDescent="0.25">
      <c r="B303" s="17"/>
      <c r="C303" s="938"/>
      <c r="D303" s="462"/>
      <c r="E303" s="462"/>
      <c r="F303" s="462"/>
      <c r="G303" s="462"/>
      <c r="H303" s="462"/>
      <c r="I303" s="462"/>
      <c r="J303" s="462"/>
      <c r="K303" s="462"/>
      <c r="L303" s="462"/>
      <c r="M303" s="462"/>
      <c r="N303" s="463"/>
      <c r="O303" s="17"/>
    </row>
    <row r="304" spans="2:27" ht="15" customHeight="1" x14ac:dyDescent="0.25">
      <c r="B304" s="17"/>
      <c r="C304" s="900"/>
      <c r="D304" s="1547" t="s">
        <v>410</v>
      </c>
      <c r="E304" s="1512"/>
      <c r="F304" s="1512"/>
      <c r="G304" s="1512"/>
      <c r="H304" s="1512"/>
      <c r="I304" s="1512"/>
      <c r="J304" s="1512"/>
      <c r="K304" s="1512"/>
      <c r="L304" s="1512"/>
      <c r="M304" s="1512"/>
      <c r="N304" s="1513"/>
      <c r="O304" s="17"/>
    </row>
    <row r="305" spans="2:23" ht="5.0999999999999996" customHeight="1" x14ac:dyDescent="0.25">
      <c r="B305" s="17"/>
      <c r="C305" s="900"/>
      <c r="D305" s="342"/>
      <c r="E305" s="342"/>
      <c r="F305" s="342"/>
      <c r="G305" s="342"/>
      <c r="H305" s="342"/>
      <c r="I305" s="342"/>
      <c r="J305" s="342"/>
      <c r="K305" s="342"/>
      <c r="L305" s="342"/>
      <c r="M305" s="342"/>
      <c r="N305" s="266"/>
      <c r="O305" s="17"/>
    </row>
    <row r="306" spans="2:23" ht="15" customHeight="1" x14ac:dyDescent="0.25">
      <c r="B306" s="17"/>
      <c r="C306" s="900"/>
      <c r="D306" s="1548" t="str">
        <f>EUconst_BMSubinst &amp; ":"</f>
        <v>Sub-installation with product benchmark:</v>
      </c>
      <c r="E306" s="1512"/>
      <c r="F306" s="1512"/>
      <c r="G306" s="1512"/>
      <c r="H306" s="1549"/>
      <c r="I306" s="1550" t="str">
        <f>I253</f>
        <v/>
      </c>
      <c r="J306" s="1509"/>
      <c r="K306" s="1509"/>
      <c r="L306" s="1509"/>
      <c r="M306" s="1509"/>
      <c r="N306" s="1551"/>
      <c r="O306" s="17"/>
    </row>
    <row r="307" spans="2:23" ht="5.0999999999999996" customHeight="1" x14ac:dyDescent="0.25">
      <c r="B307" s="17"/>
      <c r="C307" s="900"/>
      <c r="D307" s="342"/>
      <c r="E307" s="342"/>
      <c r="F307" s="342"/>
      <c r="G307" s="342"/>
      <c r="H307" s="342"/>
      <c r="I307" s="342"/>
      <c r="J307" s="342"/>
      <c r="K307" s="342"/>
      <c r="L307" s="342"/>
      <c r="M307" s="342"/>
      <c r="N307" s="266"/>
      <c r="O307" s="17"/>
    </row>
    <row r="308" spans="2:23" ht="15" customHeight="1" x14ac:dyDescent="0.25">
      <c r="B308" s="17"/>
      <c r="C308" s="900"/>
      <c r="D308" s="342"/>
      <c r="E308" s="1439" t="str">
        <f>Translations!$B$714</f>
        <v>Upon entries made below, the attributable emissions are calculated in section K.III.2 of the summary sheet.</v>
      </c>
      <c r="F308" s="1439"/>
      <c r="G308" s="1439"/>
      <c r="H308" s="1439"/>
      <c r="I308" s="1439"/>
      <c r="J308" s="1439"/>
      <c r="K308" s="1439"/>
      <c r="L308" s="1439"/>
      <c r="M308" s="1439"/>
      <c r="N308" s="277"/>
      <c r="O308" s="17"/>
    </row>
    <row r="309" spans="2:23" ht="5.0999999999999996" customHeight="1" x14ac:dyDescent="0.25">
      <c r="B309" s="17"/>
      <c r="C309" s="900"/>
      <c r="D309" s="342"/>
      <c r="E309" s="342"/>
      <c r="F309" s="342"/>
      <c r="G309" s="342"/>
      <c r="H309" s="342"/>
      <c r="I309" s="342"/>
      <c r="J309" s="342"/>
      <c r="K309" s="342"/>
      <c r="L309" s="342"/>
      <c r="M309" s="342"/>
      <c r="N309" s="266"/>
      <c r="O309" s="17"/>
    </row>
    <row r="310" spans="2:23" ht="12.75" customHeight="1" x14ac:dyDescent="0.25">
      <c r="B310" s="17"/>
      <c r="C310" s="900"/>
      <c r="D310" s="157" t="s">
        <v>212</v>
      </c>
      <c r="E310" s="1511" t="str">
        <f>Translations!$B$715</f>
        <v>Directly attributable emissions (DirEm* (MP source streams)) to this sub-installation</v>
      </c>
      <c r="F310" s="1512"/>
      <c r="G310" s="1512"/>
      <c r="H310" s="1512"/>
      <c r="I310" s="1512"/>
      <c r="J310" s="1512"/>
      <c r="K310" s="1512"/>
      <c r="L310" s="1512"/>
      <c r="M310" s="1512"/>
      <c r="N310" s="1513"/>
      <c r="O310" s="17"/>
    </row>
    <row r="311" spans="2:23" ht="12.75" customHeight="1" thickBot="1" x14ac:dyDescent="0.3">
      <c r="B311" s="17"/>
      <c r="C311" s="900"/>
      <c r="D311" s="342"/>
      <c r="E311" s="1552"/>
      <c r="F311" s="1552"/>
      <c r="G311" s="1552"/>
      <c r="H311" s="1552"/>
      <c r="I311" s="1552"/>
      <c r="J311" s="1552"/>
      <c r="K311" s="1552"/>
      <c r="L311" s="1552"/>
      <c r="M311" s="1552"/>
      <c r="N311" s="1553"/>
      <c r="O311" s="17"/>
    </row>
    <row r="312" spans="2:23" ht="12.75" customHeight="1" x14ac:dyDescent="0.25">
      <c r="B312" s="17"/>
      <c r="C312" s="900"/>
      <c r="D312" s="157"/>
      <c r="E312" s="1522" t="str">
        <f>Translations!$B$725</f>
        <v>Directly attributable emissions (DirEm*)</v>
      </c>
      <c r="F312" s="1523"/>
      <c r="G312" s="1523"/>
      <c r="H312" s="152" t="str">
        <f>EUconst_Unit</f>
        <v>Unit</v>
      </c>
      <c r="I312" s="153">
        <f>I$1882</f>
        <v>2019</v>
      </c>
      <c r="J312" s="153">
        <f>J$1882</f>
        <v>2020</v>
      </c>
      <c r="K312" s="153">
        <f>K$1882</f>
        <v>2021</v>
      </c>
      <c r="L312" s="153">
        <f>L$1882</f>
        <v>2022</v>
      </c>
      <c r="M312" s="153">
        <f>M$1882</f>
        <v>2023</v>
      </c>
      <c r="N312" s="266"/>
      <c r="O312" s="17"/>
      <c r="R312" s="459"/>
      <c r="S312" s="326">
        <f>I312</f>
        <v>2019</v>
      </c>
      <c r="T312" s="326">
        <f>J312</f>
        <v>2020</v>
      </c>
      <c r="U312" s="326">
        <f>K312</f>
        <v>2021</v>
      </c>
      <c r="V312" s="326">
        <f>L312</f>
        <v>2022</v>
      </c>
      <c r="W312" s="327">
        <f>M312</f>
        <v>2023</v>
      </c>
    </row>
    <row r="313" spans="2:23" ht="12.75" customHeight="1" thickBot="1" x14ac:dyDescent="0.3">
      <c r="B313" s="17"/>
      <c r="C313" s="900"/>
      <c r="D313" s="342"/>
      <c r="E313" s="1510" t="str">
        <f>I253</f>
        <v/>
      </c>
      <c r="F313" s="1510"/>
      <c r="G313" s="1510"/>
      <c r="H313" s="154" t="str">
        <f>EUconst_tCO2epa</f>
        <v>t CO2e/year</v>
      </c>
      <c r="I313" s="293"/>
      <c r="J313" s="293"/>
      <c r="K313" s="293"/>
      <c r="L313" s="293"/>
      <c r="M313" s="293"/>
      <c r="N313" s="266"/>
      <c r="O313" s="17"/>
      <c r="P313" s="63" t="str">
        <f>EUconst_CNTR_Emissions &amp; I253</f>
        <v>DirEmissions_</v>
      </c>
      <c r="R313" s="460" t="str">
        <f>EUconst_CNTR_AttributedEmissions &amp; I253</f>
        <v>AttrEmissions_</v>
      </c>
      <c r="S313" s="389" t="str">
        <f>IF(S253,SUM(I313),"")</f>
        <v/>
      </c>
      <c r="T313" s="389" t="str">
        <f>IF(T253,SUM(J313),"")</f>
        <v/>
      </c>
      <c r="U313" s="389" t="str">
        <f>IF(U253,SUM(K313),"")</f>
        <v/>
      </c>
      <c r="V313" s="389" t="str">
        <f>IF(V253,SUM(L313),"")</f>
        <v/>
      </c>
      <c r="W313" s="390" t="str">
        <f>IF(W253,SUM(M313),"")</f>
        <v/>
      </c>
    </row>
    <row r="314" spans="2:23" ht="12.75" customHeight="1" x14ac:dyDescent="0.25">
      <c r="B314" s="17"/>
      <c r="C314" s="900"/>
      <c r="D314" s="342"/>
      <c r="E314" s="342"/>
      <c r="F314" s="342"/>
      <c r="G314" s="342"/>
      <c r="H314" s="342"/>
      <c r="I314" s="342"/>
      <c r="J314" s="342"/>
      <c r="K314" s="342"/>
      <c r="L314" s="342"/>
      <c r="M314" s="342"/>
      <c r="N314" s="266"/>
      <c r="O314" s="17"/>
    </row>
    <row r="315" spans="2:23" ht="12.75" customHeight="1" x14ac:dyDescent="0.25">
      <c r="B315" s="17"/>
      <c r="C315" s="900"/>
      <c r="D315" s="157" t="s">
        <v>218</v>
      </c>
      <c r="E315" s="1529" t="str">
        <f>Translations!$B$726</f>
        <v>Fuel input to this sub-installation and relevant emission factor</v>
      </c>
      <c r="F315" s="1529"/>
      <c r="G315" s="1529"/>
      <c r="H315" s="1529"/>
      <c r="I315" s="1529"/>
      <c r="J315" s="1529"/>
      <c r="K315" s="1529"/>
      <c r="L315" s="1529"/>
      <c r="M315" s="1529"/>
      <c r="N315" s="1534"/>
      <c r="O315" s="17"/>
    </row>
    <row r="316" spans="2:23" ht="12.75" customHeight="1" x14ac:dyDescent="0.25">
      <c r="B316" s="17"/>
      <c r="C316" s="900"/>
      <c r="D316" s="157"/>
      <c r="E316" s="1522"/>
      <c r="F316" s="1523"/>
      <c r="G316" s="1523"/>
      <c r="H316" s="152" t="str">
        <f>EUconst_Unit</f>
        <v>Unit</v>
      </c>
      <c r="I316" s="153">
        <f>I$1882</f>
        <v>2019</v>
      </c>
      <c r="J316" s="153">
        <f>J$1882</f>
        <v>2020</v>
      </c>
      <c r="K316" s="153">
        <f>K$1882</f>
        <v>2021</v>
      </c>
      <c r="L316" s="153">
        <f>L$1882</f>
        <v>2022</v>
      </c>
      <c r="M316" s="153">
        <f>M$1882</f>
        <v>2023</v>
      </c>
      <c r="N316" s="266"/>
      <c r="O316" s="17"/>
    </row>
    <row r="317" spans="2:23" ht="12.75" customHeight="1" x14ac:dyDescent="0.25">
      <c r="B317" s="17"/>
      <c r="C317" s="900"/>
      <c r="D317" s="193" t="s">
        <v>206</v>
      </c>
      <c r="E317" s="1528" t="str">
        <f>Translations!$B$731</f>
        <v>Fuel input</v>
      </c>
      <c r="F317" s="1528"/>
      <c r="G317" s="1528"/>
      <c r="H317" s="154" t="str">
        <f>EUconst_TJpa</f>
        <v>TJ / year</v>
      </c>
      <c r="I317" s="293"/>
      <c r="J317" s="293"/>
      <c r="K317" s="293"/>
      <c r="L317" s="293"/>
      <c r="M317" s="293"/>
      <c r="N317" s="277"/>
      <c r="O317" s="17"/>
      <c r="P317" s="63" t="str">
        <f>EUconst_CNTR_FuelInput &amp; I253</f>
        <v>FuelInput_</v>
      </c>
    </row>
    <row r="318" spans="2:23" ht="12.75" customHeight="1" x14ac:dyDescent="0.25">
      <c r="B318" s="17"/>
      <c r="C318" s="900"/>
      <c r="D318" s="193" t="s">
        <v>208</v>
      </c>
      <c r="E318" s="1523" t="str">
        <f>Translations!$B$732</f>
        <v>Weighted emission factor</v>
      </c>
      <c r="F318" s="1523"/>
      <c r="G318" s="1523"/>
      <c r="H318" s="904" t="str">
        <f>EUconst_tCO2pTJ</f>
        <v>t CO2 / TJ</v>
      </c>
      <c r="I318" s="865"/>
      <c r="J318" s="865"/>
      <c r="K318" s="865"/>
      <c r="L318" s="865"/>
      <c r="M318" s="865"/>
      <c r="N318" s="266"/>
      <c r="O318" s="17"/>
      <c r="P318" s="63" t="str">
        <f>EUconst_CNTR_FuelEF &amp; I253</f>
        <v>FuelEF_</v>
      </c>
    </row>
    <row r="319" spans="2:23" ht="12.75" customHeight="1" x14ac:dyDescent="0.25">
      <c r="B319" s="17"/>
      <c r="C319" s="900"/>
      <c r="D319" s="342"/>
      <c r="E319" s="342"/>
      <c r="F319" s="342"/>
      <c r="G319" s="342"/>
      <c r="H319" s="342"/>
      <c r="I319" s="342"/>
      <c r="J319" s="342"/>
      <c r="K319" s="342"/>
      <c r="L319" s="342"/>
      <c r="M319" s="342"/>
      <c r="N319" s="266"/>
      <c r="O319" s="17"/>
    </row>
    <row r="320" spans="2:23" ht="12.75" customHeight="1" thickBot="1" x14ac:dyDescent="0.3">
      <c r="B320" s="17"/>
      <c r="C320" s="900"/>
      <c r="D320" s="157" t="s">
        <v>225</v>
      </c>
      <c r="E320" s="1529" t="str">
        <f>Translations!$B$733</f>
        <v>Further internal source streams imported to or exported from this sub-installation</v>
      </c>
      <c r="F320" s="1529"/>
      <c r="G320" s="1529"/>
      <c r="H320" s="1529"/>
      <c r="I320" s="1529"/>
      <c r="J320" s="1529"/>
      <c r="K320" s="1529"/>
      <c r="L320" s="1529"/>
      <c r="M320" s="1529"/>
      <c r="N320" s="1534"/>
      <c r="O320" s="17"/>
    </row>
    <row r="321" spans="2:27" ht="12.75" customHeight="1" thickBot="1" x14ac:dyDescent="0.3">
      <c r="B321" s="17"/>
      <c r="C321" s="900"/>
      <c r="D321" s="193" t="s">
        <v>206</v>
      </c>
      <c r="E321" s="1514" t="str">
        <f>Translations!$B$739</f>
        <v>Are further imported or exported internal source streams relevant for this sub-installation?</v>
      </c>
      <c r="F321" s="1514"/>
      <c r="G321" s="1514"/>
      <c r="H321" s="1514"/>
      <c r="I321" s="1514"/>
      <c r="J321" s="1514"/>
      <c r="K321" s="1515"/>
      <c r="L321" s="194"/>
      <c r="M321" s="762"/>
      <c r="N321" s="763"/>
      <c r="O321" s="17"/>
      <c r="W321" s="288" t="s">
        <v>418</v>
      </c>
      <c r="X321" s="215" t="b">
        <f>IF(AND(I253&lt;&gt;"",ISBLANK(L321)),EUconst_Error&amp;"BM"&amp;C253,FALSE)</f>
        <v>0</v>
      </c>
    </row>
    <row r="322" spans="2:27" ht="5.0999999999999996" customHeight="1" thickBot="1" x14ac:dyDescent="0.3">
      <c r="B322" s="17"/>
      <c r="C322" s="900"/>
      <c r="D322" s="342"/>
      <c r="E322" s="1533"/>
      <c r="F322" s="1512"/>
      <c r="G322" s="1512"/>
      <c r="H322" s="1512"/>
      <c r="I322" s="1512"/>
      <c r="J322" s="1512"/>
      <c r="K322" s="1512"/>
      <c r="L322" s="1512"/>
      <c r="M322" s="1512"/>
      <c r="N322" s="1513"/>
      <c r="O322" s="17"/>
      <c r="AA322" s="145" t="s">
        <v>396</v>
      </c>
    </row>
    <row r="323" spans="2:27" ht="12.75" customHeight="1" x14ac:dyDescent="0.25">
      <c r="B323" s="17"/>
      <c r="C323" s="900"/>
      <c r="D323" s="193" t="s">
        <v>208</v>
      </c>
      <c r="E323" s="1529" t="str">
        <f>Translations!$B$741</f>
        <v>Name of further source streams - 1:</v>
      </c>
      <c r="F323" s="1529"/>
      <c r="G323" s="1529"/>
      <c r="H323" s="1529"/>
      <c r="I323" s="1530"/>
      <c r="J323" s="1531"/>
      <c r="K323" s="1531"/>
      <c r="L323" s="1531"/>
      <c r="M323" s="1532"/>
      <c r="N323" s="266"/>
      <c r="O323" s="17"/>
      <c r="AA323" s="316" t="b">
        <f>IF(I253&lt;&gt;"",AND(L321&lt;&gt;"",L321=FALSE),FALSE)</f>
        <v>0</v>
      </c>
    </row>
    <row r="324" spans="2:27" ht="5.0999999999999996" customHeight="1" x14ac:dyDescent="0.25">
      <c r="B324" s="17"/>
      <c r="C324" s="900"/>
      <c r="D324" s="342"/>
      <c r="E324" s="902"/>
      <c r="F324" s="762"/>
      <c r="G324" s="762"/>
      <c r="H324" s="762"/>
      <c r="I324" s="762"/>
      <c r="J324" s="762"/>
      <c r="K324" s="762"/>
      <c r="L324" s="762"/>
      <c r="M324" s="762"/>
      <c r="N324" s="763"/>
      <c r="O324" s="17"/>
      <c r="AA324" s="815"/>
    </row>
    <row r="325" spans="2:27" ht="12.75" customHeight="1" x14ac:dyDescent="0.25">
      <c r="B325" s="17"/>
      <c r="C325" s="900"/>
      <c r="D325" s="342"/>
      <c r="E325" s="1522" t="str">
        <f>Translations!$B$742</f>
        <v>Further source streams - 1</v>
      </c>
      <c r="F325" s="1523"/>
      <c r="G325" s="1523"/>
      <c r="H325" s="152" t="str">
        <f>EUconst_Unit</f>
        <v>Unit</v>
      </c>
      <c r="I325" s="153">
        <f>I$1882</f>
        <v>2019</v>
      </c>
      <c r="J325" s="153">
        <f>J$1882</f>
        <v>2020</v>
      </c>
      <c r="K325" s="153">
        <f>K$1882</f>
        <v>2021</v>
      </c>
      <c r="L325" s="153">
        <f>L$1882</f>
        <v>2022</v>
      </c>
      <c r="M325" s="153">
        <f>M$1882</f>
        <v>2023</v>
      </c>
      <c r="N325" s="266"/>
      <c r="O325" s="17"/>
      <c r="AA325" s="815"/>
    </row>
    <row r="326" spans="2:27" ht="12.75" customHeight="1" x14ac:dyDescent="0.25">
      <c r="B326" s="17"/>
      <c r="C326" s="900"/>
      <c r="D326" s="193" t="s">
        <v>209</v>
      </c>
      <c r="E326" s="1526" t="str">
        <f>Translations!$B$743</f>
        <v>Amount imported or exported</v>
      </c>
      <c r="F326" s="1526"/>
      <c r="G326" s="1526"/>
      <c r="H326" s="939" t="str">
        <f>EUconst_tpa</f>
        <v>t / year</v>
      </c>
      <c r="I326" s="825"/>
      <c r="J326" s="825"/>
      <c r="K326" s="825"/>
      <c r="L326" s="825"/>
      <c r="M326" s="825"/>
      <c r="N326" s="266"/>
      <c r="O326" s="17"/>
      <c r="AA326" s="285" t="b">
        <f>AA323</f>
        <v>0</v>
      </c>
    </row>
    <row r="327" spans="2:27" ht="12.75" customHeight="1" x14ac:dyDescent="0.25">
      <c r="B327" s="17"/>
      <c r="C327" s="900"/>
      <c r="D327" s="193" t="s">
        <v>210</v>
      </c>
      <c r="E327" s="1540" t="str">
        <f>Translations!$B$744</f>
        <v>Net calorific value (NCV), if applicable</v>
      </c>
      <c r="F327" s="1540"/>
      <c r="G327" s="1540"/>
      <c r="H327" s="940" t="str">
        <f>EUconst_GJpt</f>
        <v>GJ / t</v>
      </c>
      <c r="I327" s="296"/>
      <c r="J327" s="296"/>
      <c r="K327" s="296"/>
      <c r="L327" s="296"/>
      <c r="M327" s="296"/>
      <c r="N327" s="266"/>
      <c r="O327" s="17"/>
      <c r="AA327" s="285" t="b">
        <f>AA326</f>
        <v>0</v>
      </c>
    </row>
    <row r="328" spans="2:27" ht="12.75" customHeight="1" thickBot="1" x14ac:dyDescent="0.3">
      <c r="B328" s="17"/>
      <c r="C328" s="900"/>
      <c r="D328" s="193" t="s">
        <v>220</v>
      </c>
      <c r="E328" s="1540" t="str">
        <f>Translations!$B$745</f>
        <v>Carbon content (mass %)</v>
      </c>
      <c r="F328" s="1540"/>
      <c r="G328" s="1540"/>
      <c r="H328" s="941" t="s">
        <v>419</v>
      </c>
      <c r="I328" s="296"/>
      <c r="J328" s="296"/>
      <c r="K328" s="296"/>
      <c r="L328" s="296"/>
      <c r="M328" s="296"/>
      <c r="N328" s="266"/>
      <c r="O328" s="17"/>
      <c r="AA328" s="285" t="b">
        <f>AA327</f>
        <v>0</v>
      </c>
    </row>
    <row r="329" spans="2:27" ht="12.75" customHeight="1" x14ac:dyDescent="0.25">
      <c r="B329" s="17"/>
      <c r="C329" s="900"/>
      <c r="D329" s="193" t="s">
        <v>221</v>
      </c>
      <c r="E329" s="1527" t="str">
        <f>Translations!$B$746</f>
        <v>Biomass content (as fraction of carbon)</v>
      </c>
      <c r="F329" s="1527"/>
      <c r="G329" s="1527"/>
      <c r="H329" s="343" t="s">
        <v>419</v>
      </c>
      <c r="I329" s="826"/>
      <c r="J329" s="826"/>
      <c r="K329" s="826"/>
      <c r="L329" s="826"/>
      <c r="M329" s="826"/>
      <c r="N329" s="266"/>
      <c r="O329" s="17"/>
      <c r="R329" s="459"/>
      <c r="S329" s="326">
        <f>I325</f>
        <v>2019</v>
      </c>
      <c r="T329" s="326">
        <f>J325</f>
        <v>2020</v>
      </c>
      <c r="U329" s="326">
        <f>K325</f>
        <v>2021</v>
      </c>
      <c r="V329" s="326">
        <f>L325</f>
        <v>2022</v>
      </c>
      <c r="W329" s="327">
        <f>M325</f>
        <v>2023</v>
      </c>
      <c r="AA329" s="285" t="b">
        <f>AA328</f>
        <v>0</v>
      </c>
    </row>
    <row r="330" spans="2:27" ht="12.75" customHeight="1" thickBot="1" x14ac:dyDescent="0.3">
      <c r="B330" s="17"/>
      <c r="C330" s="900"/>
      <c r="D330" s="193" t="s">
        <v>222</v>
      </c>
      <c r="E330" s="1526" t="str">
        <f>Translations!$B$747</f>
        <v>Emissions (fossil, calculated)</v>
      </c>
      <c r="F330" s="1526"/>
      <c r="G330" s="1526"/>
      <c r="H330" s="942" t="str">
        <f>EUconst_tCO2pa</f>
        <v>t CO2 / year</v>
      </c>
      <c r="I330" s="943" t="str">
        <f>IF(AND(COUNT(I326:I329)&gt;0,I333=""),3.664*I326*(I328/100)*(1-I329/100),"")</f>
        <v/>
      </c>
      <c r="J330" s="943" t="str">
        <f>IF(AND(COUNT(J326:J329)&gt;0,J333=""),3.664*J326*(J328/100)*(1-J329/100),"")</f>
        <v/>
      </c>
      <c r="K330" s="943" t="str">
        <f>IF(AND(COUNT(K326:K329)&gt;0,K333=""),3.664*K326*(K328/100)*(1-K329/100),"")</f>
        <v/>
      </c>
      <c r="L330" s="943" t="str">
        <f>IF(AND(COUNT(L326:L329)&gt;0,L333=""),3.664*L326*(L328/100)*(1-L329/100),"")</f>
        <v/>
      </c>
      <c r="M330" s="943" t="str">
        <f>IF(AND(COUNT(M326:M329)&gt;0,M333=""),3.664*M326*(M328/100)*(1-M329/100),"")</f>
        <v/>
      </c>
      <c r="N330" s="266"/>
      <c r="O330" s="17"/>
      <c r="P330" s="63" t="str">
        <f>EUconst_CNTR_EmissionsIntSource1 &amp; I253</f>
        <v>EmInternalSource1_</v>
      </c>
      <c r="R330" s="460" t="str">
        <f>EUconst_CNTR_AttributedEmissions &amp; I253</f>
        <v>AttrEmissions_</v>
      </c>
      <c r="S330" s="389" t="str">
        <f>IF(S253,SUM(I330),"")</f>
        <v/>
      </c>
      <c r="T330" s="389" t="str">
        <f>IF(T253,SUM(J330),"")</f>
        <v/>
      </c>
      <c r="U330" s="389" t="str">
        <f>IF(U253,SUM(K330),"")</f>
        <v/>
      </c>
      <c r="V330" s="389" t="str">
        <f>IF(V253,SUM(L330),"")</f>
        <v/>
      </c>
      <c r="W330" s="390" t="str">
        <f>IF(W253,SUM(M330),"")</f>
        <v/>
      </c>
      <c r="AA330" s="815"/>
    </row>
    <row r="331" spans="2:27" ht="12.75" customHeight="1" x14ac:dyDescent="0.25">
      <c r="B331" s="17"/>
      <c r="C331" s="900"/>
      <c r="D331" s="193" t="s">
        <v>223</v>
      </c>
      <c r="E331" s="1540" t="str">
        <f>Translations!$B$748</f>
        <v>Memo-Item: Biomass emissions</v>
      </c>
      <c r="F331" s="1540"/>
      <c r="G331" s="1540"/>
      <c r="H331" s="944" t="str">
        <f>EUconst_tCO2pa</f>
        <v>t CO2 / year</v>
      </c>
      <c r="I331" s="945" t="str">
        <f>IF(ISNUMBER(I330),3.664*I326*(I328/100)*(I329/100),"")</f>
        <v/>
      </c>
      <c r="J331" s="945" t="str">
        <f>IF(ISNUMBER(J330),3.664*J326*(J328/100)*(J329/100),"")</f>
        <v/>
      </c>
      <c r="K331" s="945" t="str">
        <f>IF(ISNUMBER(K330),3.664*K326*(K328/100)*(K329/100),"")</f>
        <v/>
      </c>
      <c r="L331" s="945" t="str">
        <f>IF(ISNUMBER(L330),3.664*L326*(L328/100)*(L329/100),"")</f>
        <v/>
      </c>
      <c r="M331" s="945" t="str">
        <f>IF(ISNUMBER(M330),3.664*M326*(M328/100)*(M329/100),"")</f>
        <v/>
      </c>
      <c r="N331" s="266"/>
      <c r="O331" s="17"/>
      <c r="AA331" s="815"/>
    </row>
    <row r="332" spans="2:27" ht="12.75" customHeight="1" x14ac:dyDescent="0.25">
      <c r="B332" s="17"/>
      <c r="C332" s="900"/>
      <c r="D332" s="193" t="s">
        <v>224</v>
      </c>
      <c r="E332" s="1527" t="str">
        <f>Translations!$B$749</f>
        <v>Energy content (calculated)</v>
      </c>
      <c r="F332" s="1527"/>
      <c r="G332" s="1527"/>
      <c r="H332" s="946" t="str">
        <f>EUconst_TJpa</f>
        <v>TJ / year</v>
      </c>
      <c r="I332" s="841" t="str">
        <f>IF(COUNT(I326:I327)=2,I326*I327/1000,"")</f>
        <v/>
      </c>
      <c r="J332" s="841" t="str">
        <f>IF(COUNT(J326:J327)=2,J326*J327/1000,"")</f>
        <v/>
      </c>
      <c r="K332" s="841" t="str">
        <f>IF(COUNT(K326:K327)=2,K326*K327/1000,"")</f>
        <v/>
      </c>
      <c r="L332" s="841" t="str">
        <f>IF(COUNT(L326:L327)=2,L326*L327/1000,"")</f>
        <v/>
      </c>
      <c r="M332" s="841" t="str">
        <f>IF(COUNT(M326:M327)=2,M326*M327/1000,"")</f>
        <v/>
      </c>
      <c r="N332" s="266"/>
      <c r="O332" s="17"/>
      <c r="AA332" s="815"/>
    </row>
    <row r="333" spans="2:27" ht="12.75" customHeight="1" x14ac:dyDescent="0.25">
      <c r="B333" s="17"/>
      <c r="C333" s="900"/>
      <c r="D333" s="193" t="s">
        <v>345</v>
      </c>
      <c r="E333" s="1541" t="str">
        <f>Translations!$B$750</f>
        <v>Error messages (emissions)</v>
      </c>
      <c r="F333" s="1541"/>
      <c r="G333" s="1541"/>
      <c r="H333" s="947"/>
      <c r="I333" s="267" t="str">
        <f>IF(COUNT(I326,I328:I329)&gt;0,IF(COUNTIF(I327:I329,"&lt;0")&gt;0,EUconst_Negative,IF(COUNT(I326,I328:I329)&lt;3,EUconst_Incomplete,"")),"")</f>
        <v/>
      </c>
      <c r="J333" s="267" t="str">
        <f>IF(COUNT(J326,J328:J329)&gt;0,IF(COUNTIF(J327:J329,"&lt;0")&gt;0,EUconst_Negative,IF(COUNT(J326,J328:J329)&lt;3,EUconst_Incomplete,"")),"")</f>
        <v/>
      </c>
      <c r="K333" s="267" t="str">
        <f>IF(COUNT(K326,K328:K329)&gt;0,IF(COUNTIF(K327:K329,"&lt;0")&gt;0,EUconst_Negative,IF(COUNT(K326,K328:K329)&lt;3,EUconst_Incomplete,"")),"")</f>
        <v/>
      </c>
      <c r="L333" s="267" t="str">
        <f>IF(COUNT(L326,L328:L329)&gt;0,IF(COUNTIF(L327:L329,"&lt;0")&gt;0,EUconst_Negative,IF(COUNT(L326,L328:L329)&lt;3,EUconst_Incomplete,"")),"")</f>
        <v/>
      </c>
      <c r="M333" s="267" t="str">
        <f>IF(COUNT(M326,M328:M329)&gt;0,IF(COUNTIF(M327:M329,"&lt;0")&gt;0,EUconst_Negative,IF(COUNT(M326,M328:M329)&lt;3,EUconst_Incomplete,"")),"")</f>
        <v/>
      </c>
      <c r="N333" s="266"/>
      <c r="O333" s="17"/>
      <c r="AA333" s="815"/>
    </row>
    <row r="334" spans="2:27" ht="12.75" customHeight="1" x14ac:dyDescent="0.25">
      <c r="B334" s="17"/>
      <c r="C334" s="900"/>
      <c r="D334" s="193"/>
      <c r="E334" s="342"/>
      <c r="F334" s="342"/>
      <c r="G334" s="342"/>
      <c r="H334" s="342"/>
      <c r="I334" s="342"/>
      <c r="J334" s="342"/>
      <c r="K334" s="342"/>
      <c r="L334" s="342"/>
      <c r="M334" s="342"/>
      <c r="N334" s="266"/>
      <c r="O334" s="17"/>
      <c r="AA334" s="815"/>
    </row>
    <row r="335" spans="2:27" ht="12.75" customHeight="1" x14ac:dyDescent="0.25">
      <c r="B335" s="17"/>
      <c r="C335" s="900"/>
      <c r="D335" s="193" t="s">
        <v>346</v>
      </c>
      <c r="E335" s="1529" t="str">
        <f>Translations!$B$751</f>
        <v>Name of further source streams - 2:</v>
      </c>
      <c r="F335" s="1529"/>
      <c r="G335" s="1529"/>
      <c r="H335" s="1529"/>
      <c r="I335" s="1530"/>
      <c r="J335" s="1531"/>
      <c r="K335" s="1531"/>
      <c r="L335" s="1531"/>
      <c r="M335" s="1532"/>
      <c r="N335" s="763"/>
      <c r="O335" s="17"/>
      <c r="AA335" s="285" t="b">
        <f>AA323</f>
        <v>0</v>
      </c>
    </row>
    <row r="336" spans="2:27" ht="5.0999999999999996" customHeight="1" x14ac:dyDescent="0.25">
      <c r="B336" s="17"/>
      <c r="C336" s="900"/>
      <c r="D336" s="342"/>
      <c r="E336" s="902"/>
      <c r="F336" s="762"/>
      <c r="G336" s="762"/>
      <c r="H336" s="762"/>
      <c r="I336" s="762"/>
      <c r="J336" s="762"/>
      <c r="K336" s="762"/>
      <c r="L336" s="762"/>
      <c r="M336" s="762"/>
      <c r="N336" s="763"/>
      <c r="O336" s="17"/>
      <c r="AA336" s="815"/>
    </row>
    <row r="337" spans="2:27" ht="12.75" customHeight="1" x14ac:dyDescent="0.25">
      <c r="B337" s="17"/>
      <c r="C337" s="900"/>
      <c r="D337" s="193"/>
      <c r="E337" s="1522" t="str">
        <f>Translations!$B$752</f>
        <v>Further source streams - 2</v>
      </c>
      <c r="F337" s="1523"/>
      <c r="G337" s="1523"/>
      <c r="H337" s="152" t="str">
        <f>EUconst_Unit</f>
        <v>Unit</v>
      </c>
      <c r="I337" s="153">
        <f>I$1882</f>
        <v>2019</v>
      </c>
      <c r="J337" s="153">
        <f>J$1882</f>
        <v>2020</v>
      </c>
      <c r="K337" s="153">
        <f>K$1882</f>
        <v>2021</v>
      </c>
      <c r="L337" s="153">
        <f>L$1882</f>
        <v>2022</v>
      </c>
      <c r="M337" s="153">
        <f>M$1882</f>
        <v>2023</v>
      </c>
      <c r="N337" s="266"/>
      <c r="O337" s="17"/>
      <c r="AA337" s="815"/>
    </row>
    <row r="338" spans="2:27" ht="12.75" customHeight="1" x14ac:dyDescent="0.25">
      <c r="B338" s="17"/>
      <c r="C338" s="900"/>
      <c r="D338" s="193" t="s">
        <v>347</v>
      </c>
      <c r="E338" s="1526" t="str">
        <f>Translations!$B$743</f>
        <v>Amount imported or exported</v>
      </c>
      <c r="F338" s="1526"/>
      <c r="G338" s="1526"/>
      <c r="H338" s="939" t="str">
        <f>EUconst_tpa</f>
        <v>t / year</v>
      </c>
      <c r="I338" s="825"/>
      <c r="J338" s="825"/>
      <c r="K338" s="825"/>
      <c r="L338" s="825"/>
      <c r="M338" s="825"/>
      <c r="N338" s="266"/>
      <c r="O338" s="17"/>
      <c r="AA338" s="285" t="b">
        <f>AA335</f>
        <v>0</v>
      </c>
    </row>
    <row r="339" spans="2:27" ht="12.75" customHeight="1" x14ac:dyDescent="0.25">
      <c r="B339" s="17"/>
      <c r="C339" s="900"/>
      <c r="D339" s="193" t="s">
        <v>355</v>
      </c>
      <c r="E339" s="1540" t="str">
        <f>Translations!$B$744</f>
        <v>Net calorific value (NCV), if applicable</v>
      </c>
      <c r="F339" s="1540"/>
      <c r="G339" s="1540"/>
      <c r="H339" s="940" t="str">
        <f>EUconst_GJpt</f>
        <v>GJ / t</v>
      </c>
      <c r="I339" s="296"/>
      <c r="J339" s="296"/>
      <c r="K339" s="296"/>
      <c r="L339" s="296"/>
      <c r="M339" s="296"/>
      <c r="N339" s="266"/>
      <c r="O339" s="17"/>
      <c r="AA339" s="285" t="b">
        <f>AA338</f>
        <v>0</v>
      </c>
    </row>
    <row r="340" spans="2:27" ht="12.75" customHeight="1" thickBot="1" x14ac:dyDescent="0.3">
      <c r="B340" s="17"/>
      <c r="C340" s="900"/>
      <c r="D340" s="193" t="s">
        <v>356</v>
      </c>
      <c r="E340" s="1540" t="str">
        <f>Translations!$B$745</f>
        <v>Carbon content (mass %)</v>
      </c>
      <c r="F340" s="1540"/>
      <c r="G340" s="1540"/>
      <c r="H340" s="941" t="s">
        <v>419</v>
      </c>
      <c r="I340" s="296"/>
      <c r="J340" s="296"/>
      <c r="K340" s="296"/>
      <c r="L340" s="296"/>
      <c r="M340" s="296"/>
      <c r="N340" s="266"/>
      <c r="O340" s="17"/>
      <c r="AA340" s="285" t="b">
        <f>AA339</f>
        <v>0</v>
      </c>
    </row>
    <row r="341" spans="2:27" ht="12.75" customHeight="1" thickBot="1" x14ac:dyDescent="0.3">
      <c r="B341" s="17"/>
      <c r="C341" s="900"/>
      <c r="D341" s="193" t="s">
        <v>420</v>
      </c>
      <c r="E341" s="1527" t="str">
        <f>Translations!$B$746</f>
        <v>Biomass content (as fraction of carbon)</v>
      </c>
      <c r="F341" s="1527"/>
      <c r="G341" s="1527"/>
      <c r="H341" s="343" t="s">
        <v>419</v>
      </c>
      <c r="I341" s="826"/>
      <c r="J341" s="826"/>
      <c r="K341" s="826"/>
      <c r="L341" s="826"/>
      <c r="M341" s="826"/>
      <c r="N341" s="266"/>
      <c r="O341" s="17"/>
      <c r="R341" s="459"/>
      <c r="S341" s="326">
        <f>I337</f>
        <v>2019</v>
      </c>
      <c r="T341" s="326">
        <f>J337</f>
        <v>2020</v>
      </c>
      <c r="U341" s="326">
        <f>K337</f>
        <v>2021</v>
      </c>
      <c r="V341" s="326">
        <f>L337</f>
        <v>2022</v>
      </c>
      <c r="W341" s="327">
        <f>M337</f>
        <v>2023</v>
      </c>
      <c r="AA341" s="286" t="b">
        <f>AA340</f>
        <v>0</v>
      </c>
    </row>
    <row r="342" spans="2:27" ht="12.75" customHeight="1" thickBot="1" x14ac:dyDescent="0.3">
      <c r="B342" s="17"/>
      <c r="C342" s="900"/>
      <c r="D342" s="193" t="s">
        <v>421</v>
      </c>
      <c r="E342" s="1526" t="str">
        <f>Translations!$B$747</f>
        <v>Emissions (fossil, calculated)</v>
      </c>
      <c r="F342" s="1526"/>
      <c r="G342" s="1526"/>
      <c r="H342" s="942" t="str">
        <f>EUconst_tCO2pa</f>
        <v>t CO2 / year</v>
      </c>
      <c r="I342" s="943" t="str">
        <f>IF(AND(COUNT(I338:I341)&gt;0,I345=""),3.664*I338*(I340/100)*(1-I341/100),"")</f>
        <v/>
      </c>
      <c r="J342" s="943" t="str">
        <f>IF(AND(COUNT(J338:J341)&gt;0,J345=""),3.664*J338*(J340/100)*(1-J341/100),"")</f>
        <v/>
      </c>
      <c r="K342" s="943" t="str">
        <f>IF(AND(COUNT(K338:K341)&gt;0,K345=""),3.664*K338*(K340/100)*(1-K341/100),"")</f>
        <v/>
      </c>
      <c r="L342" s="943" t="str">
        <f>IF(AND(COUNT(L338:L341)&gt;0,L345=""),3.664*L338*(L340/100)*(1-L341/100),"")</f>
        <v/>
      </c>
      <c r="M342" s="943" t="str">
        <f>IF(AND(COUNT(M338:M341)&gt;0,M345=""),3.664*M338*(M340/100)*(1-M341/100),"")</f>
        <v/>
      </c>
      <c r="N342" s="266"/>
      <c r="O342" s="17"/>
      <c r="P342" s="63" t="str">
        <f>EUconst_CNTR_EmissionsIntSource2 &amp; I253</f>
        <v>EmInternalSource2_</v>
      </c>
      <c r="R342" s="460" t="str">
        <f>EUconst_CNTR_AttributedEmissions &amp; I253</f>
        <v>AttrEmissions_</v>
      </c>
      <c r="S342" s="389" t="str">
        <f>IF(S253,SUM(I342),"")</f>
        <v/>
      </c>
      <c r="T342" s="389" t="str">
        <f>IF(T253,SUM(J342),"")</f>
        <v/>
      </c>
      <c r="U342" s="389" t="str">
        <f>IF(U253,SUM(K342),"")</f>
        <v/>
      </c>
      <c r="V342" s="389" t="str">
        <f>IF(V253,SUM(L342),"")</f>
        <v/>
      </c>
      <c r="W342" s="390" t="str">
        <f>IF(W253,SUM(M342),"")</f>
        <v/>
      </c>
    </row>
    <row r="343" spans="2:27" ht="12.75" customHeight="1" x14ac:dyDescent="0.25">
      <c r="B343" s="17"/>
      <c r="C343" s="900"/>
      <c r="D343" s="193" t="s">
        <v>422</v>
      </c>
      <c r="E343" s="1540" t="str">
        <f>Translations!$B$748</f>
        <v>Memo-Item: Biomass emissions</v>
      </c>
      <c r="F343" s="1540"/>
      <c r="G343" s="1540"/>
      <c r="H343" s="944" t="str">
        <f>EUconst_tCO2pa</f>
        <v>t CO2 / year</v>
      </c>
      <c r="I343" s="945" t="str">
        <f>IF(ISNUMBER(I342),3.664*I338*(I340/100)*(I341/100),"")</f>
        <v/>
      </c>
      <c r="J343" s="945" t="str">
        <f>IF(ISNUMBER(J342),3.664*J338*(J340/100)*(J341/100),"")</f>
        <v/>
      </c>
      <c r="K343" s="945" t="str">
        <f>IF(ISNUMBER(K342),3.664*K338*(K340/100)*(K341/100),"")</f>
        <v/>
      </c>
      <c r="L343" s="945" t="str">
        <f>IF(ISNUMBER(L342),3.664*L338*(L340/100)*(L341/100),"")</f>
        <v/>
      </c>
      <c r="M343" s="945" t="str">
        <f>IF(ISNUMBER(M342),3.664*M338*(M340/100)*(M341/100),"")</f>
        <v/>
      </c>
      <c r="N343" s="266"/>
      <c r="O343" s="17"/>
    </row>
    <row r="344" spans="2:27" ht="12.75" customHeight="1" x14ac:dyDescent="0.25">
      <c r="B344" s="17"/>
      <c r="C344" s="900"/>
      <c r="D344" s="193" t="s">
        <v>423</v>
      </c>
      <c r="E344" s="1527" t="str">
        <f>Translations!$B$749</f>
        <v>Energy content (calculated)</v>
      </c>
      <c r="F344" s="1527"/>
      <c r="G344" s="1527"/>
      <c r="H344" s="946" t="str">
        <f>EUconst_TJpa</f>
        <v>TJ / year</v>
      </c>
      <c r="I344" s="841" t="str">
        <f>IF(COUNT(I338:I339)=2,I338*I339/1000,"")</f>
        <v/>
      </c>
      <c r="J344" s="841" t="str">
        <f>IF(COUNT(J338:J339)=2,J338*J339/1000,"")</f>
        <v/>
      </c>
      <c r="K344" s="841" t="str">
        <f>IF(COUNT(K338:K339)=2,K338*K339/1000,"")</f>
        <v/>
      </c>
      <c r="L344" s="841" t="str">
        <f>IF(COUNT(L338:L339)=2,L338*L339/1000,"")</f>
        <v/>
      </c>
      <c r="M344" s="841" t="str">
        <f>IF(COUNT(M338:M339)=2,M338*M339/1000,"")</f>
        <v/>
      </c>
      <c r="N344" s="266"/>
      <c r="O344" s="17"/>
    </row>
    <row r="345" spans="2:27" ht="12.75" customHeight="1" x14ac:dyDescent="0.25">
      <c r="B345" s="17"/>
      <c r="C345" s="900"/>
      <c r="D345" s="193" t="s">
        <v>356</v>
      </c>
      <c r="E345" s="1541" t="str">
        <f>Translations!$B$750</f>
        <v>Error messages (emissions)</v>
      </c>
      <c r="F345" s="1541"/>
      <c r="G345" s="1541"/>
      <c r="H345" s="947"/>
      <c r="I345" s="267" t="str">
        <f>IF(COUNT(I338,I340:I341)&gt;0,IF(COUNTIF(I339:I341,"&lt;0")&gt;0,EUconst_Negative,IF(COUNT(I338,I340:I341)&lt;3,EUconst_Incomplete,"")),"")</f>
        <v/>
      </c>
      <c r="J345" s="267" t="str">
        <f>IF(COUNT(J338,J340:J341)&gt;0,IF(COUNTIF(J339:J341,"&lt;0")&gt;0,EUconst_Negative,IF(COUNT(J338,J340:J341)&lt;3,EUconst_Incomplete,"")),"")</f>
        <v/>
      </c>
      <c r="K345" s="267" t="str">
        <f>IF(COUNT(K338,K340:K341)&gt;0,IF(COUNTIF(K339:K341,"&lt;0")&gt;0,EUconst_Negative,IF(COUNT(K338,K340:K341)&lt;3,EUconst_Incomplete,"")),"")</f>
        <v/>
      </c>
      <c r="L345" s="267" t="str">
        <f>IF(COUNT(L338,L340:L341)&gt;0,IF(COUNTIF(L339:L341,"&lt;0")&gt;0,EUconst_Negative,IF(COUNT(L338,L340:L341)&lt;3,EUconst_Incomplete,"")),"")</f>
        <v/>
      </c>
      <c r="M345" s="267" t="str">
        <f>IF(COUNT(M338,M340:M341)&gt;0,IF(COUNTIF(M339:M341,"&lt;0")&gt;0,EUconst_Negative,IF(COUNT(M338,M340:M341)&lt;3,EUconst_Incomplete,"")),"")</f>
        <v/>
      </c>
      <c r="N345" s="266"/>
      <c r="O345" s="17"/>
    </row>
    <row r="346" spans="2:27" ht="12.75" customHeight="1" x14ac:dyDescent="0.25">
      <c r="B346" s="17"/>
      <c r="C346" s="900"/>
      <c r="D346" s="342"/>
      <c r="E346" s="342"/>
      <c r="F346" s="342"/>
      <c r="G346" s="342"/>
      <c r="H346" s="342"/>
      <c r="I346" s="342"/>
      <c r="J346" s="342"/>
      <c r="K346" s="342"/>
      <c r="L346" s="342"/>
      <c r="M346" s="342"/>
      <c r="N346" s="266"/>
      <c r="O346" s="17"/>
    </row>
    <row r="347" spans="2:27" ht="12.75" customHeight="1" thickBot="1" x14ac:dyDescent="0.3">
      <c r="B347" s="17"/>
      <c r="C347" s="900"/>
      <c r="D347" s="157" t="s">
        <v>339</v>
      </c>
      <c r="E347" s="1511" t="str">
        <f>Translations!$B$753</f>
        <v>Amount of GHG imported or exported as feedstock</v>
      </c>
      <c r="F347" s="1512"/>
      <c r="G347" s="1512"/>
      <c r="H347" s="1512"/>
      <c r="I347" s="1512"/>
      <c r="J347" s="1512"/>
      <c r="K347" s="1512"/>
      <c r="L347" s="1512"/>
      <c r="M347" s="1512"/>
      <c r="N347" s="1513"/>
      <c r="O347" s="17"/>
    </row>
    <row r="348" spans="2:27" ht="12.75" customHeight="1" x14ac:dyDescent="0.25">
      <c r="B348" s="17"/>
      <c r="C348" s="900"/>
      <c r="D348" s="157"/>
      <c r="E348" s="1522"/>
      <c r="F348" s="1523"/>
      <c r="G348" s="1523"/>
      <c r="H348" s="152" t="str">
        <f>EUconst_Unit</f>
        <v>Unit</v>
      </c>
      <c r="I348" s="153">
        <f>I$1882</f>
        <v>2019</v>
      </c>
      <c r="J348" s="153">
        <f>J$1882</f>
        <v>2020</v>
      </c>
      <c r="K348" s="153">
        <f>K$1882</f>
        <v>2021</v>
      </c>
      <c r="L348" s="153">
        <f>L$1882</f>
        <v>2022</v>
      </c>
      <c r="M348" s="153">
        <f>M$1882</f>
        <v>2023</v>
      </c>
      <c r="N348" s="266"/>
      <c r="O348" s="17"/>
      <c r="R348" s="459"/>
      <c r="S348" s="326">
        <f>I348</f>
        <v>2019</v>
      </c>
      <c r="T348" s="326">
        <f>J348</f>
        <v>2020</v>
      </c>
      <c r="U348" s="326">
        <f>K348</f>
        <v>2021</v>
      </c>
      <c r="V348" s="326">
        <f>L348</f>
        <v>2022</v>
      </c>
      <c r="W348" s="327">
        <f>M348</f>
        <v>2023</v>
      </c>
    </row>
    <row r="349" spans="2:27" ht="12.75" customHeight="1" thickBot="1" x14ac:dyDescent="0.3">
      <c r="B349" s="17"/>
      <c r="C349" s="900"/>
      <c r="D349" s="193"/>
      <c r="E349" s="1528" t="str">
        <f>Translations!$B$756</f>
        <v>GHG imported or exported</v>
      </c>
      <c r="F349" s="1528"/>
      <c r="G349" s="1528"/>
      <c r="H349" s="154" t="str">
        <f>EUconst_tCO2epa</f>
        <v>t CO2e/year</v>
      </c>
      <c r="I349" s="311"/>
      <c r="J349" s="311"/>
      <c r="K349" s="311"/>
      <c r="L349" s="311"/>
      <c r="M349" s="311"/>
      <c r="N349" s="903"/>
      <c r="O349" s="17"/>
      <c r="P349" s="63" t="str">
        <f>EUconst_CNTR_CO2Feedstock &amp; I253</f>
        <v>EmCO2Feedstock_</v>
      </c>
      <c r="R349" s="460" t="str">
        <f>EUconst_CNTR_AttributedEmissions &amp; I253</f>
        <v>AttrEmissions_</v>
      </c>
      <c r="S349" s="389" t="str">
        <f>IF(S253,SUM(I349),"")</f>
        <v/>
      </c>
      <c r="T349" s="389" t="str">
        <f>IF(T253,SUM(J349),"")</f>
        <v/>
      </c>
      <c r="U349" s="389" t="str">
        <f>IF(U253,SUM(K349),"")</f>
        <v/>
      </c>
      <c r="V349" s="389" t="str">
        <f>IF(V253,SUM(L349),"")</f>
        <v/>
      </c>
      <c r="W349" s="390" t="str">
        <f>IF(W253,SUM(M349),"")</f>
        <v/>
      </c>
    </row>
    <row r="350" spans="2:27" ht="12.75" customHeight="1" x14ac:dyDescent="0.25">
      <c r="B350" s="17"/>
      <c r="C350" s="900"/>
      <c r="D350" s="342"/>
      <c r="E350" s="342"/>
      <c r="F350" s="342"/>
      <c r="G350" s="342"/>
      <c r="H350" s="342"/>
      <c r="I350" s="342"/>
      <c r="J350" s="342"/>
      <c r="K350" s="342"/>
      <c r="L350" s="342"/>
      <c r="M350" s="342"/>
      <c r="N350" s="266"/>
      <c r="O350" s="17"/>
    </row>
    <row r="351" spans="2:27" ht="12.75" customHeight="1" x14ac:dyDescent="0.25">
      <c r="B351" s="17"/>
      <c r="C351" s="900"/>
      <c r="D351" s="157" t="s">
        <v>357</v>
      </c>
      <c r="E351" s="1511" t="str">
        <f>Translations!$B$757</f>
        <v>Measurable heat import to and export from this sub-installation</v>
      </c>
      <c r="F351" s="1512"/>
      <c r="G351" s="1512"/>
      <c r="H351" s="1512"/>
      <c r="I351" s="1512"/>
      <c r="J351" s="1512"/>
      <c r="K351" s="1512"/>
      <c r="L351" s="1512"/>
      <c r="M351" s="1512"/>
      <c r="N351" s="1513"/>
      <c r="O351" s="17"/>
    </row>
    <row r="352" spans="2:27" ht="12.75" customHeight="1" thickBot="1" x14ac:dyDescent="0.3">
      <c r="B352" s="17"/>
      <c r="C352" s="900"/>
      <c r="D352" s="342"/>
      <c r="E352" s="1477" t="str">
        <f>Translations!$B$762</f>
        <v>For attributing emissions from cogeneration (CHP) to production of heat, the "CHP tool" in section D.III. of this template has to be used.</v>
      </c>
      <c r="F352" s="1477"/>
      <c r="G352" s="1477"/>
      <c r="H352" s="1477"/>
      <c r="I352" s="1477"/>
      <c r="J352" s="1477"/>
      <c r="K352" s="1477"/>
      <c r="L352" s="1477"/>
      <c r="M352" s="1477"/>
      <c r="N352" s="903"/>
      <c r="O352" s="17"/>
    </row>
    <row r="353" spans="2:27" ht="12.75" customHeight="1" x14ac:dyDescent="0.25">
      <c r="B353" s="17"/>
      <c r="C353" s="900"/>
      <c r="D353" s="342"/>
      <c r="E353" s="1522" t="str">
        <f>Translations!$B$763</f>
        <v>Total heat imported</v>
      </c>
      <c r="F353" s="1523"/>
      <c r="G353" s="1523"/>
      <c r="H353" s="152" t="str">
        <f>EUconst_Unit</f>
        <v>Unit</v>
      </c>
      <c r="I353" s="153">
        <f>I$1882</f>
        <v>2019</v>
      </c>
      <c r="J353" s="153">
        <f>J$1882</f>
        <v>2020</v>
      </c>
      <c r="K353" s="153">
        <f>K$1882</f>
        <v>2021</v>
      </c>
      <c r="L353" s="153">
        <f>L$1882</f>
        <v>2022</v>
      </c>
      <c r="M353" s="153">
        <f>M$1882</f>
        <v>2023</v>
      </c>
      <c r="N353" s="903"/>
      <c r="O353" s="17"/>
      <c r="R353" s="459"/>
      <c r="S353" s="326">
        <f>I353</f>
        <v>2019</v>
      </c>
      <c r="T353" s="326">
        <f>J353</f>
        <v>2020</v>
      </c>
      <c r="U353" s="326">
        <f>K353</f>
        <v>2021</v>
      </c>
      <c r="V353" s="326">
        <f>L353</f>
        <v>2022</v>
      </c>
      <c r="W353" s="327">
        <f>M353</f>
        <v>2023</v>
      </c>
    </row>
    <row r="354" spans="2:27" ht="12.75" customHeight="1" x14ac:dyDescent="0.25">
      <c r="B354" s="17"/>
      <c r="C354" s="900"/>
      <c r="D354" s="193" t="s">
        <v>206</v>
      </c>
      <c r="E354" s="1528" t="str">
        <f>Translations!$B$764</f>
        <v>Net heat imported</v>
      </c>
      <c r="F354" s="1528"/>
      <c r="G354" s="1528"/>
      <c r="H354" s="154" t="str">
        <f>EUconst_TJpa</f>
        <v>TJ / year</v>
      </c>
      <c r="I354" s="311"/>
      <c r="J354" s="311"/>
      <c r="K354" s="311"/>
      <c r="L354" s="311"/>
      <c r="M354" s="311"/>
      <c r="N354" s="277"/>
      <c r="O354" s="17"/>
      <c r="P354" s="63" t="str">
        <f>EUconst_CNTR_HeatImport &amp; I253</f>
        <v>HeatIm_</v>
      </c>
      <c r="R354" s="464" t="str">
        <f>EUconst_ERR_AttrEmBMapplied &amp; I253</f>
        <v>ERR_AttrEmBM_</v>
      </c>
      <c r="S354" s="63">
        <f>IF(AND(I354&lt;&gt;0,I355="",EUconst_StatusOfDataCollection=FALSE),1,0)</f>
        <v>0</v>
      </c>
      <c r="T354" s="63">
        <f>IF(AND(J354&lt;&gt;0,J355="",EUconst_StatusOfDataCollection=FALSE),1,0)</f>
        <v>0</v>
      </c>
      <c r="U354" s="63">
        <f>IF(AND(K354&lt;&gt;0,K355="",EUconst_StatusOfDataCollection=FALSE),1,0)</f>
        <v>0</v>
      </c>
      <c r="V354" s="63">
        <f>IF(AND(L354&lt;&gt;0,L355="",EUconst_StatusOfDataCollection=FALSE),1,0)</f>
        <v>0</v>
      </c>
      <c r="W354" s="803">
        <f>IF(AND(M354&lt;&gt;0,M355="",EUconst_StatusOfDataCollection=FALSE),1,0)</f>
        <v>0</v>
      </c>
      <c r="X354" s="28"/>
    </row>
    <row r="355" spans="2:27" ht="12.75" customHeight="1" thickBot="1" x14ac:dyDescent="0.3">
      <c r="B355" s="17"/>
      <c r="C355" s="900"/>
      <c r="D355" s="193" t="s">
        <v>208</v>
      </c>
      <c r="E355" s="1528" t="str">
        <f>Translations!$B$765</f>
        <v>Specific EF (imported heat)</v>
      </c>
      <c r="F355" s="1528"/>
      <c r="G355" s="1528"/>
      <c r="H355" s="154" t="str">
        <f>EUconst_tCO2pTJ</f>
        <v>t CO2 / TJ</v>
      </c>
      <c r="I355" s="1065"/>
      <c r="J355" s="1065"/>
      <c r="K355" s="1065"/>
      <c r="L355" s="1065"/>
      <c r="M355" s="1065"/>
      <c r="N355" s="266"/>
      <c r="O355" s="17"/>
      <c r="P355" s="63" t="str">
        <f>EUconst_CNTR_HeatImportEF &amp; I253</f>
        <v>HeatImEF_</v>
      </c>
      <c r="R355" s="460" t="str">
        <f>EUconst_CNTR_AttributedEmissions &amp; I253</f>
        <v>AttrEmissions_</v>
      </c>
      <c r="S355" s="389" t="str">
        <f>IF(S253,SUM(I354)*IF(ISNUMBER(I355),I355,EUconst_HeatBMvalueForBM),"")</f>
        <v/>
      </c>
      <c r="T355" s="389" t="str">
        <f>IF(T253,SUM(J354)*IF(ISNUMBER(J355),J355,EUconst_HeatBMvalueForBM),"")</f>
        <v/>
      </c>
      <c r="U355" s="389" t="str">
        <f>IF(U253,SUM(K354)*IF(ISNUMBER(K355),K355,EUconst_HeatBMvalueForBM),"")</f>
        <v/>
      </c>
      <c r="V355" s="389" t="str">
        <f>IF(V253,SUM(L354)*IF(ISNUMBER(L355),L355,EUconst_HeatBMvalueForBM),"")</f>
        <v/>
      </c>
      <c r="W355" s="390" t="str">
        <f>IF(W253,SUM(M354)*IF(ISNUMBER(M355),M355,EUconst_HeatBMvalueForBM),"")</f>
        <v/>
      </c>
    </row>
    <row r="356" spans="2:27" ht="5.0999999999999996" customHeight="1" x14ac:dyDescent="0.25">
      <c r="B356" s="17"/>
      <c r="C356" s="900"/>
      <c r="D356" s="342"/>
      <c r="E356" s="342"/>
      <c r="F356" s="342"/>
      <c r="G356" s="342"/>
      <c r="H356" s="342"/>
      <c r="I356" s="342"/>
      <c r="J356" s="342"/>
      <c r="K356" s="342"/>
      <c r="L356" s="342"/>
      <c r="M356" s="342"/>
      <c r="N356" s="266"/>
      <c r="O356" s="17"/>
    </row>
    <row r="357" spans="2:27" ht="12.75" customHeight="1" x14ac:dyDescent="0.25">
      <c r="B357" s="17"/>
      <c r="C357" s="900"/>
      <c r="D357" s="342"/>
      <c r="E357" s="1522" t="str">
        <f>Translations!$B$766</f>
        <v>Special heat import</v>
      </c>
      <c r="F357" s="1522"/>
      <c r="G357" s="1522"/>
      <c r="H357" s="152" t="str">
        <f>EUconst_Unit</f>
        <v>Unit</v>
      </c>
      <c r="I357" s="153">
        <f>I$1882</f>
        <v>2019</v>
      </c>
      <c r="J357" s="153">
        <f>J$1882</f>
        <v>2020</v>
      </c>
      <c r="K357" s="153">
        <f>K$1882</f>
        <v>2021</v>
      </c>
      <c r="L357" s="153">
        <f>L$1882</f>
        <v>2022</v>
      </c>
      <c r="M357" s="153">
        <f>M$1882</f>
        <v>2023</v>
      </c>
      <c r="N357" s="903"/>
      <c r="O357" s="17"/>
    </row>
    <row r="358" spans="2:27" ht="12.75" customHeight="1" x14ac:dyDescent="0.25">
      <c r="B358" s="17"/>
      <c r="C358" s="900"/>
      <c r="D358" s="193" t="s">
        <v>209</v>
      </c>
      <c r="E358" s="1528" t="str">
        <f>Translations!$B$820</f>
        <v>Net heat imported from pulp</v>
      </c>
      <c r="F358" s="1528"/>
      <c r="G358" s="1528"/>
      <c r="H358" s="154" t="str">
        <f>EUconst_TJpa</f>
        <v>TJ / year</v>
      </c>
      <c r="I358" s="948"/>
      <c r="J358" s="948"/>
      <c r="K358" s="948"/>
      <c r="L358" s="948"/>
      <c r="M358" s="948"/>
      <c r="N358" s="277"/>
      <c r="O358" s="17"/>
      <c r="P358" s="63" t="str">
        <f>EUconst_CNTR_HeatImportPulp &amp; I253</f>
        <v>HeatImPulp_</v>
      </c>
    </row>
    <row r="359" spans="2:27" ht="12.75" customHeight="1" x14ac:dyDescent="0.25">
      <c r="B359" s="17"/>
      <c r="C359" s="900"/>
      <c r="D359" s="193" t="s">
        <v>210</v>
      </c>
      <c r="E359" s="1528" t="str">
        <f>Translations!$B$768</f>
        <v>Net heat imported from nitric acid sub-installation</v>
      </c>
      <c r="F359" s="1528"/>
      <c r="G359" s="1528"/>
      <c r="H359" s="154" t="str">
        <f>EUconst_TJpa</f>
        <v>TJ / year</v>
      </c>
      <c r="I359" s="311"/>
      <c r="J359" s="311"/>
      <c r="K359" s="311"/>
      <c r="L359" s="311"/>
      <c r="M359" s="311"/>
      <c r="N359" s="277"/>
      <c r="O359" s="17"/>
      <c r="P359" s="63" t="str">
        <f>EUconst_CNTR_HeatImportNitric &amp; I253</f>
        <v>HeatImNitric_</v>
      </c>
    </row>
    <row r="360" spans="2:27" ht="5.0999999999999996" customHeight="1" thickBot="1" x14ac:dyDescent="0.3">
      <c r="B360" s="17"/>
      <c r="C360" s="900"/>
      <c r="D360" s="342"/>
      <c r="E360" s="342"/>
      <c r="F360" s="342"/>
      <c r="G360" s="342"/>
      <c r="H360" s="342"/>
      <c r="I360" s="342"/>
      <c r="J360" s="342"/>
      <c r="K360" s="342"/>
      <c r="L360" s="342"/>
      <c r="M360" s="342"/>
      <c r="N360" s="266"/>
      <c r="O360" s="17"/>
    </row>
    <row r="361" spans="2:27" ht="12.75" customHeight="1" x14ac:dyDescent="0.25">
      <c r="B361" s="17"/>
      <c r="C361" s="900"/>
      <c r="D361" s="342"/>
      <c r="E361" s="1522" t="str">
        <f>Translations!$B$769</f>
        <v>Total heat exported</v>
      </c>
      <c r="F361" s="1522"/>
      <c r="G361" s="1522"/>
      <c r="H361" s="152" t="str">
        <f>EUconst_Unit</f>
        <v>Unit</v>
      </c>
      <c r="I361" s="153">
        <f>I$1882</f>
        <v>2019</v>
      </c>
      <c r="J361" s="153">
        <f>J$1882</f>
        <v>2020</v>
      </c>
      <c r="K361" s="153">
        <f>K$1882</f>
        <v>2021</v>
      </c>
      <c r="L361" s="153">
        <f>L$1882</f>
        <v>2022</v>
      </c>
      <c r="M361" s="153">
        <f>M$1882</f>
        <v>2023</v>
      </c>
      <c r="N361" s="903"/>
      <c r="O361" s="17"/>
      <c r="R361" s="459"/>
      <c r="S361" s="326">
        <f>I361</f>
        <v>2019</v>
      </c>
      <c r="T361" s="326">
        <f>J361</f>
        <v>2020</v>
      </c>
      <c r="U361" s="326">
        <f>K361</f>
        <v>2021</v>
      </c>
      <c r="V361" s="326">
        <f>L361</f>
        <v>2022</v>
      </c>
      <c r="W361" s="327">
        <f>M361</f>
        <v>2023</v>
      </c>
    </row>
    <row r="362" spans="2:27" ht="12.75" customHeight="1" x14ac:dyDescent="0.25">
      <c r="B362" s="17"/>
      <c r="C362" s="900"/>
      <c r="D362" s="193" t="s">
        <v>220</v>
      </c>
      <c r="E362" s="1528" t="str">
        <f>Translations!$B$770</f>
        <v>Net heat exported</v>
      </c>
      <c r="F362" s="1528"/>
      <c r="G362" s="1528"/>
      <c r="H362" s="154" t="str">
        <f>EUconst_TJpa</f>
        <v>TJ / year</v>
      </c>
      <c r="I362" s="311"/>
      <c r="J362" s="311"/>
      <c r="K362" s="311"/>
      <c r="L362" s="311"/>
      <c r="M362" s="311"/>
      <c r="N362" s="277"/>
      <c r="O362" s="17"/>
      <c r="P362" s="63" t="str">
        <f>EUconst_CNTR_HeatExport &amp; I253</f>
        <v>HeatEx_</v>
      </c>
      <c r="R362" s="464" t="str">
        <f>EUconst_ERR_AttrEmBMapplied &amp; I253</f>
        <v>ERR_AttrEmBM_</v>
      </c>
      <c r="S362" s="63">
        <f>IF(AND(I362&lt;&gt;0,I363="",EUconst_StatusOfDataCollection=FALSE),1,0)</f>
        <v>0</v>
      </c>
      <c r="T362" s="63">
        <f>IF(AND(J362&lt;&gt;0,J363="",EUconst_StatusOfDataCollection=FALSE),1,0)</f>
        <v>0</v>
      </c>
      <c r="U362" s="63">
        <f>IF(AND(K362&lt;&gt;0,K363="",EUconst_StatusOfDataCollection=FALSE),1,0)</f>
        <v>0</v>
      </c>
      <c r="V362" s="63">
        <f>IF(AND(L362&lt;&gt;0,L363="",EUconst_StatusOfDataCollection=FALSE),1,0)</f>
        <v>0</v>
      </c>
      <c r="W362" s="803">
        <f>IF(AND(M362&lt;&gt;0,M363="",EUconst_StatusOfDataCollection=FALSE),1,0)</f>
        <v>0</v>
      </c>
    </row>
    <row r="363" spans="2:27" ht="12.75" customHeight="1" thickBot="1" x14ac:dyDescent="0.3">
      <c r="B363" s="17"/>
      <c r="C363" s="900"/>
      <c r="D363" s="193" t="s">
        <v>221</v>
      </c>
      <c r="E363" s="1528" t="str">
        <f>Translations!$B$771</f>
        <v>Specific EF (exported heat)</v>
      </c>
      <c r="F363" s="1528"/>
      <c r="G363" s="1528"/>
      <c r="H363" s="154" t="str">
        <f>EUconst_tCO2pTJ</f>
        <v>t CO2 / TJ</v>
      </c>
      <c r="I363" s="1065"/>
      <c r="J363" s="1065"/>
      <c r="K363" s="1065"/>
      <c r="L363" s="1065"/>
      <c r="M363" s="1065"/>
      <c r="N363" s="266"/>
      <c r="O363" s="17"/>
      <c r="P363" s="63" t="str">
        <f>EUconst_CNTR_HeatExportEF &amp; I253</f>
        <v>HeatExEF_</v>
      </c>
      <c r="R363" s="460" t="str">
        <f>EUconst_CNTR_AttributedEmissions &amp; I253</f>
        <v>AttrEmissions_</v>
      </c>
      <c r="S363" s="389" t="str">
        <f>IF(S253,-SUM(I362)*IF(INDEX(EUconst_BMlistNumberOfBM,MATCH($I253,EUconst_BMlistNames,0))=39,0,IF(ISNUMBER(I363),I363,EUconst_HeatBMvalueForBM)),"")</f>
        <v/>
      </c>
      <c r="T363" s="389" t="str">
        <f>IF(T253,-SUM(J362)*IF(INDEX(EUconst_BMlistNumberOfBM,MATCH($I253,EUconst_BMlistNames,0))=39,0,IF(ISNUMBER(J363),J363,EUconst_HeatBMvalueForBM)),"")</f>
        <v/>
      </c>
      <c r="U363" s="389" t="str">
        <f>IF(U253,-SUM(K362)*IF(INDEX(EUconst_BMlistNumberOfBM,MATCH($I253,EUconst_BMlistNames,0))=39,0,IF(ISNUMBER(K363),K363,EUconst_HeatBMvalueForBM)),"")</f>
        <v/>
      </c>
      <c r="V363" s="389" t="str">
        <f>IF(V253,-SUM(L362)*IF(INDEX(EUconst_BMlistNumberOfBM,MATCH($I253,EUconst_BMlistNames,0))=39,0,IF(ISNUMBER(L363),L363,EUconst_HeatBMvalueForBM)),"")</f>
        <v/>
      </c>
      <c r="W363" s="390" t="str">
        <f>IF(W253,-SUM(M362)*IF(INDEX(EUconst_BMlistNumberOfBM,MATCH($I253,EUconst_BMlistNames,0))=39,0,IF(ISNUMBER(M363),M363,EUconst_HeatBMvalueForBM)),"")</f>
        <v/>
      </c>
    </row>
    <row r="364" spans="2:27" ht="12.75" customHeight="1" x14ac:dyDescent="0.25">
      <c r="B364" s="17"/>
      <c r="C364" s="900"/>
      <c r="D364" s="342"/>
      <c r="E364" s="342"/>
      <c r="F364" s="342"/>
      <c r="G364" s="342"/>
      <c r="H364" s="342"/>
      <c r="I364" s="342"/>
      <c r="J364" s="342"/>
      <c r="K364" s="342"/>
      <c r="L364" s="342"/>
      <c r="M364" s="342"/>
      <c r="N364" s="266"/>
      <c r="O364" s="17"/>
    </row>
    <row r="365" spans="2:27" ht="12.75" customHeight="1" x14ac:dyDescent="0.25">
      <c r="B365" s="17"/>
      <c r="C365" s="900"/>
      <c r="D365" s="157" t="s">
        <v>358</v>
      </c>
      <c r="E365" s="1511" t="str">
        <f>Translations!$B$772</f>
        <v>Waste gas balance for this sub-installation</v>
      </c>
      <c r="F365" s="1512"/>
      <c r="G365" s="1512"/>
      <c r="H365" s="1512"/>
      <c r="I365" s="1512"/>
      <c r="J365" s="1512"/>
      <c r="K365" s="1512"/>
      <c r="L365" s="1512"/>
      <c r="M365" s="1512"/>
      <c r="N365" s="1513"/>
      <c r="O365" s="17"/>
    </row>
    <row r="366" spans="2:27" ht="5.0999999999999996" customHeight="1" thickBot="1" x14ac:dyDescent="0.3">
      <c r="B366" s="17"/>
      <c r="C366" s="900"/>
      <c r="D366" s="342"/>
      <c r="E366" s="1533"/>
      <c r="F366" s="1533"/>
      <c r="G366" s="1533"/>
      <c r="H366" s="1533"/>
      <c r="I366" s="1533"/>
      <c r="J366" s="1533"/>
      <c r="K366" s="1533"/>
      <c r="L366" s="1533"/>
      <c r="M366" s="1533"/>
      <c r="N366" s="1537"/>
      <c r="O366" s="17"/>
    </row>
    <row r="367" spans="2:27" ht="12.75" customHeight="1" thickBot="1" x14ac:dyDescent="0.3">
      <c r="B367" s="17"/>
      <c r="C367" s="900"/>
      <c r="D367" s="193" t="s">
        <v>206</v>
      </c>
      <c r="E367" s="1538" t="str">
        <f>Translations!$B$773</f>
        <v>Are waste gases relevant for this sub-installation?</v>
      </c>
      <c r="F367" s="1538"/>
      <c r="G367" s="1538"/>
      <c r="H367" s="1538"/>
      <c r="I367" s="1538"/>
      <c r="J367" s="1538"/>
      <c r="K367" s="1539"/>
      <c r="L367" s="194"/>
      <c r="M367" s="762"/>
      <c r="N367" s="763"/>
      <c r="O367" s="17"/>
      <c r="W367" s="288" t="s">
        <v>418</v>
      </c>
      <c r="X367" s="215" t="b">
        <f>IF(AND(I253&lt;&gt;"",ISBLANK(L367)),EUconst_Error&amp;"BM"&amp;C253,FALSE)</f>
        <v>0</v>
      </c>
    </row>
    <row r="368" spans="2:27" ht="5.0999999999999996" customHeight="1" thickBot="1" x14ac:dyDescent="0.3">
      <c r="B368" s="17"/>
      <c r="C368" s="900"/>
      <c r="D368" s="342"/>
      <c r="E368" s="1533"/>
      <c r="F368" s="1512"/>
      <c r="G368" s="1512"/>
      <c r="H368" s="1512"/>
      <c r="I368" s="1512"/>
      <c r="J368" s="1512"/>
      <c r="K368" s="1512"/>
      <c r="L368" s="1512"/>
      <c r="M368" s="1512"/>
      <c r="N368" s="1513"/>
      <c r="O368" s="17"/>
      <c r="AA368" s="145" t="s">
        <v>396</v>
      </c>
    </row>
    <row r="369" spans="2:27" ht="12.75" customHeight="1" x14ac:dyDescent="0.25">
      <c r="B369" s="17"/>
      <c r="C369" s="900"/>
      <c r="D369" s="193" t="s">
        <v>208</v>
      </c>
      <c r="E369" s="1529" t="str">
        <f>Translations!$B$775</f>
        <v>Types of waste gases produced:</v>
      </c>
      <c r="F369" s="1529"/>
      <c r="G369" s="1529"/>
      <c r="H369" s="1529"/>
      <c r="I369" s="1530"/>
      <c r="J369" s="1531"/>
      <c r="K369" s="1531"/>
      <c r="L369" s="1531"/>
      <c r="M369" s="1532"/>
      <c r="N369" s="763"/>
      <c r="O369" s="17"/>
      <c r="AA369" s="316" t="b">
        <f>IF(I253&lt;&gt;"",AND(L367&lt;&gt;"",L367=FALSE),FALSE)</f>
        <v>0</v>
      </c>
    </row>
    <row r="370" spans="2:27" ht="5.0999999999999996" customHeight="1" x14ac:dyDescent="0.25">
      <c r="B370" s="17"/>
      <c r="C370" s="900"/>
      <c r="D370" s="342"/>
      <c r="E370" s="1533"/>
      <c r="F370" s="1512"/>
      <c r="G370" s="1512"/>
      <c r="H370" s="1512"/>
      <c r="I370" s="1512"/>
      <c r="J370" s="1512"/>
      <c r="K370" s="1512"/>
      <c r="L370" s="1512"/>
      <c r="M370" s="1512"/>
      <c r="N370" s="1513"/>
      <c r="O370" s="17"/>
      <c r="AA370" s="815"/>
    </row>
    <row r="371" spans="2:27" ht="12.75" customHeight="1" x14ac:dyDescent="0.25">
      <c r="B371" s="17"/>
      <c r="C371" s="900"/>
      <c r="D371" s="342"/>
      <c r="E371" s="1522"/>
      <c r="F371" s="1523"/>
      <c r="G371" s="1523"/>
      <c r="H371" s="152" t="str">
        <f>EUconst_Unit</f>
        <v>Unit</v>
      </c>
      <c r="I371" s="153">
        <f>I$1882</f>
        <v>2019</v>
      </c>
      <c r="J371" s="153">
        <f>J$1882</f>
        <v>2020</v>
      </c>
      <c r="K371" s="153">
        <f>K$1882</f>
        <v>2021</v>
      </c>
      <c r="L371" s="153">
        <f>L$1882</f>
        <v>2022</v>
      </c>
      <c r="M371" s="153">
        <f>M$1882</f>
        <v>2023</v>
      </c>
      <c r="N371" s="903"/>
      <c r="O371" s="17"/>
      <c r="AA371" s="815"/>
    </row>
    <row r="372" spans="2:27" ht="12.75" customHeight="1" x14ac:dyDescent="0.25">
      <c r="B372" s="17"/>
      <c r="C372" s="900"/>
      <c r="D372" s="193" t="s">
        <v>209</v>
      </c>
      <c r="E372" s="1526" t="str">
        <f>Translations!$B$777</f>
        <v>Amounts produced</v>
      </c>
      <c r="F372" s="1526"/>
      <c r="G372" s="1526"/>
      <c r="H372" s="949" t="s">
        <v>427</v>
      </c>
      <c r="I372" s="889"/>
      <c r="J372" s="889"/>
      <c r="K372" s="889"/>
      <c r="L372" s="889"/>
      <c r="M372" s="889"/>
      <c r="N372" s="903"/>
      <c r="O372" s="17"/>
      <c r="AA372" s="285" t="b">
        <f>AA369</f>
        <v>0</v>
      </c>
    </row>
    <row r="373" spans="2:27" ht="12.75" customHeight="1" x14ac:dyDescent="0.25">
      <c r="B373" s="17"/>
      <c r="C373" s="900"/>
      <c r="D373" s="193" t="s">
        <v>210</v>
      </c>
      <c r="E373" s="1527" t="str">
        <f>Translations!$B$470</f>
        <v>Net calorific value</v>
      </c>
      <c r="F373" s="1527"/>
      <c r="G373" s="1527"/>
      <c r="H373" s="950" t="str">
        <f>IF(ISBLANK(H372),EUconst_GJperUnit,INDEX(EUconst_GJperTorKNm3,MATCH(H372,EUconst_TonnesOrkNm3pa,0)))</f>
        <v>GJ/1000Nm3</v>
      </c>
      <c r="I373" s="895"/>
      <c r="J373" s="895"/>
      <c r="K373" s="895"/>
      <c r="L373" s="895"/>
      <c r="M373" s="895"/>
      <c r="N373" s="903"/>
      <c r="O373" s="17"/>
      <c r="AA373" s="285" t="b">
        <f>AA372</f>
        <v>0</v>
      </c>
    </row>
    <row r="374" spans="2:27" ht="12.75" customHeight="1" x14ac:dyDescent="0.25">
      <c r="B374" s="17"/>
      <c r="C374" s="900"/>
      <c r="D374" s="193" t="s">
        <v>220</v>
      </c>
      <c r="E374" s="1528" t="str">
        <f>Translations!$B$778</f>
        <v>Waste gas produced</v>
      </c>
      <c r="F374" s="1528"/>
      <c r="G374" s="1528"/>
      <c r="H374" s="154" t="str">
        <f>EUconst_TJpa</f>
        <v>TJ / year</v>
      </c>
      <c r="I374" s="951" t="str">
        <f>IF(COUNT(I372:I373)=2,I372*I373/1000,"")</f>
        <v/>
      </c>
      <c r="J374" s="951" t="str">
        <f>IF(COUNT(J372:J373)=2,J372*J373/1000,"")</f>
        <v/>
      </c>
      <c r="K374" s="951" t="str">
        <f>IF(COUNT(K372:K373)=2,K372*K373/1000,"")</f>
        <v/>
      </c>
      <c r="L374" s="951" t="str">
        <f>IF(COUNT(L372:L373)=2,L372*L373/1000,"")</f>
        <v/>
      </c>
      <c r="M374" s="951" t="str">
        <f>IF(COUNT(M372:M373)=2,M372*M373/1000,"")</f>
        <v/>
      </c>
      <c r="N374" s="903"/>
      <c r="O374" s="17"/>
      <c r="P374" s="63" t="str">
        <f>EUconst_CNTR_WGProduced &amp; I253</f>
        <v>WasteGasProd_</v>
      </c>
      <c r="AA374" s="815"/>
    </row>
    <row r="375" spans="2:27" ht="12.75" customHeight="1" x14ac:dyDescent="0.25">
      <c r="B375" s="17"/>
      <c r="C375" s="900"/>
      <c r="D375" s="193" t="s">
        <v>221</v>
      </c>
      <c r="E375" s="1528" t="str">
        <f>Translations!$B$779</f>
        <v>Specific EF (produced waste gas)</v>
      </c>
      <c r="F375" s="1528"/>
      <c r="G375" s="1528"/>
      <c r="H375" s="154" t="str">
        <f>EUconst_tCO2pTJ</f>
        <v>t CO2 / TJ</v>
      </c>
      <c r="I375" s="311"/>
      <c r="J375" s="311"/>
      <c r="K375" s="311"/>
      <c r="L375" s="311"/>
      <c r="M375" s="311"/>
      <c r="N375" s="266"/>
      <c r="O375" s="17"/>
      <c r="P375" s="63" t="str">
        <f>EUconst_CNTR_WGProducedEF &amp; I253</f>
        <v>WasteGasProdEF_</v>
      </c>
      <c r="AA375" s="285" t="b">
        <f>AA373</f>
        <v>0</v>
      </c>
    </row>
    <row r="376" spans="2:27" ht="12.75" customHeight="1" x14ac:dyDescent="0.25">
      <c r="B376" s="17"/>
      <c r="C376" s="900"/>
      <c r="D376" s="342"/>
      <c r="E376" s="342"/>
      <c r="F376" s="342"/>
      <c r="G376" s="342"/>
      <c r="H376" s="342"/>
      <c r="I376" s="342"/>
      <c r="J376" s="342"/>
      <c r="K376" s="342"/>
      <c r="L376" s="342"/>
      <c r="M376" s="342"/>
      <c r="N376" s="266"/>
      <c r="O376" s="17"/>
      <c r="AA376" s="815"/>
    </row>
    <row r="377" spans="2:27" ht="12.75" customHeight="1" x14ac:dyDescent="0.25">
      <c r="B377" s="17"/>
      <c r="C377" s="900"/>
      <c r="D377" s="193" t="s">
        <v>222</v>
      </c>
      <c r="E377" s="1529" t="str">
        <f>Translations!$B$780</f>
        <v>Types of waste gases consumed:</v>
      </c>
      <c r="F377" s="1529"/>
      <c r="G377" s="1529"/>
      <c r="H377" s="1529"/>
      <c r="I377" s="1530"/>
      <c r="J377" s="1531"/>
      <c r="K377" s="1531"/>
      <c r="L377" s="1531"/>
      <c r="M377" s="1532"/>
      <c r="N377" s="763"/>
      <c r="O377" s="17"/>
      <c r="AA377" s="285" t="b">
        <f>AA375</f>
        <v>0</v>
      </c>
    </row>
    <row r="378" spans="2:27" ht="5.0999999999999996" customHeight="1" x14ac:dyDescent="0.25">
      <c r="B378" s="17"/>
      <c r="C378" s="900"/>
      <c r="D378" s="193"/>
      <c r="E378" s="1533"/>
      <c r="F378" s="1512"/>
      <c r="G378" s="1512"/>
      <c r="H378" s="1512"/>
      <c r="I378" s="1512"/>
      <c r="J378" s="1512"/>
      <c r="K378" s="1512"/>
      <c r="L378" s="1512"/>
      <c r="M378" s="1512"/>
      <c r="N378" s="1513"/>
      <c r="O378" s="17"/>
      <c r="AA378" s="815"/>
    </row>
    <row r="379" spans="2:27" ht="12.75" customHeight="1" x14ac:dyDescent="0.25">
      <c r="B379" s="17"/>
      <c r="C379" s="900"/>
      <c r="D379" s="342"/>
      <c r="E379" s="1522"/>
      <c r="F379" s="1523"/>
      <c r="G379" s="1523"/>
      <c r="H379" s="152" t="str">
        <f>EUconst_Unit</f>
        <v>Unit</v>
      </c>
      <c r="I379" s="153">
        <f>I$1882</f>
        <v>2019</v>
      </c>
      <c r="J379" s="153">
        <f>J$1882</f>
        <v>2020</v>
      </c>
      <c r="K379" s="153">
        <f>K$1882</f>
        <v>2021</v>
      </c>
      <c r="L379" s="153">
        <f>L$1882</f>
        <v>2022</v>
      </c>
      <c r="M379" s="153">
        <f>M$1882</f>
        <v>2023</v>
      </c>
      <c r="N379" s="903"/>
      <c r="O379" s="17"/>
      <c r="AA379" s="815"/>
    </row>
    <row r="380" spans="2:27" ht="12.75" customHeight="1" x14ac:dyDescent="0.25">
      <c r="B380" s="17"/>
      <c r="C380" s="900"/>
      <c r="D380" s="193" t="s">
        <v>223</v>
      </c>
      <c r="E380" s="1526" t="str">
        <f>Translations!$B$782</f>
        <v>Amounts consumed</v>
      </c>
      <c r="F380" s="1526"/>
      <c r="G380" s="1526"/>
      <c r="H380" s="949" t="s">
        <v>427</v>
      </c>
      <c r="I380" s="889"/>
      <c r="J380" s="889"/>
      <c r="K380" s="889"/>
      <c r="L380" s="889"/>
      <c r="M380" s="889"/>
      <c r="N380" s="903"/>
      <c r="O380" s="17"/>
      <c r="AA380" s="285" t="b">
        <f>AA377</f>
        <v>0</v>
      </c>
    </row>
    <row r="381" spans="2:27" ht="12.75" customHeight="1" x14ac:dyDescent="0.25">
      <c r="B381" s="17"/>
      <c r="C381" s="900"/>
      <c r="D381" s="193" t="s">
        <v>224</v>
      </c>
      <c r="E381" s="1527" t="str">
        <f>Translations!$B$470</f>
        <v>Net calorific value</v>
      </c>
      <c r="F381" s="1527"/>
      <c r="G381" s="1527"/>
      <c r="H381" s="950" t="str">
        <f>IF(ISBLANK(H380),EUconst_GJperUnit,INDEX(EUconst_GJperTorKNm3,MATCH(H380,EUconst_TonnesOrkNm3pa,0)))</f>
        <v>GJ/1000Nm3</v>
      </c>
      <c r="I381" s="895"/>
      <c r="J381" s="895"/>
      <c r="K381" s="895"/>
      <c r="L381" s="895"/>
      <c r="M381" s="895"/>
      <c r="N381" s="903"/>
      <c r="O381" s="17"/>
      <c r="AA381" s="285" t="b">
        <f>AA380</f>
        <v>0</v>
      </c>
    </row>
    <row r="382" spans="2:27" ht="12.75" customHeight="1" x14ac:dyDescent="0.25">
      <c r="B382" s="17"/>
      <c r="C382" s="900"/>
      <c r="D382" s="193" t="s">
        <v>345</v>
      </c>
      <c r="E382" s="1528" t="str">
        <f>Translations!$B$783</f>
        <v>Waste gas consumed</v>
      </c>
      <c r="F382" s="1528"/>
      <c r="G382" s="1528"/>
      <c r="H382" s="154" t="str">
        <f>EUconst_TJpa</f>
        <v>TJ / year</v>
      </c>
      <c r="I382" s="951" t="str">
        <f>IF(COUNT(I380:I381)=2,I380*I381/1000,"")</f>
        <v/>
      </c>
      <c r="J382" s="951" t="str">
        <f>IF(COUNT(J380:J381)=2,J380*J381/1000,"")</f>
        <v/>
      </c>
      <c r="K382" s="951" t="str">
        <f>IF(COUNT(K380:K381)=2,K380*K381/1000,"")</f>
        <v/>
      </c>
      <c r="L382" s="951" t="str">
        <f>IF(COUNT(L380:L381)=2,L380*L381/1000,"")</f>
        <v/>
      </c>
      <c r="M382" s="951" t="str">
        <f>IF(COUNT(M380:M381)=2,M380*M381/1000,"")</f>
        <v/>
      </c>
      <c r="N382" s="903"/>
      <c r="O382" s="17"/>
      <c r="P382" s="63" t="str">
        <f>EUconst_CNTR_WGConsumed &amp; I253</f>
        <v>WasteGasCons_</v>
      </c>
      <c r="AA382" s="815"/>
    </row>
    <row r="383" spans="2:27" ht="12.75" customHeight="1" x14ac:dyDescent="0.25">
      <c r="B383" s="17"/>
      <c r="C383" s="900"/>
      <c r="D383" s="193" t="s">
        <v>346</v>
      </c>
      <c r="E383" s="1528" t="str">
        <f>Translations!$B$784</f>
        <v>Specific EF (consumed waste gas)</v>
      </c>
      <c r="F383" s="1528"/>
      <c r="G383" s="1528"/>
      <c r="H383" s="154" t="str">
        <f>EUconst_tCO2pTJ</f>
        <v>t CO2 / TJ</v>
      </c>
      <c r="I383" s="311"/>
      <c r="J383" s="311"/>
      <c r="K383" s="311"/>
      <c r="L383" s="311"/>
      <c r="M383" s="311"/>
      <c r="N383" s="266"/>
      <c r="O383" s="17"/>
      <c r="P383" s="63" t="str">
        <f>EUconst_CNTR_WGConsumedEF &amp; I253</f>
        <v>WasteGasConsEF_</v>
      </c>
      <c r="AA383" s="285" t="b">
        <f>AA381</f>
        <v>0</v>
      </c>
    </row>
    <row r="384" spans="2:27" ht="12.75" customHeight="1" x14ac:dyDescent="0.25">
      <c r="B384" s="17"/>
      <c r="C384" s="900"/>
      <c r="D384" s="342"/>
      <c r="E384" s="342"/>
      <c r="F384" s="342"/>
      <c r="G384" s="342"/>
      <c r="H384" s="342"/>
      <c r="I384" s="342"/>
      <c r="J384" s="342"/>
      <c r="K384" s="342"/>
      <c r="L384" s="342"/>
      <c r="M384" s="342"/>
      <c r="N384" s="266"/>
      <c r="O384" s="17"/>
      <c r="AA384" s="815"/>
    </row>
    <row r="385" spans="2:27" ht="12.75" customHeight="1" x14ac:dyDescent="0.25">
      <c r="B385" s="17"/>
      <c r="C385" s="900"/>
      <c r="D385" s="193" t="s">
        <v>347</v>
      </c>
      <c r="E385" s="1529" t="str">
        <f>Translations!$B$785</f>
        <v>Types of waste gases flared:</v>
      </c>
      <c r="F385" s="1529"/>
      <c r="G385" s="1529"/>
      <c r="H385" s="1529"/>
      <c r="I385" s="1530"/>
      <c r="J385" s="1531"/>
      <c r="K385" s="1531"/>
      <c r="L385" s="1531"/>
      <c r="M385" s="1532"/>
      <c r="N385" s="763"/>
      <c r="O385" s="17"/>
      <c r="AA385" s="285" t="b">
        <f>AA375</f>
        <v>0</v>
      </c>
    </row>
    <row r="386" spans="2:27" ht="5.0999999999999996" customHeight="1" x14ac:dyDescent="0.25">
      <c r="B386" s="17"/>
      <c r="C386" s="900"/>
      <c r="D386" s="193"/>
      <c r="E386" s="1533"/>
      <c r="F386" s="1512"/>
      <c r="G386" s="1512"/>
      <c r="H386" s="1512"/>
      <c r="I386" s="1512"/>
      <c r="J386" s="1512"/>
      <c r="K386" s="1512"/>
      <c r="L386" s="1512"/>
      <c r="M386" s="1512"/>
      <c r="N386" s="1513"/>
      <c r="O386" s="17"/>
      <c r="AA386" s="815"/>
    </row>
    <row r="387" spans="2:27" ht="12.75" customHeight="1" x14ac:dyDescent="0.25">
      <c r="B387" s="17"/>
      <c r="C387" s="900"/>
      <c r="D387" s="342"/>
      <c r="E387" s="1522"/>
      <c r="F387" s="1523"/>
      <c r="G387" s="1523"/>
      <c r="H387" s="152" t="str">
        <f>EUconst_Unit</f>
        <v>Unit</v>
      </c>
      <c r="I387" s="153">
        <f>I$1882</f>
        <v>2019</v>
      </c>
      <c r="J387" s="153">
        <f>J$1882</f>
        <v>2020</v>
      </c>
      <c r="K387" s="153">
        <f>K$1882</f>
        <v>2021</v>
      </c>
      <c r="L387" s="153">
        <f>L$1882</f>
        <v>2022</v>
      </c>
      <c r="M387" s="153">
        <f>M$1882</f>
        <v>2023</v>
      </c>
      <c r="N387" s="903"/>
      <c r="O387" s="17"/>
      <c r="AA387" s="815"/>
    </row>
    <row r="388" spans="2:27" ht="12.75" customHeight="1" thickBot="1" x14ac:dyDescent="0.3">
      <c r="B388" s="17"/>
      <c r="C388" s="900"/>
      <c r="D388" s="193" t="s">
        <v>355</v>
      </c>
      <c r="E388" s="1526" t="str">
        <f>Translations!$B$789</f>
        <v>Amounts flared</v>
      </c>
      <c r="F388" s="1526"/>
      <c r="G388" s="1526"/>
      <c r="H388" s="949" t="s">
        <v>427</v>
      </c>
      <c r="I388" s="889"/>
      <c r="J388" s="889"/>
      <c r="K388" s="889"/>
      <c r="L388" s="889"/>
      <c r="M388" s="889"/>
      <c r="N388" s="903"/>
      <c r="O388" s="17"/>
      <c r="R388" s="145" t="s">
        <v>428</v>
      </c>
      <c r="AA388" s="285" t="b">
        <f>AA385</f>
        <v>0</v>
      </c>
    </row>
    <row r="389" spans="2:27" ht="12.75" customHeight="1" thickBot="1" x14ac:dyDescent="0.3">
      <c r="B389" s="17"/>
      <c r="C389" s="900"/>
      <c r="D389" s="193" t="s">
        <v>356</v>
      </c>
      <c r="E389" s="1527" t="str">
        <f>Translations!$B$470</f>
        <v>Net calorific value</v>
      </c>
      <c r="F389" s="1527"/>
      <c r="G389" s="1527"/>
      <c r="H389" s="950" t="str">
        <f>IF(ISBLANK(H388),EUconst_GJperUnit,INDEX(EUconst_GJperTorKNm3,MATCH(H388,EUconst_TonnesOrkNm3pa,0)))</f>
        <v>GJ/1000Nm3</v>
      </c>
      <c r="I389" s="895"/>
      <c r="J389" s="895"/>
      <c r="K389" s="895"/>
      <c r="L389" s="895"/>
      <c r="M389" s="895"/>
      <c r="N389" s="903"/>
      <c r="O389" s="17"/>
      <c r="R389" s="283" t="s">
        <v>399</v>
      </c>
      <c r="S389" s="280">
        <f>I387</f>
        <v>2019</v>
      </c>
      <c r="T389" s="281">
        <f>J387</f>
        <v>2020</v>
      </c>
      <c r="U389" s="281">
        <f>K387</f>
        <v>2021</v>
      </c>
      <c r="V389" s="281">
        <f>L387</f>
        <v>2022</v>
      </c>
      <c r="W389" s="282">
        <f>M387</f>
        <v>2023</v>
      </c>
      <c r="AA389" s="285" t="b">
        <f>AA388</f>
        <v>0</v>
      </c>
    </row>
    <row r="390" spans="2:27" ht="12.75" customHeight="1" thickBot="1" x14ac:dyDescent="0.3">
      <c r="B390" s="17"/>
      <c r="C390" s="900"/>
      <c r="D390" s="193" t="s">
        <v>420</v>
      </c>
      <c r="E390" s="1528" t="str">
        <f>Translations!$B$790</f>
        <v>Waste gas flared</v>
      </c>
      <c r="F390" s="1528"/>
      <c r="G390" s="1528"/>
      <c r="H390" s="154" t="str">
        <f>EUconst_TJpa</f>
        <v>TJ / year</v>
      </c>
      <c r="I390" s="951" t="str">
        <f>IF(COUNT(I388:I389)=2,I388*I389/1000,"")</f>
        <v/>
      </c>
      <c r="J390" s="951" t="str">
        <f>IF(COUNT(J388:J389)=2,J388*J389/1000,"")</f>
        <v/>
      </c>
      <c r="K390" s="951" t="str">
        <f>IF(COUNT(K388:K389)=2,K388*K389/1000,"")</f>
        <v/>
      </c>
      <c r="L390" s="951" t="str">
        <f>IF(COUNT(L388:L389)=2,L388*L389/1000,"")</f>
        <v/>
      </c>
      <c r="M390" s="951" t="str">
        <f>IF(COUNT(M388:M389)=2,M388*M389/1000,"")</f>
        <v/>
      </c>
      <c r="N390" s="903"/>
      <c r="O390" s="17"/>
      <c r="P390" s="63" t="str">
        <f>EUconst_CNTR_WGFlared &amp; I253</f>
        <v>WasteGasFlare_</v>
      </c>
      <c r="R390" s="918" t="str">
        <f>IF(COUNT(S390:W390)&gt;0,AVERAGE(S390:W390),"")</f>
        <v/>
      </c>
      <c r="S390" s="808" t="str">
        <f>IF(S253,IF(ISNUMBER(I390),I390,0),"")</f>
        <v/>
      </c>
      <c r="T390" s="809" t="str">
        <f>IF(T253,IF(ISNUMBER(J390),J390,0),"")</f>
        <v/>
      </c>
      <c r="U390" s="809" t="str">
        <f>IF(U253,IF(ISNUMBER(K390),K390,0),"")</f>
        <v/>
      </c>
      <c r="V390" s="809" t="str">
        <f>IF(V253,IF(ISNUMBER(L390),L390,0),"")</f>
        <v/>
      </c>
      <c r="W390" s="810" t="str">
        <f>IF(W253,IF(ISNUMBER(M390),M390,0),"")</f>
        <v/>
      </c>
      <c r="AA390" s="815"/>
    </row>
    <row r="391" spans="2:27" ht="12.75" customHeight="1" thickBot="1" x14ac:dyDescent="0.3">
      <c r="B391" s="17"/>
      <c r="C391" s="900"/>
      <c r="D391" s="193" t="s">
        <v>421</v>
      </c>
      <c r="E391" s="1528" t="str">
        <f>Translations!$B$791</f>
        <v>Specific EF (flared waste gas)</v>
      </c>
      <c r="F391" s="1528"/>
      <c r="G391" s="1528"/>
      <c r="H391" s="154" t="str">
        <f>EUconst_tCO2pTJ</f>
        <v>t CO2 / TJ</v>
      </c>
      <c r="I391" s="311"/>
      <c r="J391" s="311"/>
      <c r="K391" s="311"/>
      <c r="L391" s="311"/>
      <c r="M391" s="311"/>
      <c r="N391" s="266"/>
      <c r="O391" s="17"/>
      <c r="P391" s="63" t="str">
        <f>EUconst_CNTR_WGFlaredEF &amp; I253</f>
        <v>WasteGasFlareEF_</v>
      </c>
      <c r="R391" s="952" t="str">
        <f>IF(COUNT(S391:W391)&gt;0,AVERAGE(S391:W391),"")</f>
        <v/>
      </c>
      <c r="S391" s="808" t="str">
        <f>IF(S253,SUM(I390)*SUM(I391),"")</f>
        <v/>
      </c>
      <c r="T391" s="809" t="str">
        <f>IF(T253,SUM(J390)*SUM(J391),"")</f>
        <v/>
      </c>
      <c r="U391" s="809" t="str">
        <f>IF(U253,SUM(K390)*SUM(K391),"")</f>
        <v/>
      </c>
      <c r="V391" s="809" t="str">
        <f>IF(V253,SUM(L390)*SUM(L391),"")</f>
        <v/>
      </c>
      <c r="W391" s="810" t="str">
        <f>IF(W253,SUM(M390)*SUM(M391),"")</f>
        <v/>
      </c>
      <c r="AA391" s="285" t="b">
        <f>AA389</f>
        <v>0</v>
      </c>
    </row>
    <row r="392" spans="2:27" ht="12.75" customHeight="1" x14ac:dyDescent="0.25">
      <c r="B392" s="17"/>
      <c r="C392" s="900"/>
      <c r="D392" s="342"/>
      <c r="E392" s="342"/>
      <c r="F392" s="342"/>
      <c r="G392" s="342"/>
      <c r="H392" s="342"/>
      <c r="I392" s="342"/>
      <c r="J392" s="342"/>
      <c r="K392" s="342"/>
      <c r="L392" s="342"/>
      <c r="M392" s="342"/>
      <c r="N392" s="266"/>
      <c r="O392" s="17"/>
      <c r="AA392" s="815"/>
    </row>
    <row r="393" spans="2:27" ht="12.75" customHeight="1" x14ac:dyDescent="0.25">
      <c r="B393" s="17"/>
      <c r="C393" s="900"/>
      <c r="D393" s="193" t="s">
        <v>422</v>
      </c>
      <c r="E393" s="1529" t="str">
        <f>Translations!$B$792</f>
        <v>Types of waste gases imported:</v>
      </c>
      <c r="F393" s="1529"/>
      <c r="G393" s="1529"/>
      <c r="H393" s="1529"/>
      <c r="I393" s="1530"/>
      <c r="J393" s="1531"/>
      <c r="K393" s="1531"/>
      <c r="L393" s="1531"/>
      <c r="M393" s="1532"/>
      <c r="N393" s="266"/>
      <c r="O393" s="17"/>
      <c r="AA393" s="285" t="b">
        <f>AA373</f>
        <v>0</v>
      </c>
    </row>
    <row r="394" spans="2:27" ht="5.0999999999999996" customHeight="1" x14ac:dyDescent="0.25">
      <c r="B394" s="17"/>
      <c r="C394" s="900"/>
      <c r="D394" s="193"/>
      <c r="E394" s="1535"/>
      <c r="F394" s="1511"/>
      <c r="G394" s="1511"/>
      <c r="H394" s="1511"/>
      <c r="I394" s="1511"/>
      <c r="J394" s="1511"/>
      <c r="K394" s="1511"/>
      <c r="L394" s="1511"/>
      <c r="M394" s="1511"/>
      <c r="N394" s="1536"/>
      <c r="O394" s="17"/>
      <c r="AA394" s="815"/>
    </row>
    <row r="395" spans="2:27" ht="12.75" customHeight="1" x14ac:dyDescent="0.25">
      <c r="B395" s="17"/>
      <c r="C395" s="900"/>
      <c r="D395" s="342"/>
      <c r="E395" s="1522"/>
      <c r="F395" s="1523"/>
      <c r="G395" s="1523"/>
      <c r="H395" s="152" t="str">
        <f>EUconst_Unit</f>
        <v>Unit</v>
      </c>
      <c r="I395" s="153">
        <f>I$1882</f>
        <v>2019</v>
      </c>
      <c r="J395" s="153">
        <f>J$1882</f>
        <v>2020</v>
      </c>
      <c r="K395" s="153">
        <f>K$1882</f>
        <v>2021</v>
      </c>
      <c r="L395" s="153">
        <f>L$1882</f>
        <v>2022</v>
      </c>
      <c r="M395" s="153">
        <f>M$1882</f>
        <v>2023</v>
      </c>
      <c r="N395" s="903"/>
      <c r="O395" s="17"/>
      <c r="AA395" s="815"/>
    </row>
    <row r="396" spans="2:27" ht="12.75" customHeight="1" thickBot="1" x14ac:dyDescent="0.3">
      <c r="B396" s="17"/>
      <c r="C396" s="900"/>
      <c r="D396" s="193" t="s">
        <v>423</v>
      </c>
      <c r="E396" s="1526" t="str">
        <f>Translations!$B$795</f>
        <v>Amounts imported</v>
      </c>
      <c r="F396" s="1526"/>
      <c r="G396" s="1526"/>
      <c r="H396" s="949" t="s">
        <v>427</v>
      </c>
      <c r="I396" s="889"/>
      <c r="J396" s="889"/>
      <c r="K396" s="889"/>
      <c r="L396" s="889"/>
      <c r="M396" s="889"/>
      <c r="N396" s="903"/>
      <c r="O396" s="17"/>
      <c r="AA396" s="285" t="b">
        <f>AA393</f>
        <v>0</v>
      </c>
    </row>
    <row r="397" spans="2:27" ht="12.75" customHeight="1" x14ac:dyDescent="0.25">
      <c r="B397" s="17"/>
      <c r="C397" s="900"/>
      <c r="D397" s="193" t="s">
        <v>430</v>
      </c>
      <c r="E397" s="1527" t="str">
        <f>Translations!$B$470</f>
        <v>Net calorific value</v>
      </c>
      <c r="F397" s="1527"/>
      <c r="G397" s="1527"/>
      <c r="H397" s="950" t="str">
        <f>IF(ISBLANK(H396),EUconst_GJperUnit,INDEX(EUconst_GJperTorKNm3,MATCH(H396,EUconst_TonnesOrkNm3pa,0)))</f>
        <v>GJ/1000Nm3</v>
      </c>
      <c r="I397" s="895"/>
      <c r="J397" s="895"/>
      <c r="K397" s="895"/>
      <c r="L397" s="895"/>
      <c r="M397" s="895"/>
      <c r="N397" s="903"/>
      <c r="O397" s="17"/>
      <c r="R397" s="459"/>
      <c r="S397" s="326">
        <f>I395</f>
        <v>2019</v>
      </c>
      <c r="T397" s="326">
        <f>J395</f>
        <v>2020</v>
      </c>
      <c r="U397" s="326">
        <f>K395</f>
        <v>2021</v>
      </c>
      <c r="V397" s="326">
        <f>L395</f>
        <v>2022</v>
      </c>
      <c r="W397" s="327">
        <f>M395</f>
        <v>2023</v>
      </c>
      <c r="AA397" s="285" t="b">
        <f>AA396</f>
        <v>0</v>
      </c>
    </row>
    <row r="398" spans="2:27" ht="12.75" customHeight="1" x14ac:dyDescent="0.25">
      <c r="B398" s="17"/>
      <c r="C398" s="900"/>
      <c r="D398" s="193" t="s">
        <v>431</v>
      </c>
      <c r="E398" s="1528" t="str">
        <f>Translations!$B$796</f>
        <v>Waste gas imported</v>
      </c>
      <c r="F398" s="1528"/>
      <c r="G398" s="1528"/>
      <c r="H398" s="154" t="str">
        <f>EUconst_TJpa</f>
        <v>TJ / year</v>
      </c>
      <c r="I398" s="163" t="str">
        <f>IF(COUNT(I396:I397)=2,I396*I397/1000,"")</f>
        <v/>
      </c>
      <c r="J398" s="163" t="str">
        <f>IF(COUNT(J396:J397)=2,J396*J397/1000,"")</f>
        <v/>
      </c>
      <c r="K398" s="163" t="str">
        <f>IF(COUNT(K396:K397)=2,K396*K397/1000,"")</f>
        <v/>
      </c>
      <c r="L398" s="163" t="str">
        <f>IF(COUNT(L396:L397)=2,L396*L397/1000,"")</f>
        <v/>
      </c>
      <c r="M398" s="163" t="str">
        <f>IF(COUNT(M396:M397)=2,M396*M397/1000,"")</f>
        <v/>
      </c>
      <c r="N398" s="903"/>
      <c r="O398" s="17"/>
      <c r="P398" s="63" t="str">
        <f>EUconst_CNTR_WGImport &amp; I253</f>
        <v>WasteGasIm_</v>
      </c>
      <c r="R398" s="464" t="str">
        <f>EUconst_ERR_AttrEmBMapplied &amp; I253</f>
        <v>ERR_AttrEmBM_</v>
      </c>
      <c r="S398" s="63">
        <f>IF(AND(I398&lt;&gt;"",EUconst_StatusOfDataCollection=FALSE),1,0)</f>
        <v>0</v>
      </c>
      <c r="T398" s="63">
        <f>IF(AND(J398&lt;&gt;"",EUconst_StatusOfDataCollection=FALSE),1,0)</f>
        <v>0</v>
      </c>
      <c r="U398" s="63">
        <f>IF(AND(K398&lt;&gt;"",EUconst_StatusOfDataCollection=FALSE),1,0)</f>
        <v>0</v>
      </c>
      <c r="V398" s="63">
        <f>IF(AND(L398&lt;&gt;"",EUconst_StatusOfDataCollection=FALSE),1,0)</f>
        <v>0</v>
      </c>
      <c r="W398" s="803">
        <f>IF(AND(M398&lt;&gt;"",EUconst_StatusOfDataCollection=FALSE),1,0)</f>
        <v>0</v>
      </c>
      <c r="AA398" s="815"/>
    </row>
    <row r="399" spans="2:27" ht="12.75" customHeight="1" thickBot="1" x14ac:dyDescent="0.3">
      <c r="B399" s="17"/>
      <c r="C399" s="900"/>
      <c r="D399" s="193" t="s">
        <v>432</v>
      </c>
      <c r="E399" s="1528" t="str">
        <f>Translations!$B$797</f>
        <v>Specific EF (imported waste gas)</v>
      </c>
      <c r="F399" s="1528"/>
      <c r="G399" s="1528"/>
      <c r="H399" s="154" t="str">
        <f>EUconst_tCO2pTJ</f>
        <v>t CO2 / TJ</v>
      </c>
      <c r="I399" s="311"/>
      <c r="J399" s="311"/>
      <c r="K399" s="311"/>
      <c r="L399" s="311"/>
      <c r="M399" s="311"/>
      <c r="N399" s="266"/>
      <c r="O399" s="17"/>
      <c r="P399" s="63" t="str">
        <f>EUconst_CNTR_WGImportEF &amp; I253</f>
        <v>WasteGasImEF_</v>
      </c>
      <c r="R399" s="460" t="str">
        <f>EUconst_CNTR_AttributedEmissions &amp; I253</f>
        <v>AttrEmissions_</v>
      </c>
      <c r="S399" s="389" t="str">
        <f>IF(S253,SUM(I398)*EUconst_FuelBMvalue,"")</f>
        <v/>
      </c>
      <c r="T399" s="389" t="str">
        <f>IF(T253,SUM(J398)*EUconst_FuelBMvalue,"")</f>
        <v/>
      </c>
      <c r="U399" s="389" t="str">
        <f>IF(U253,SUM(K398)*EUconst_FuelBMvalue,"")</f>
        <v/>
      </c>
      <c r="V399" s="389" t="str">
        <f>IF(V253,SUM(L398)*EUconst_FuelBMvalue,"")</f>
        <v/>
      </c>
      <c r="W399" s="390" t="str">
        <f>IF(W253,SUM(M398)*EUconst_FuelBMvalue,"")</f>
        <v/>
      </c>
      <c r="AA399" s="285" t="b">
        <f>AA397</f>
        <v>0</v>
      </c>
    </row>
    <row r="400" spans="2:27" ht="12.75" customHeight="1" x14ac:dyDescent="0.25">
      <c r="B400" s="17"/>
      <c r="C400" s="900"/>
      <c r="D400" s="342"/>
      <c r="E400" s="342"/>
      <c r="F400" s="342"/>
      <c r="G400" s="342"/>
      <c r="H400" s="342"/>
      <c r="I400" s="342"/>
      <c r="J400" s="342"/>
      <c r="K400" s="342"/>
      <c r="L400" s="342"/>
      <c r="M400" s="342"/>
      <c r="N400" s="266"/>
      <c r="O400" s="17"/>
      <c r="AA400" s="815"/>
    </row>
    <row r="401" spans="2:27" ht="12.75" customHeight="1" x14ac:dyDescent="0.25">
      <c r="B401" s="17"/>
      <c r="C401" s="900"/>
      <c r="D401" s="193" t="s">
        <v>433</v>
      </c>
      <c r="E401" s="1529" t="str">
        <f>Translations!$B$798</f>
        <v>Types of waste gases exported:</v>
      </c>
      <c r="F401" s="1529"/>
      <c r="G401" s="1529"/>
      <c r="H401" s="1529"/>
      <c r="I401" s="1530"/>
      <c r="J401" s="1531"/>
      <c r="K401" s="1531"/>
      <c r="L401" s="1531"/>
      <c r="M401" s="1532"/>
      <c r="N401" s="763"/>
      <c r="O401" s="17"/>
      <c r="AA401" s="285" t="b">
        <f>AA396</f>
        <v>0</v>
      </c>
    </row>
    <row r="402" spans="2:27" ht="5.0999999999999996" customHeight="1" x14ac:dyDescent="0.25">
      <c r="B402" s="17"/>
      <c r="C402" s="900"/>
      <c r="D402" s="193"/>
      <c r="E402" s="1533"/>
      <c r="F402" s="1512"/>
      <c r="G402" s="1512"/>
      <c r="H402" s="1512"/>
      <c r="I402" s="1512"/>
      <c r="J402" s="1512"/>
      <c r="K402" s="1512"/>
      <c r="L402" s="1512"/>
      <c r="M402" s="1512"/>
      <c r="N402" s="1513"/>
      <c r="O402" s="17"/>
      <c r="AA402" s="815"/>
    </row>
    <row r="403" spans="2:27" ht="12.75" customHeight="1" x14ac:dyDescent="0.25">
      <c r="B403" s="17"/>
      <c r="C403" s="900"/>
      <c r="D403" s="342"/>
      <c r="E403" s="1522"/>
      <c r="F403" s="1523"/>
      <c r="G403" s="1523"/>
      <c r="H403" s="152" t="str">
        <f>EUconst_Unit</f>
        <v>Unit</v>
      </c>
      <c r="I403" s="153">
        <f>I$1882</f>
        <v>2019</v>
      </c>
      <c r="J403" s="153">
        <f>J$1882</f>
        <v>2020</v>
      </c>
      <c r="K403" s="153">
        <f>K$1882</f>
        <v>2021</v>
      </c>
      <c r="L403" s="153">
        <f>L$1882</f>
        <v>2022</v>
      </c>
      <c r="M403" s="153">
        <f>M$1882</f>
        <v>2023</v>
      </c>
      <c r="N403" s="903"/>
      <c r="O403" s="17"/>
      <c r="AA403" s="815"/>
    </row>
    <row r="404" spans="2:27" ht="12.75" customHeight="1" x14ac:dyDescent="0.25">
      <c r="B404" s="17"/>
      <c r="C404" s="900"/>
      <c r="D404" s="193" t="s">
        <v>434</v>
      </c>
      <c r="E404" s="1526" t="str">
        <f>Translations!$B$800</f>
        <v>Amounts exported</v>
      </c>
      <c r="F404" s="1526"/>
      <c r="G404" s="1526"/>
      <c r="H404" s="949" t="s">
        <v>427</v>
      </c>
      <c r="I404" s="889"/>
      <c r="J404" s="889"/>
      <c r="K404" s="889"/>
      <c r="L404" s="889"/>
      <c r="M404" s="889"/>
      <c r="N404" s="903"/>
      <c r="O404" s="17"/>
      <c r="AA404" s="285" t="b">
        <f>AA401</f>
        <v>0</v>
      </c>
    </row>
    <row r="405" spans="2:27" ht="12.75" customHeight="1" thickBot="1" x14ac:dyDescent="0.3">
      <c r="B405" s="17"/>
      <c r="C405" s="900"/>
      <c r="D405" s="193" t="s">
        <v>435</v>
      </c>
      <c r="E405" s="1527" t="str">
        <f>Translations!$B$470</f>
        <v>Net calorific value</v>
      </c>
      <c r="F405" s="1527"/>
      <c r="G405" s="1527"/>
      <c r="H405" s="950" t="str">
        <f>IF(ISBLANK(H404),EUconst_GJperUnit,INDEX(EUconst_GJperTorKNm3,MATCH(H404,EUconst_TonnesOrkNm3pa,0)))</f>
        <v>GJ/1000Nm3</v>
      </c>
      <c r="I405" s="895"/>
      <c r="J405" s="895"/>
      <c r="K405" s="895"/>
      <c r="L405" s="895"/>
      <c r="M405" s="895"/>
      <c r="N405" s="903"/>
      <c r="O405" s="17"/>
      <c r="AA405" s="285" t="b">
        <f>AA404</f>
        <v>0</v>
      </c>
    </row>
    <row r="406" spans="2:27" ht="12.75" customHeight="1" x14ac:dyDescent="0.25">
      <c r="B406" s="17"/>
      <c r="C406" s="900"/>
      <c r="D406" s="193" t="s">
        <v>436</v>
      </c>
      <c r="E406" s="1528" t="str">
        <f>Translations!$B$801</f>
        <v>Waste gas exported</v>
      </c>
      <c r="F406" s="1528"/>
      <c r="G406" s="1528"/>
      <c r="H406" s="154" t="str">
        <f>EUconst_TJpa</f>
        <v>TJ / year</v>
      </c>
      <c r="I406" s="163" t="str">
        <f>IF(COUNT(I404:I405)=2,I404*I405/1000,"")</f>
        <v/>
      </c>
      <c r="J406" s="163" t="str">
        <f>IF(COUNT(J404:J405)=2,J404*J405/1000,"")</f>
        <v/>
      </c>
      <c r="K406" s="163" t="str">
        <f>IF(COUNT(K404:K405)=2,K404*K405/1000,"")</f>
        <v/>
      </c>
      <c r="L406" s="163" t="str">
        <f>IF(COUNT(L404:L405)=2,L404*L405/1000,"")</f>
        <v/>
      </c>
      <c r="M406" s="163" t="str">
        <f>IF(COUNT(M404:M405)=2,M404*M405/1000,"")</f>
        <v/>
      </c>
      <c r="N406" s="277"/>
      <c r="O406" s="17"/>
      <c r="P406" s="63" t="str">
        <f>EUconst_CNTR_WGExport &amp; I253</f>
        <v>WasteGasEx_</v>
      </c>
      <c r="R406" s="459"/>
      <c r="S406" s="326">
        <f>I403</f>
        <v>2019</v>
      </c>
      <c r="T406" s="326">
        <f>J403</f>
        <v>2020</v>
      </c>
      <c r="U406" s="326">
        <f>K403</f>
        <v>2021</v>
      </c>
      <c r="V406" s="326">
        <f>L403</f>
        <v>2022</v>
      </c>
      <c r="W406" s="327">
        <f>M403</f>
        <v>2023</v>
      </c>
      <c r="AA406" s="815"/>
    </row>
    <row r="407" spans="2:27" ht="12.75" customHeight="1" thickBot="1" x14ac:dyDescent="0.3">
      <c r="B407" s="17"/>
      <c r="C407" s="900"/>
      <c r="D407" s="193" t="s">
        <v>437</v>
      </c>
      <c r="E407" s="1528" t="str">
        <f>Translations!$B$802</f>
        <v>Specific EF (exported waste gas)</v>
      </c>
      <c r="F407" s="1528"/>
      <c r="G407" s="1528"/>
      <c r="H407" s="154" t="str">
        <f>EUconst_tCO2pTJ</f>
        <v>t CO2 / TJ</v>
      </c>
      <c r="I407" s="311"/>
      <c r="J407" s="311"/>
      <c r="K407" s="311"/>
      <c r="L407" s="311"/>
      <c r="M407" s="311"/>
      <c r="N407" s="266"/>
      <c r="O407" s="17"/>
      <c r="P407" s="63" t="str">
        <f>EUconst_CNTR_WGExportEF &amp; I253</f>
        <v>WasteGasExEF_</v>
      </c>
      <c r="R407" s="460" t="str">
        <f>EUconst_CNTR_AttributedEmissions &amp; I253</f>
        <v>AttrEmissions_</v>
      </c>
      <c r="S407" s="389" t="str">
        <f>IF(S253,-SUM(I406)*EUconst_NGEFvalue*EUconst_WasteGasCorrFactor,"")</f>
        <v/>
      </c>
      <c r="T407" s="389" t="str">
        <f>IF(T253,-SUM(J406)*EUconst_NGEFvalue*EUconst_WasteGasCorrFactor,"")</f>
        <v/>
      </c>
      <c r="U407" s="389" t="str">
        <f>IF(U253,-SUM(K406)*EUconst_NGEFvalue*EUconst_WasteGasCorrFactor,"")</f>
        <v/>
      </c>
      <c r="V407" s="389" t="str">
        <f>IF(V253,-SUM(L406)*EUconst_NGEFvalue*EUconst_WasteGasCorrFactor,"")</f>
        <v/>
      </c>
      <c r="W407" s="390" t="str">
        <f>IF(W253,-SUM(M406)*EUconst_NGEFvalue*EUconst_WasteGasCorrFactor,"")</f>
        <v/>
      </c>
      <c r="AA407" s="286" t="b">
        <f>AA405</f>
        <v>0</v>
      </c>
    </row>
    <row r="408" spans="2:27" ht="12.75" customHeight="1" x14ac:dyDescent="0.25">
      <c r="B408" s="17"/>
      <c r="C408" s="900"/>
      <c r="D408" s="342"/>
      <c r="E408" s="342"/>
      <c r="F408" s="342"/>
      <c r="G408" s="342"/>
      <c r="H408" s="342"/>
      <c r="I408" s="342"/>
      <c r="J408" s="342"/>
      <c r="K408" s="342"/>
      <c r="L408" s="342"/>
      <c r="M408" s="342"/>
      <c r="N408" s="266"/>
      <c r="O408" s="17"/>
    </row>
    <row r="409" spans="2:27" ht="12.75" customHeight="1" thickBot="1" x14ac:dyDescent="0.3">
      <c r="B409" s="17"/>
      <c r="C409" s="900"/>
      <c r="D409" s="157" t="s">
        <v>359</v>
      </c>
      <c r="E409" s="1511" t="str">
        <f>Translations!$B$420</f>
        <v>Electricity production</v>
      </c>
      <c r="F409" s="1512"/>
      <c r="G409" s="1512"/>
      <c r="H409" s="1512"/>
      <c r="I409" s="1512"/>
      <c r="J409" s="1512"/>
      <c r="K409" s="1512"/>
      <c r="L409" s="1512"/>
      <c r="M409" s="1512"/>
      <c r="N409" s="1513"/>
      <c r="O409" s="17"/>
    </row>
    <row r="410" spans="2:27" ht="12.75" customHeight="1" x14ac:dyDescent="0.25">
      <c r="B410" s="17"/>
      <c r="C410" s="900"/>
      <c r="D410" s="157"/>
      <c r="E410" s="1522"/>
      <c r="F410" s="1523"/>
      <c r="G410" s="1523"/>
      <c r="H410" s="152" t="str">
        <f>EUconst_Unit</f>
        <v>Unit</v>
      </c>
      <c r="I410" s="153">
        <f>I$1882</f>
        <v>2019</v>
      </c>
      <c r="J410" s="153">
        <f>J$1882</f>
        <v>2020</v>
      </c>
      <c r="K410" s="153">
        <f>K$1882</f>
        <v>2021</v>
      </c>
      <c r="L410" s="153">
        <f>L$1882</f>
        <v>2022</v>
      </c>
      <c r="M410" s="153">
        <f>M$1882</f>
        <v>2023</v>
      </c>
      <c r="N410" s="266"/>
      <c r="O410" s="17"/>
      <c r="R410" s="459"/>
      <c r="S410" s="326">
        <f>I410</f>
        <v>2019</v>
      </c>
      <c r="T410" s="326">
        <f>J410</f>
        <v>2020</v>
      </c>
      <c r="U410" s="326">
        <f>K410</f>
        <v>2021</v>
      </c>
      <c r="V410" s="326">
        <f>L410</f>
        <v>2022</v>
      </c>
      <c r="W410" s="327">
        <f>M410</f>
        <v>2023</v>
      </c>
    </row>
    <row r="411" spans="2:27" ht="12.75" customHeight="1" thickBot="1" x14ac:dyDescent="0.3">
      <c r="B411" s="17"/>
      <c r="C411" s="900"/>
      <c r="D411" s="193"/>
      <c r="E411" s="1528" t="str">
        <f>Translations!$B$805</f>
        <v>Electricity produced</v>
      </c>
      <c r="F411" s="1528"/>
      <c r="G411" s="1528"/>
      <c r="H411" s="154" t="str">
        <f>EUconst_MWhpa</f>
        <v>MWh / year</v>
      </c>
      <c r="I411" s="311"/>
      <c r="J411" s="311"/>
      <c r="K411" s="311"/>
      <c r="L411" s="311"/>
      <c r="M411" s="311"/>
      <c r="N411" s="903"/>
      <c r="O411" s="17"/>
      <c r="P411" s="63" t="str">
        <f>EUconst_CNTR_ElectricityExported &amp; I253</f>
        <v>ElecEx_</v>
      </c>
      <c r="R411" s="460" t="str">
        <f>EUconst_CNTR_AttributedEmissions &amp; I253</f>
        <v>AttrEmissions_</v>
      </c>
      <c r="S411" s="389" t="str">
        <f>IF(S253,-SUM(I411)*EUconst_ElBM,"")</f>
        <v/>
      </c>
      <c r="T411" s="389" t="str">
        <f>IF(T253,-SUM(J411)*EUconst_ElBM,"")</f>
        <v/>
      </c>
      <c r="U411" s="389" t="str">
        <f>IF(U253,-SUM(K411)*EUconst_ElBM,"")</f>
        <v/>
      </c>
      <c r="V411" s="389" t="str">
        <f>IF(V253,-SUM(L411)*EUconst_ElBM,"")</f>
        <v/>
      </c>
      <c r="W411" s="390" t="str">
        <f>IF(W253,-SUM(M411)*EUconst_ElBM,"")</f>
        <v/>
      </c>
    </row>
    <row r="412" spans="2:27" ht="12.75" customHeight="1" x14ac:dyDescent="0.25">
      <c r="B412" s="17"/>
      <c r="C412" s="900"/>
      <c r="D412" s="342"/>
      <c r="E412" s="342"/>
      <c r="F412" s="342"/>
      <c r="G412" s="342"/>
      <c r="H412" s="342"/>
      <c r="I412" s="342"/>
      <c r="J412" s="342"/>
      <c r="K412" s="342"/>
      <c r="L412" s="342"/>
      <c r="M412" s="342"/>
      <c r="N412" s="266"/>
      <c r="O412" s="17"/>
    </row>
    <row r="413" spans="2:27" ht="12.75" customHeight="1" thickBot="1" x14ac:dyDescent="0.3">
      <c r="B413" s="17"/>
      <c r="C413" s="900"/>
      <c r="D413" s="157" t="s">
        <v>361</v>
      </c>
      <c r="E413" s="1529" t="str">
        <f>Translations!$B$806</f>
        <v>Total amount of pulp produced</v>
      </c>
      <c r="F413" s="1529"/>
      <c r="G413" s="1529"/>
      <c r="H413" s="1529"/>
      <c r="I413" s="1529"/>
      <c r="J413" s="1529"/>
      <c r="K413" s="1529"/>
      <c r="L413" s="1529"/>
      <c r="M413" s="1529"/>
      <c r="N413" s="1534"/>
      <c r="O413" s="17"/>
    </row>
    <row r="414" spans="2:27" ht="12.75" customHeight="1" thickBot="1" x14ac:dyDescent="0.3">
      <c r="B414" s="17"/>
      <c r="C414" s="900"/>
      <c r="D414" s="193"/>
      <c r="E414" s="1510" t="str">
        <f>IF(I253="","",IF(INDEX(EUconst_BMlistPulp,MATCH(I253,EUconst_BMlistNames,0)),I253,""))</f>
        <v/>
      </c>
      <c r="F414" s="1510"/>
      <c r="G414" s="1510"/>
      <c r="H414" s="154" t="str">
        <f>EUconst_Tons</f>
        <v>tonnes</v>
      </c>
      <c r="I414" s="311"/>
      <c r="J414" s="311"/>
      <c r="K414" s="311"/>
      <c r="L414" s="311"/>
      <c r="M414" s="311"/>
      <c r="N414" s="903"/>
      <c r="O414" s="17"/>
      <c r="P414" s="63" t="str">
        <f>EUconst_CNTR_HALPulpTotal &amp; I253</f>
        <v>HALPulpTotal_</v>
      </c>
      <c r="AA414" s="410" t="b">
        <f>IF(I253&lt;&gt;"",IF(INDEX(EUconst_BMlistPulp,MATCH(I253,EUconst_BMlistNames,0))=TRUE,FALSE,TRUE),FALSE)</f>
        <v>0</v>
      </c>
    </row>
    <row r="415" spans="2:27" ht="12.75" customHeight="1" x14ac:dyDescent="0.25">
      <c r="B415" s="17"/>
      <c r="C415" s="900"/>
      <c r="D415" s="193"/>
      <c r="E415" s="193"/>
      <c r="F415" s="193"/>
      <c r="G415" s="193"/>
      <c r="H415" s="193"/>
      <c r="I415" s="193"/>
      <c r="J415" s="193"/>
      <c r="K415" s="193"/>
      <c r="L415" s="193"/>
      <c r="M415" s="193"/>
      <c r="N415" s="903"/>
      <c r="O415" s="17"/>
    </row>
    <row r="416" spans="2:27" ht="12.75" customHeight="1" thickBot="1" x14ac:dyDescent="0.3">
      <c r="B416" s="17"/>
      <c r="C416" s="900"/>
      <c r="D416" s="157" t="s">
        <v>362</v>
      </c>
      <c r="E416" s="1511" t="str">
        <f>Translations!$B$810</f>
        <v>Import or export of intermediate products covered by product benchmarks</v>
      </c>
      <c r="F416" s="1512"/>
      <c r="G416" s="1512"/>
      <c r="H416" s="1512"/>
      <c r="I416" s="1512"/>
      <c r="J416" s="1512"/>
      <c r="K416" s="1512"/>
      <c r="L416" s="1512"/>
      <c r="M416" s="1512"/>
      <c r="N416" s="1513"/>
      <c r="O416" s="17"/>
    </row>
    <row r="417" spans="2:27" ht="12.75" customHeight="1" thickBot="1" x14ac:dyDescent="0.3">
      <c r="B417" s="17"/>
      <c r="C417" s="900"/>
      <c r="D417" s="193" t="s">
        <v>206</v>
      </c>
      <c r="E417" s="1514" t="str">
        <f>Translations!$B$813</f>
        <v>Is there any import or export of intermediate products covered by product benchmarks?</v>
      </c>
      <c r="F417" s="1514"/>
      <c r="G417" s="1514"/>
      <c r="H417" s="1514"/>
      <c r="I417" s="1514"/>
      <c r="J417" s="1514"/>
      <c r="K417" s="1515"/>
      <c r="L417" s="194"/>
      <c r="M417" s="342"/>
      <c r="N417" s="277"/>
      <c r="O417" s="17"/>
      <c r="W417" s="288" t="s">
        <v>418</v>
      </c>
      <c r="X417" s="215" t="b">
        <f>IF(AND(I253&lt;&gt;"",ISBLANK(L417)),EUconst_Error&amp;"BM"&amp;C253,FALSE)</f>
        <v>0</v>
      </c>
    </row>
    <row r="418" spans="2:27" ht="5.0999999999999996" customHeight="1" x14ac:dyDescent="0.25">
      <c r="B418" s="17"/>
      <c r="C418" s="900"/>
      <c r="D418" s="193"/>
      <c r="E418" s="193"/>
      <c r="F418" s="193"/>
      <c r="G418" s="193"/>
      <c r="H418" s="193"/>
      <c r="I418" s="193"/>
      <c r="J418" s="193"/>
      <c r="K418" s="193"/>
      <c r="L418" s="193"/>
      <c r="M418" s="193"/>
      <c r="N418" s="903"/>
      <c r="O418" s="17"/>
    </row>
    <row r="419" spans="2:27" ht="12.75" customHeight="1" thickBot="1" x14ac:dyDescent="0.3">
      <c r="B419" s="17"/>
      <c r="C419" s="900"/>
      <c r="D419" s="157"/>
      <c r="E419" s="1522" t="str">
        <f>Translations!$B$814</f>
        <v>Imported amounts:</v>
      </c>
      <c r="F419" s="1523"/>
      <c r="G419" s="1523"/>
      <c r="H419" s="192" t="str">
        <f>EUconst_Unit</f>
        <v>Unit</v>
      </c>
      <c r="I419" s="153">
        <f>I$1882</f>
        <v>2019</v>
      </c>
      <c r="J419" s="153">
        <f>J$1882</f>
        <v>2020</v>
      </c>
      <c r="K419" s="153">
        <f>K$1882</f>
        <v>2021</v>
      </c>
      <c r="L419" s="153">
        <f>L$1882</f>
        <v>2022</v>
      </c>
      <c r="M419" s="153">
        <f>M$1882</f>
        <v>2023</v>
      </c>
      <c r="N419" s="903"/>
      <c r="O419" s="17"/>
      <c r="AA419" s="145" t="s">
        <v>396</v>
      </c>
    </row>
    <row r="420" spans="2:27" ht="12.75" customHeight="1" x14ac:dyDescent="0.25">
      <c r="B420" s="17"/>
      <c r="C420" s="900"/>
      <c r="D420" s="193" t="s">
        <v>208</v>
      </c>
      <c r="E420" s="1524"/>
      <c r="F420" s="1524"/>
      <c r="G420" s="1524"/>
      <c r="H420" s="853" t="str">
        <f>IF(E420&lt;&gt;"",INDEX(EUconst_BMlistUnits,MATCH(E420,EUconst_BMlistNames,0)),EUconst_Tons)</f>
        <v>tonnes</v>
      </c>
      <c r="I420" s="953"/>
      <c r="J420" s="953"/>
      <c r="K420" s="953"/>
      <c r="L420" s="953"/>
      <c r="M420" s="953"/>
      <c r="N420" s="903"/>
      <c r="O420" s="17"/>
      <c r="P420" s="63" t="str">
        <f>EUconst_CNTR_IntermediateImport &amp; R420 &amp; "_" &amp; I253</f>
        <v>IntImp_1_</v>
      </c>
      <c r="R420" s="63">
        <v>1</v>
      </c>
      <c r="AA420" s="316" t="b">
        <f>AND(NOT(ISBLANK(L417)),L417=FALSE)</f>
        <v>0</v>
      </c>
    </row>
    <row r="421" spans="2:27" ht="12.75" customHeight="1" x14ac:dyDescent="0.25">
      <c r="B421" s="17"/>
      <c r="C421" s="900"/>
      <c r="D421" s="193" t="s">
        <v>209</v>
      </c>
      <c r="E421" s="1525"/>
      <c r="F421" s="1525"/>
      <c r="G421" s="1525"/>
      <c r="H421" s="950" t="str">
        <f>IF(E421&lt;&gt;"",INDEX(EUconst_BMlistUnits,MATCH(E421,EUconst_BMlistNames,0)),EUconst_Tons)</f>
        <v>tonnes</v>
      </c>
      <c r="I421" s="954"/>
      <c r="J421" s="954"/>
      <c r="K421" s="954"/>
      <c r="L421" s="954"/>
      <c r="M421" s="954"/>
      <c r="N421" s="903"/>
      <c r="O421" s="17"/>
      <c r="P421" s="63" t="str">
        <f>EUconst_CNTR_IntermediateImport &amp; R421 &amp; "_" &amp; I253</f>
        <v>IntImp_2_</v>
      </c>
      <c r="R421" s="63">
        <v>2</v>
      </c>
      <c r="AA421" s="285" t="b">
        <f>AA420</f>
        <v>0</v>
      </c>
    </row>
    <row r="422" spans="2:27" ht="5.0999999999999996" customHeight="1" x14ac:dyDescent="0.25">
      <c r="B422" s="17"/>
      <c r="C422" s="900"/>
      <c r="D422" s="193"/>
      <c r="E422" s="193"/>
      <c r="F422" s="193"/>
      <c r="G422" s="193"/>
      <c r="H422" s="193"/>
      <c r="I422" s="193"/>
      <c r="J422" s="193"/>
      <c r="K422" s="193"/>
      <c r="L422" s="193"/>
      <c r="M422" s="193"/>
      <c r="N422" s="903"/>
      <c r="O422" s="17"/>
      <c r="AA422" s="815"/>
    </row>
    <row r="423" spans="2:27" ht="12.75" customHeight="1" x14ac:dyDescent="0.25">
      <c r="B423" s="17"/>
      <c r="C423" s="900"/>
      <c r="D423" s="157"/>
      <c r="E423" s="1522" t="str">
        <f>Translations!$B$815</f>
        <v>Exported amounts:</v>
      </c>
      <c r="F423" s="1523"/>
      <c r="G423" s="1523"/>
      <c r="H423" s="192" t="str">
        <f>EUconst_Unit</f>
        <v>Unit</v>
      </c>
      <c r="I423" s="153">
        <f>I$1882</f>
        <v>2019</v>
      </c>
      <c r="J423" s="153">
        <f>J$1882</f>
        <v>2020</v>
      </c>
      <c r="K423" s="153">
        <f>K$1882</f>
        <v>2021</v>
      </c>
      <c r="L423" s="153">
        <f>L$1882</f>
        <v>2022</v>
      </c>
      <c r="M423" s="153">
        <f>M$1882</f>
        <v>2023</v>
      </c>
      <c r="N423" s="903"/>
      <c r="O423" s="17"/>
      <c r="AA423" s="815"/>
    </row>
    <row r="424" spans="2:27" ht="12.75" customHeight="1" x14ac:dyDescent="0.25">
      <c r="B424" s="17"/>
      <c r="C424" s="900"/>
      <c r="D424" s="193" t="s">
        <v>210</v>
      </c>
      <c r="E424" s="1524"/>
      <c r="F424" s="1524"/>
      <c r="G424" s="1524"/>
      <c r="H424" s="853" t="str">
        <f>IF(E424&lt;&gt;"",INDEX(EUconst_BMlistUnits,MATCH(E424,EUconst_BMlistNames,0)),EUconst_Tons)</f>
        <v>tonnes</v>
      </c>
      <c r="I424" s="953"/>
      <c r="J424" s="953"/>
      <c r="K424" s="953"/>
      <c r="L424" s="953"/>
      <c r="M424" s="953"/>
      <c r="N424" s="903"/>
      <c r="O424" s="17"/>
      <c r="P424" s="63" t="str">
        <f>EUconst_CNTR_IntermediateExport &amp; R420 &amp; "_" &amp; I253</f>
        <v>IntExp_1_</v>
      </c>
      <c r="R424" s="63">
        <v>1</v>
      </c>
      <c r="U424" s="955"/>
      <c r="V424" s="955"/>
      <c r="AA424" s="285" t="b">
        <f>AA420</f>
        <v>0</v>
      </c>
    </row>
    <row r="425" spans="2:27" ht="12.75" customHeight="1" x14ac:dyDescent="0.25">
      <c r="B425" s="17"/>
      <c r="C425" s="900"/>
      <c r="D425" s="193" t="s">
        <v>220</v>
      </c>
      <c r="E425" s="1525"/>
      <c r="F425" s="1525"/>
      <c r="G425" s="1525"/>
      <c r="H425" s="950" t="str">
        <f>IF(E425&lt;&gt;"",INDEX(EUconst_BMlistUnits,MATCH(E425,EUconst_BMlistNames,0)),EUconst_Tons)</f>
        <v>tonnes</v>
      </c>
      <c r="I425" s="954"/>
      <c r="J425" s="954"/>
      <c r="K425" s="954"/>
      <c r="L425" s="954"/>
      <c r="M425" s="954"/>
      <c r="N425" s="903"/>
      <c r="O425" s="17"/>
      <c r="P425" s="63" t="str">
        <f>EUconst_CNTR_IntermediateExport &amp; R425 &amp; "_" &amp; I253</f>
        <v>IntExp_2_</v>
      </c>
      <c r="R425" s="63">
        <v>2</v>
      </c>
      <c r="U425" s="955"/>
      <c r="V425" s="955"/>
      <c r="AA425" s="285" t="b">
        <f>AA420</f>
        <v>0</v>
      </c>
    </row>
    <row r="426" spans="2:27" ht="5.0999999999999996" customHeight="1" x14ac:dyDescent="0.25">
      <c r="B426" s="17"/>
      <c r="C426" s="900"/>
      <c r="D426" s="193"/>
      <c r="E426" s="193"/>
      <c r="F426" s="193"/>
      <c r="G426" s="193"/>
      <c r="H426" s="193"/>
      <c r="I426" s="193"/>
      <c r="J426" s="193"/>
      <c r="K426" s="193"/>
      <c r="L426" s="193"/>
      <c r="M426" s="193"/>
      <c r="N426" s="903"/>
      <c r="O426" s="17"/>
      <c r="U426" s="955"/>
      <c r="V426" s="955"/>
      <c r="AA426" s="815"/>
    </row>
    <row r="427" spans="2:27" ht="12.75" customHeight="1" x14ac:dyDescent="0.25">
      <c r="B427" s="17"/>
      <c r="C427" s="900"/>
      <c r="D427" s="193" t="s">
        <v>221</v>
      </c>
      <c r="E427" s="1514" t="str">
        <f>Translations!$B$816</f>
        <v>Description of the intermediate products imported or exported</v>
      </c>
      <c r="F427" s="1514"/>
      <c r="G427" s="1514"/>
      <c r="H427" s="1514"/>
      <c r="I427" s="1514"/>
      <c r="J427" s="1514"/>
      <c r="K427" s="1514"/>
      <c r="L427" s="1514"/>
      <c r="M427" s="1514"/>
      <c r="N427" s="903"/>
      <c r="O427" s="17"/>
      <c r="U427" s="955"/>
      <c r="V427" s="955"/>
      <c r="AA427" s="815"/>
    </row>
    <row r="428" spans="2:27" ht="12.75" customHeight="1" x14ac:dyDescent="0.25">
      <c r="B428" s="17"/>
      <c r="C428" s="900"/>
      <c r="D428" s="193"/>
      <c r="E428" s="1516"/>
      <c r="F428" s="1517"/>
      <c r="G428" s="1517"/>
      <c r="H428" s="1517"/>
      <c r="I428" s="1517"/>
      <c r="J428" s="1517"/>
      <c r="K428" s="1517"/>
      <c r="L428" s="1517"/>
      <c r="M428" s="1518"/>
      <c r="N428" s="903"/>
      <c r="O428" s="17"/>
      <c r="U428" s="955"/>
      <c r="V428" s="955"/>
      <c r="AA428" s="285" t="b">
        <f>AA420</f>
        <v>0</v>
      </c>
    </row>
    <row r="429" spans="2:27" ht="12.75" customHeight="1" thickBot="1" x14ac:dyDescent="0.3">
      <c r="B429" s="17"/>
      <c r="C429" s="900"/>
      <c r="D429" s="193"/>
      <c r="E429" s="1519"/>
      <c r="F429" s="1520"/>
      <c r="G429" s="1520"/>
      <c r="H429" s="1520"/>
      <c r="I429" s="1520"/>
      <c r="J429" s="1520"/>
      <c r="K429" s="1520"/>
      <c r="L429" s="1520"/>
      <c r="M429" s="1521"/>
      <c r="N429" s="903"/>
      <c r="O429" s="17"/>
      <c r="U429" s="955"/>
      <c r="V429" s="955"/>
      <c r="AA429" s="286" t="b">
        <f>AA420</f>
        <v>0</v>
      </c>
    </row>
    <row r="430" spans="2:27" ht="12.75" customHeight="1" thickBot="1" x14ac:dyDescent="0.3">
      <c r="B430" s="17"/>
      <c r="C430" s="956"/>
      <c r="D430" s="465"/>
      <c r="E430" s="465"/>
      <c r="F430" s="465"/>
      <c r="G430" s="465"/>
      <c r="H430" s="465"/>
      <c r="I430" s="465"/>
      <c r="J430" s="465"/>
      <c r="K430" s="465"/>
      <c r="L430" s="465"/>
      <c r="M430" s="465"/>
      <c r="N430" s="466"/>
      <c r="O430" s="17"/>
    </row>
    <row r="431" spans="2:27" ht="13.8" thickBot="1" x14ac:dyDescent="0.3">
      <c r="B431" s="17"/>
      <c r="C431" s="17"/>
      <c r="D431" s="17"/>
      <c r="E431" s="17"/>
      <c r="F431" s="17"/>
      <c r="G431" s="17"/>
      <c r="H431" s="17"/>
      <c r="I431" s="17"/>
      <c r="J431" s="17"/>
      <c r="K431" s="17"/>
      <c r="L431" s="17"/>
      <c r="M431" s="17"/>
      <c r="N431" s="17"/>
      <c r="O431" s="17"/>
      <c r="P431" s="372" t="str">
        <f>IF(OR(AND(CNTR_ExistProductSubEntries=FALSE,P253=1),AND(I253&lt;&gt;"",COUNTIF(P432:$P$1876,"PRINT")=0)),"PRINT","")</f>
        <v/>
      </c>
      <c r="Q431" s="145" t="s">
        <v>442</v>
      </c>
    </row>
    <row r="432" spans="2:27" ht="5.0999999999999996" customHeight="1" thickBot="1" x14ac:dyDescent="0.3">
      <c r="B432" s="17"/>
      <c r="C432" s="957"/>
      <c r="D432" s="957"/>
      <c r="E432" s="957"/>
      <c r="F432" s="957"/>
      <c r="G432" s="957"/>
      <c r="H432" s="957"/>
      <c r="I432" s="957"/>
      <c r="J432" s="957"/>
      <c r="K432" s="957"/>
      <c r="L432" s="957"/>
      <c r="M432" s="957"/>
      <c r="N432" s="957"/>
      <c r="O432" s="17"/>
    </row>
    <row r="433" spans="2:27" ht="14.4" thickBot="1" x14ac:dyDescent="0.3">
      <c r="B433" s="17"/>
      <c r="C433" s="456">
        <f>C253+1</f>
        <v>3</v>
      </c>
      <c r="D433" s="1234" t="str">
        <f>EUconst_BMSubinst &amp; ":"</f>
        <v>Sub-installation with product benchmark:</v>
      </c>
      <c r="E433" s="1176"/>
      <c r="F433" s="1176"/>
      <c r="G433" s="1176"/>
      <c r="H433" s="1260"/>
      <c r="I433" s="1550" t="str">
        <f>IF(INDEX(CNTR_SubInstListIsProdBM,$C433),INDEX(CNTR_SubInstListNames,$C433),"")</f>
        <v/>
      </c>
      <c r="J433" s="1509"/>
      <c r="K433" s="1509"/>
      <c r="L433" s="1509"/>
      <c r="M433" s="1509"/>
      <c r="N433" s="1189"/>
      <c r="O433" s="17"/>
      <c r="P433" s="372">
        <f>C433</f>
        <v>3</v>
      </c>
      <c r="Q433" s="288" t="s">
        <v>296</v>
      </c>
      <c r="R433" s="457" t="str">
        <f>IF(I433="","",INDEX(CNTR_SubInstStartDate,MATCH($I433,CNTR_SubInstListNames,0)))</f>
        <v/>
      </c>
      <c r="S433" s="458" t="b">
        <f>IF($I433="",FALSE,AND(I$1885, IF($R433&lt;DATE($L$1882,1,1),YEAR($R433)&lt;=I$1882,YEAR($R433-1)&lt;I$1882) ) )</f>
        <v>0</v>
      </c>
      <c r="T433" s="458" t="b">
        <f>IF($I433="",FALSE,AND(J$1885, IF($R433&lt;DATE($L$1882,1,1),YEAR($R433)&lt;=J$1882,YEAR($R433-1)&lt;J$1882) ) )</f>
        <v>0</v>
      </c>
      <c r="U433" s="458" t="b">
        <f>IF($I433="",FALSE,AND(K$1885, IF($R433&lt;DATE($L$1882,1,1),YEAR($R433)&lt;=K$1882,YEAR($R433-1)&lt;K$1882) ) )</f>
        <v>0</v>
      </c>
      <c r="V433" s="458" t="b">
        <f>IF($I433="",FALSE,AND(L$1885, IF($R433&lt;DATE($L$1882,1,1),YEAR($R433)&lt;=L$1882,YEAR($R433-1)&lt;L$1882) ) )</f>
        <v>0</v>
      </c>
      <c r="W433" s="458" t="b">
        <f>IF($I433="",FALSE,AND(M$1885, IF($R433&lt;DATE($L$1882,1,1),YEAR($R433)&lt;=M$1882,YEAR($R433-1)&lt;M$1882) ) )</f>
        <v>0</v>
      </c>
      <c r="Z433" s="288" t="s">
        <v>390</v>
      </c>
      <c r="AA433" s="410" t="b">
        <f>AND(CNTR_ExistSubInstEntries,I433="")</f>
        <v>0</v>
      </c>
    </row>
    <row r="434" spans="2:27" ht="5.0999999999999996" customHeight="1" x14ac:dyDescent="0.25">
      <c r="B434" s="17"/>
      <c r="C434" s="17"/>
      <c r="D434" s="17"/>
      <c r="E434" s="17"/>
      <c r="F434" s="17"/>
      <c r="G434" s="17"/>
      <c r="H434" s="17"/>
      <c r="I434" s="17"/>
      <c r="J434" s="17"/>
      <c r="K434" s="17"/>
      <c r="L434" s="17"/>
      <c r="M434" s="17"/>
      <c r="N434" s="17"/>
      <c r="O434" s="17"/>
    </row>
    <row r="435" spans="2:27" ht="12.75" customHeight="1" x14ac:dyDescent="0.25">
      <c r="B435" s="17"/>
      <c r="C435" s="17"/>
      <c r="D435" s="17"/>
      <c r="E435" s="1413" t="str">
        <f>CONCATENATE(EUconst_MsgSeeFirst," (F.I.1)")</f>
        <v>Detailed instructions for data entries in this tool can be found at the first copy of this tool.  (F.I.1)</v>
      </c>
      <c r="F435" s="1413"/>
      <c r="G435" s="1413"/>
      <c r="H435" s="1413"/>
      <c r="I435" s="1413"/>
      <c r="J435" s="1413"/>
      <c r="K435" s="1413"/>
      <c r="L435" s="1413"/>
      <c r="M435" s="1413"/>
      <c r="N435" s="1413"/>
      <c r="O435" s="17"/>
    </row>
    <row r="436" spans="2:27" ht="5.0999999999999996" customHeight="1" x14ac:dyDescent="0.25">
      <c r="B436" s="17"/>
      <c r="C436" s="17"/>
      <c r="D436" s="17"/>
      <c r="E436" s="17"/>
      <c r="F436" s="17"/>
      <c r="G436" s="17"/>
      <c r="H436" s="17"/>
      <c r="I436" s="17"/>
      <c r="J436" s="17"/>
      <c r="K436" s="17"/>
      <c r="L436" s="17"/>
      <c r="M436" s="17"/>
      <c r="N436" s="17"/>
      <c r="O436" s="17"/>
    </row>
    <row r="437" spans="2:27" ht="13.8" thickBot="1" x14ac:dyDescent="0.3">
      <c r="B437" s="17"/>
      <c r="C437" s="17"/>
      <c r="D437" s="15" t="s">
        <v>190</v>
      </c>
      <c r="E437" s="1165" t="str">
        <f>Translations!$B$670</f>
        <v>Historic activity levels</v>
      </c>
      <c r="F437" s="1176"/>
      <c r="G437" s="1176"/>
      <c r="H437" s="1176"/>
      <c r="I437" s="1176"/>
      <c r="J437" s="1176"/>
      <c r="K437" s="1176"/>
      <c r="L437" s="1176"/>
      <c r="M437" s="1176"/>
      <c r="N437" s="1176"/>
      <c r="O437" s="17"/>
    </row>
    <row r="438" spans="2:27" ht="13.5" customHeight="1" thickBot="1" x14ac:dyDescent="0.3">
      <c r="B438" s="17"/>
      <c r="C438" s="17"/>
      <c r="D438" s="15"/>
      <c r="E438" s="1259" t="str">
        <f>Translations!$B$676</f>
        <v>Annual activity levels:</v>
      </c>
      <c r="F438" s="1259"/>
      <c r="G438" s="1259"/>
      <c r="H438" s="23" t="str">
        <f>EUconst_Unit</f>
        <v>Unit</v>
      </c>
      <c r="I438" s="128">
        <f>I$1882</f>
        <v>2019</v>
      </c>
      <c r="J438" s="128">
        <f>J$1882</f>
        <v>2020</v>
      </c>
      <c r="K438" s="128">
        <f>K$1882</f>
        <v>2021</v>
      </c>
      <c r="L438" s="128">
        <f>L$1882</f>
        <v>2022</v>
      </c>
      <c r="M438" s="144">
        <f>M$1882</f>
        <v>2023</v>
      </c>
      <c r="N438" s="376" t="str">
        <f>IF(I433="","",IF(S443,YEAR(R433)+1,""))</f>
        <v/>
      </c>
      <c r="O438" s="17"/>
      <c r="Q438" s="147" t="s">
        <v>395</v>
      </c>
      <c r="R438" s="920"/>
      <c r="S438" s="920"/>
      <c r="T438" s="920"/>
      <c r="U438" s="920"/>
      <c r="V438" s="920"/>
      <c r="W438" s="921"/>
      <c r="Y438" s="316" t="b">
        <f>IF(CNTR_ExistSubInstEntries,IF(I433&lt;&gt;"",NOT(S443),TRUE),FALSE)</f>
        <v>0</v>
      </c>
      <c r="AA438" s="145" t="s">
        <v>396</v>
      </c>
    </row>
    <row r="439" spans="2:27" ht="13.8" thickBot="1" x14ac:dyDescent="0.3">
      <c r="B439" s="17"/>
      <c r="C439" s="17"/>
      <c r="D439" s="113" t="s">
        <v>206</v>
      </c>
      <c r="E439" s="1560" t="str">
        <f>I433</f>
        <v/>
      </c>
      <c r="F439" s="1560"/>
      <c r="G439" s="1560"/>
      <c r="H439" s="820" t="str">
        <f>IF(INDEX(CNTR_SubInstListIsProdBM,$C433),INDEX(CNTR_SubInstListHALUnit,$C433),EUconst_Tons)</f>
        <v>tonnes</v>
      </c>
      <c r="I439" s="231"/>
      <c r="J439" s="231"/>
      <c r="K439" s="231"/>
      <c r="L439" s="231"/>
      <c r="M439" s="375"/>
      <c r="N439" s="922"/>
      <c r="O439" s="17"/>
      <c r="P439" s="392" t="s">
        <v>397</v>
      </c>
      <c r="Q439" s="581" t="s">
        <v>398</v>
      </c>
      <c r="R439" s="65" t="s">
        <v>399</v>
      </c>
      <c r="S439" s="808">
        <f>I438</f>
        <v>2019</v>
      </c>
      <c r="T439" s="809">
        <f>J438</f>
        <v>2020</v>
      </c>
      <c r="U439" s="809">
        <f>K438</f>
        <v>2021</v>
      </c>
      <c r="V439" s="809">
        <f>L438</f>
        <v>2022</v>
      </c>
      <c r="W439" s="810">
        <f>M438</f>
        <v>2023</v>
      </c>
      <c r="Y439" s="406" t="b">
        <f>IF(CNTR_ExistSubInstEntries,IF(AND(I433&lt;&gt;"",N440=""),NOT(S443),TRUE),FALSE)</f>
        <v>0</v>
      </c>
      <c r="AA439" s="316" t="b">
        <f>IF(CNTR_ExistSubInstEntries,AND(I433&lt;&gt;"",Q443),FALSE)</f>
        <v>0</v>
      </c>
    </row>
    <row r="440" spans="2:27" ht="13.8" thickBot="1" x14ac:dyDescent="0.3">
      <c r="B440" s="17"/>
      <c r="C440" s="17"/>
      <c r="D440" s="113" t="s">
        <v>208</v>
      </c>
      <c r="E440" s="1560" t="str">
        <f>Translations!$B$677</f>
        <v>From sheet "H_SpecialBM":</v>
      </c>
      <c r="F440" s="1560"/>
      <c r="G440" s="1560"/>
      <c r="H440" s="820" t="str">
        <f>H439</f>
        <v>tonnes</v>
      </c>
      <c r="I440" s="148" t="str">
        <f>IF($I433="","",IF($Q443,SUMIF(H_SpecialBM!$P$9:$P$384,$P440,H_SpecialBM!I$9:I$384),""))</f>
        <v/>
      </c>
      <c r="J440" s="148" t="str">
        <f>IF($I433="","",IF($Q443,SUMIF(H_SpecialBM!$P$9:$P$384,$P440,H_SpecialBM!J$9:J$384),""))</f>
        <v/>
      </c>
      <c r="K440" s="148" t="str">
        <f>IF($I433="","",IF($Q443,SUMIF(H_SpecialBM!$P$9:$P$384,$P440,H_SpecialBM!K$9:K$384),""))</f>
        <v/>
      </c>
      <c r="L440" s="148" t="str">
        <f>IF($I433="","",IF($Q443,SUMIF(H_SpecialBM!$P$9:$P$384,$P440,H_SpecialBM!L$9:L$384),""))</f>
        <v/>
      </c>
      <c r="M440" s="923" t="str">
        <f>IF($I433="","",IF($Q443,SUMIF(H_SpecialBM!$P$9:$P$384,$P440,H_SpecialBM!M$9:M$384),""))</f>
        <v/>
      </c>
      <c r="N440" s="924" t="str">
        <f>IF($I433="","",IF(AND($Q443,$S443),SUMIF(H_SpecialBM!$P$9:$P$384,$P440,H_SpecialBM!N$9:N$384),""))</f>
        <v/>
      </c>
      <c r="O440" s="17"/>
      <c r="P440" s="392" t="str">
        <f>EUconst_CNTR_HALspecial&amp;I433</f>
        <v>HALspecial_</v>
      </c>
      <c r="Q440" s="391" t="str">
        <f>IF(COUNT($U440:$V440)&gt;0,SUM($U440:$V440),"")</f>
        <v/>
      </c>
      <c r="R440" s="925" t="str">
        <f>IF(COUNT(S440:W440)&gt;0,AVERAGE(S440:W440),"")</f>
        <v/>
      </c>
      <c r="S440" s="385" t="str">
        <f>IF(S433,IF(ISNUMBER(I440),I440,""),"")</f>
        <v/>
      </c>
      <c r="T440" s="926" t="str">
        <f>IF(T433,IF(ISNUMBER(J440),J440,""),"")</f>
        <v/>
      </c>
      <c r="U440" s="926" t="str">
        <f>IF(U433,IF(ISNUMBER(K440),K440,""),"")</f>
        <v/>
      </c>
      <c r="V440" s="926" t="str">
        <f>IF(V433,IF(ISNUMBER(L440),L440,""),"")</f>
        <v/>
      </c>
      <c r="W440" s="925" t="str">
        <f>IF(W433,IF(ISNUMBER(M440),M440,""),"")</f>
        <v/>
      </c>
      <c r="Y440" s="406" t="b">
        <f>OR(Y438,AA440)</f>
        <v>0</v>
      </c>
      <c r="AA440" s="317" t="b">
        <f>Q443=FALSE</f>
        <v>0</v>
      </c>
    </row>
    <row r="441" spans="2:27" ht="13.8" thickBot="1" x14ac:dyDescent="0.3">
      <c r="B441" s="17"/>
      <c r="C441" s="17"/>
      <c r="D441" s="113" t="s">
        <v>209</v>
      </c>
      <c r="E441" s="1560" t="str">
        <f>Translations!$B$678</f>
        <v>Values used for calculation:</v>
      </c>
      <c r="F441" s="1560"/>
      <c r="G441" s="1560"/>
      <c r="H441" s="820" t="str">
        <f>H440</f>
        <v>tonnes</v>
      </c>
      <c r="I441" s="148" t="str">
        <f>IF($I433="","",IF($Q443=TRUE,IF(ISNUMBER(I440),I440,0),IF(ISNUMBER(I439),I439,0)))</f>
        <v/>
      </c>
      <c r="J441" s="148" t="str">
        <f>IF($I433="","",IF($Q443=TRUE,IF(ISNUMBER(J440),J440,0),IF(ISNUMBER(J439),J439,0)))</f>
        <v/>
      </c>
      <c r="K441" s="148" t="str">
        <f>IF($I433="","",IF($Q443=TRUE,IF(ISNUMBER(K440),K440,0),IF(ISNUMBER(K439),K439,0)))</f>
        <v/>
      </c>
      <c r="L441" s="148" t="str">
        <f>IF($I433="","",IF($Q443=TRUE,IF(ISNUMBER(L440),L440,0),IF(ISNUMBER(L439),L439,0)))</f>
        <v/>
      </c>
      <c r="M441" s="923" t="str">
        <f>IF($I433="","",IF($Q443=TRUE,IF(ISNUMBER(M440),M440,0),IF(ISNUMBER(M439),M439,0)))</f>
        <v/>
      </c>
      <c r="N441" s="924" t="str">
        <f>IF($I433="","",IF(S443,IF($Q443=TRUE,IF(ISNUMBER(N440),N440,0),IF(ISNUMBER(N439),N439,0)),""))</f>
        <v/>
      </c>
      <c r="O441" s="17"/>
      <c r="P441" s="392" t="str">
        <f>EUconst_CNTR_HAL&amp;I433</f>
        <v>HAL_</v>
      </c>
      <c r="Q441" s="286" t="str">
        <f>IF(COUNT($U441:$V441)&gt;0,SUM($U441:$V441),"")</f>
        <v/>
      </c>
      <c r="R441" s="390" t="str">
        <f>IF(COUNT(S441:W441)&gt;0,AVERAGE(S441:W441),"")</f>
        <v/>
      </c>
      <c r="S441" s="388" t="str">
        <f>IF(S433,IF(ISNUMBER(I441),I441,""),"")</f>
        <v/>
      </c>
      <c r="T441" s="389" t="str">
        <f>IF(T433,IF(ISNUMBER(J441),J441,""),"")</f>
        <v/>
      </c>
      <c r="U441" s="389" t="str">
        <f>IF(U433,IF(ISNUMBER(K441),K441,""),"")</f>
        <v/>
      </c>
      <c r="V441" s="389" t="str">
        <f>IF(V433,IF(ISNUMBER(L441),L441,""),"")</f>
        <v/>
      </c>
      <c r="W441" s="390" t="str">
        <f>IF(W433,IF(ISNUMBER(M441),M441,""),"")</f>
        <v/>
      </c>
      <c r="Y441" s="286" t="b">
        <f>Y438</f>
        <v>0</v>
      </c>
    </row>
    <row r="442" spans="2:27" ht="5.0999999999999996" customHeight="1" x14ac:dyDescent="0.25">
      <c r="B442" s="17"/>
      <c r="C442" s="17"/>
      <c r="D442" s="17"/>
      <c r="E442" s="17"/>
      <c r="F442" s="17"/>
      <c r="G442" s="17"/>
      <c r="H442" s="17"/>
      <c r="I442" s="17"/>
      <c r="J442" s="17"/>
      <c r="K442" s="17"/>
      <c r="L442" s="17"/>
      <c r="M442" s="17"/>
      <c r="N442" s="17"/>
      <c r="O442" s="17"/>
    </row>
    <row r="443" spans="2:27" x14ac:dyDescent="0.25">
      <c r="B443" s="17"/>
      <c r="C443" s="17"/>
      <c r="D443" s="15" t="s">
        <v>192</v>
      </c>
      <c r="E443" s="1165" t="str">
        <f>Translations!$B$679</f>
        <v>Special reporting requirements:</v>
      </c>
      <c r="F443" s="1165"/>
      <c r="G443" s="1425"/>
      <c r="H443" s="1561" t="str">
        <f>IF(I433="","",HYPERLINK(INDEX(EUconst_BMlistSpecialJumpTable,MATCH(I433,EUconst_BMlistNames,0)),INDEX(EUconst_BMlistSpecialReporting,MATCH(I433,EUconst_BMlistNames,0))))</f>
        <v/>
      </c>
      <c r="I443" s="1562"/>
      <c r="J443" s="1562"/>
      <c r="K443" s="1562"/>
      <c r="L443" s="1562"/>
      <c r="M443" s="1562"/>
      <c r="N443" s="1563"/>
      <c r="O443" s="17"/>
      <c r="P443" s="288" t="s">
        <v>400</v>
      </c>
      <c r="Q443" s="63" t="str">
        <f>IF(I433="","",IF(AND(INDEX(EUconst_BMlistSpecialJumpTable,MATCH(I433,EUconst_BMlistNames,0))&lt;&gt;"",MATCH(I433,EUconst_BMlistNames,0)&lt;&gt;47),TRUE,FALSE))</f>
        <v/>
      </c>
      <c r="R443" s="288" t="s">
        <v>304</v>
      </c>
      <c r="S443" s="63" t="b">
        <f>IF(I433="",FALSE,INDEX(CNTR_SubInstLess1Year,MATCH(I433,CNTR_SubInstListNames,0)))</f>
        <v>0</v>
      </c>
    </row>
    <row r="444" spans="2:27" ht="12.75" customHeight="1" x14ac:dyDescent="0.25">
      <c r="B444" s="17"/>
      <c r="C444" s="17"/>
      <c r="D444" s="17"/>
      <c r="E444" s="17"/>
      <c r="F444" s="17"/>
      <c r="G444" s="17"/>
      <c r="H444" s="17"/>
      <c r="I444" s="17"/>
      <c r="J444" s="17"/>
      <c r="K444" s="17"/>
      <c r="L444" s="17"/>
      <c r="M444" s="17"/>
      <c r="N444" s="17"/>
      <c r="O444" s="17"/>
    </row>
    <row r="445" spans="2:27" ht="15" customHeight="1" x14ac:dyDescent="0.25">
      <c r="B445" s="17"/>
      <c r="C445" s="17"/>
      <c r="D445" s="1234" t="str">
        <f>Translations!$B$681</f>
        <v>Further correction factors</v>
      </c>
      <c r="E445" s="1176"/>
      <c r="F445" s="1176"/>
      <c r="G445" s="1176"/>
      <c r="H445" s="1176"/>
      <c r="I445" s="1176"/>
      <c r="J445" s="1176"/>
      <c r="K445" s="1176"/>
      <c r="L445" s="1176"/>
      <c r="M445" s="1176"/>
      <c r="N445" s="1176"/>
      <c r="O445" s="17"/>
    </row>
    <row r="446" spans="2:27" ht="5.0999999999999996" customHeight="1" x14ac:dyDescent="0.25">
      <c r="B446" s="17"/>
      <c r="C446" s="17"/>
      <c r="D446" s="17"/>
      <c r="E446" s="17"/>
      <c r="F446" s="17"/>
      <c r="G446" s="17"/>
      <c r="H446" s="17"/>
      <c r="I446" s="17"/>
      <c r="J446" s="17"/>
      <c r="K446" s="17"/>
      <c r="L446" s="17"/>
      <c r="M446" s="17"/>
      <c r="N446" s="17"/>
      <c r="O446" s="17"/>
    </row>
    <row r="447" spans="2:27" ht="13.8" thickBot="1" x14ac:dyDescent="0.3">
      <c r="B447" s="17"/>
      <c r="C447" s="17"/>
      <c r="D447" s="15" t="s">
        <v>195</v>
      </c>
      <c r="E447" s="1165" t="str">
        <f>Translations!$B$682</f>
        <v>Exchangeability of fuel and electricity:</v>
      </c>
      <c r="F447" s="1176"/>
      <c r="G447" s="1176"/>
      <c r="H447" s="1176"/>
      <c r="I447" s="1260"/>
      <c r="J447" s="1561" t="str">
        <f>IF(I433="","",IF(INDEX(EUconst_BMlistElExchangability,MATCH(I433,EUconst_BMlistNames,0))=TRUE,"",HYPERLINK(Q447,EUconst_MsgGoOn)))</f>
        <v/>
      </c>
      <c r="K447" s="1564"/>
      <c r="L447" s="1564"/>
      <c r="M447" s="1564"/>
      <c r="N447" s="1205"/>
      <c r="O447" s="17"/>
      <c r="P447" s="145" t="s">
        <v>334</v>
      </c>
      <c r="Q447" s="372" t="str">
        <f>"#"&amp;ADDRESS(ROW(D455),COLUMN(D455))</f>
        <v>#$D$455</v>
      </c>
    </row>
    <row r="448" spans="2:27" ht="13.8" thickBot="1" x14ac:dyDescent="0.3">
      <c r="B448" s="17"/>
      <c r="C448" s="17"/>
      <c r="D448" s="15"/>
      <c r="E448" s="1259" t="str">
        <f>Translations!$B$686</f>
        <v>Parameter</v>
      </c>
      <c r="F448" s="1212"/>
      <c r="G448" s="1212"/>
      <c r="H448" s="23" t="str">
        <f>EUconst_Unit</f>
        <v>Unit</v>
      </c>
      <c r="I448" s="128">
        <f>I$66</f>
        <v>2019</v>
      </c>
      <c r="J448" s="128">
        <f>J$66</f>
        <v>2020</v>
      </c>
      <c r="K448" s="128">
        <f>K$66</f>
        <v>2021</v>
      </c>
      <c r="L448" s="128">
        <f>L$66</f>
        <v>2022</v>
      </c>
      <c r="M448" s="144">
        <f>M$66</f>
        <v>2023</v>
      </c>
      <c r="N448" s="376" t="str">
        <f>IF(AA449=FALSE,N438,"")</f>
        <v/>
      </c>
      <c r="O448" s="17"/>
      <c r="Y448" s="316" t="b">
        <f>OR(Y438,AA449)</f>
        <v>0</v>
      </c>
      <c r="AA448" s="145" t="s">
        <v>402</v>
      </c>
    </row>
    <row r="449" spans="2:27" ht="13.8" thickBot="1" x14ac:dyDescent="0.3">
      <c r="B449" s="17"/>
      <c r="C449" s="17"/>
      <c r="D449" s="113" t="s">
        <v>206</v>
      </c>
      <c r="E449" s="1248" t="str">
        <f>Translations!$B$687</f>
        <v>Direct emissions</v>
      </c>
      <c r="F449" s="1248"/>
      <c r="G449" s="1248"/>
      <c r="H449" s="222" t="str">
        <f>EUconst_tCO2pa</f>
        <v>t CO2 / year</v>
      </c>
      <c r="I449" s="331"/>
      <c r="J449" s="331"/>
      <c r="K449" s="332"/>
      <c r="L449" s="331"/>
      <c r="M449" s="377"/>
      <c r="N449" s="383"/>
      <c r="O449" s="17"/>
      <c r="Y449" s="285" t="b">
        <f>Y448</f>
        <v>0</v>
      </c>
      <c r="AA449" s="316" t="b">
        <f>IF(CNTR_ExistSubInstEntries,IF(I433&lt;&gt;"",IF(INDEX(EUconst_BMlistElExchangability,MATCH(I433,EUconst_BMlistNames,0)),FALSE,TRUE),TRUE),FALSE)</f>
        <v>0</v>
      </c>
    </row>
    <row r="450" spans="2:27" x14ac:dyDescent="0.25">
      <c r="B450" s="17"/>
      <c r="C450" s="17"/>
      <c r="D450" s="113" t="s">
        <v>208</v>
      </c>
      <c r="E450" s="1251" t="str">
        <f>Translations!$B$688</f>
        <v>Net imported heat</v>
      </c>
      <c r="F450" s="1251"/>
      <c r="G450" s="1251"/>
      <c r="H450" s="225" t="str">
        <f>EUconst_TJpa</f>
        <v>TJ / year</v>
      </c>
      <c r="I450" s="226" t="str">
        <f>IF($I433&lt;&gt;"",IF(INDEX(EUconst_BMlistElExchangability,MATCH($I433,EUconst_BMlistNames,0)),SUM(I534),""),"")</f>
        <v/>
      </c>
      <c r="J450" s="226" t="str">
        <f>IF($I433&lt;&gt;"",IF(INDEX(EUconst_BMlistElExchangability,MATCH($I433,EUconst_BMlistNames,0)),SUM(J534),""),"")</f>
        <v/>
      </c>
      <c r="K450" s="226" t="str">
        <f>IF($I433&lt;&gt;"",IF(INDEX(EUconst_BMlistElExchangability,MATCH($I433,EUconst_BMlistNames,0)),SUM(K534),""),"")</f>
        <v/>
      </c>
      <c r="L450" s="226" t="str">
        <f>IF($I433&lt;&gt;"",IF(INDEX(EUconst_BMlistElExchangability,MATCH($I433,EUconst_BMlistNames,0)),SUM(L534),""),"")</f>
        <v/>
      </c>
      <c r="M450" s="378" t="str">
        <f>IF($I433&lt;&gt;"",IF(INDEX(EUconst_BMlistElExchangability,MATCH($I433,EUconst_BMlistNames,0)),SUM(M534),""),"")</f>
        <v/>
      </c>
      <c r="N450" s="384"/>
      <c r="O450" s="17"/>
      <c r="R450" s="459"/>
      <c r="S450" s="326">
        <f>I448</f>
        <v>2019</v>
      </c>
      <c r="T450" s="326">
        <f>J448</f>
        <v>2020</v>
      </c>
      <c r="U450" s="326">
        <f>K448</f>
        <v>2021</v>
      </c>
      <c r="V450" s="326">
        <f>L448</f>
        <v>2022</v>
      </c>
      <c r="W450" s="327">
        <f>M448</f>
        <v>2023</v>
      </c>
      <c r="Y450" s="285" t="b">
        <f>Y449</f>
        <v>0</v>
      </c>
      <c r="AA450" s="285" t="b">
        <f>AA449</f>
        <v>0</v>
      </c>
    </row>
    <row r="451" spans="2:27" ht="12.75" customHeight="1" thickBot="1" x14ac:dyDescent="0.3">
      <c r="B451" s="17"/>
      <c r="C451" s="17"/>
      <c r="D451" s="113" t="s">
        <v>209</v>
      </c>
      <c r="E451" s="1565" t="str">
        <f>Translations!$B$689</f>
        <v>Relevant electricity consumption</v>
      </c>
      <c r="F451" s="1565"/>
      <c r="G451" s="1565"/>
      <c r="H451" s="927" t="str">
        <f>EUconst_MWhpa</f>
        <v>MWh / year</v>
      </c>
      <c r="I451" s="928"/>
      <c r="J451" s="928"/>
      <c r="K451" s="928"/>
      <c r="L451" s="928"/>
      <c r="M451" s="929"/>
      <c r="N451" s="930"/>
      <c r="O451" s="17"/>
      <c r="P451" s="63" t="str">
        <f>EUconst_CNTR_HAL&amp;EUconst_CNTR_ELEXCH</f>
        <v>HAL_ELEXCH_</v>
      </c>
      <c r="Q451" s="63" t="str">
        <f>EUconst_CNTR_HAL&amp;EUconst_CNTR_ELEXCH &amp; I433</f>
        <v>HAL_ELEXCH_</v>
      </c>
      <c r="R451" s="460" t="str">
        <f>EUconst_CNTR_AttributedEmissions &amp; I433</f>
        <v>AttrEmissions_</v>
      </c>
      <c r="S451" s="389" t="str">
        <f>IF(S433,SUM(I451)*EUconst_ElBM,"")</f>
        <v/>
      </c>
      <c r="T451" s="389" t="str">
        <f>IF(T433,SUM(J451)*EUconst_ElBM,"")</f>
        <v/>
      </c>
      <c r="U451" s="389" t="str">
        <f>IF(U433,SUM(K451)*EUconst_ElBM,"")</f>
        <v/>
      </c>
      <c r="V451" s="389" t="str">
        <f>IF(V433,SUM(L451)*EUconst_ElBM,"")</f>
        <v/>
      </c>
      <c r="W451" s="390" t="str">
        <f>IF(W433,SUM(M451)*EUconst_ElBM,"")</f>
        <v/>
      </c>
      <c r="X451" s="145" t="str">
        <f>N448</f>
        <v/>
      </c>
      <c r="Y451" s="285" t="b">
        <f>Y450</f>
        <v>0</v>
      </c>
      <c r="AA451" s="285" t="b">
        <f>AA450</f>
        <v>0</v>
      </c>
    </row>
    <row r="452" spans="2:27" ht="13.8" thickBot="1" x14ac:dyDescent="0.3">
      <c r="B452" s="17"/>
      <c r="C452" s="17"/>
      <c r="D452" s="113" t="s">
        <v>210</v>
      </c>
      <c r="E452" s="1248" t="str">
        <f>Translations!$B$690</f>
        <v>Total direct emissions</v>
      </c>
      <c r="F452" s="1248"/>
      <c r="G452" s="1248"/>
      <c r="H452" s="222" t="str">
        <f>EUconst_tCO2pa</f>
        <v>t CO2 / year</v>
      </c>
      <c r="I452" s="223" t="str">
        <f>IF(ISNUMBER(I449),I449+SUM(I450)*EUconst_HeatBMvalue,"")</f>
        <v/>
      </c>
      <c r="J452" s="223" t="str">
        <f>IF(ISNUMBER(J449),J449+SUM(J450)*EUconst_HeatBMvalue,"")</f>
        <v/>
      </c>
      <c r="K452" s="224" t="str">
        <f>IF(ISNUMBER(K449),K449+SUM(K450)*EUconst_HeatBMvalue,"")</f>
        <v/>
      </c>
      <c r="L452" s="223" t="str">
        <f>IF(ISNUMBER(L449),L449+SUM(L450)*EUconst_HeatBMvalue,"")</f>
        <v/>
      </c>
      <c r="M452" s="379" t="str">
        <f>IF(ISNUMBER(M449),M449+SUM(M450)*EUconst_HeatBMvalue,"")</f>
        <v/>
      </c>
      <c r="N452" s="381" t="str">
        <f>IF(AND(S443,ISNUMBER(N449)),N449+SUM(N450)*EUconst_HeatBMvalue,"")</f>
        <v/>
      </c>
      <c r="O452" s="17"/>
      <c r="R452" s="288" t="s">
        <v>403</v>
      </c>
      <c r="S452" s="385" t="str">
        <f>IF(S433,IF(ISNUMBER(I452),I452,0),"")</f>
        <v/>
      </c>
      <c r="T452" s="386" t="str">
        <f>IF(T433,IF(ISNUMBER(J452),J452,0),"")</f>
        <v/>
      </c>
      <c r="U452" s="386" t="str">
        <f>IF(U433,IF(ISNUMBER(K452),K452,0),"")</f>
        <v/>
      </c>
      <c r="V452" s="386" t="str">
        <f>IF(V433,IF(ISNUMBER(L452),L452,0),"")</f>
        <v/>
      </c>
      <c r="W452" s="387" t="str">
        <f>IF(W433,IF(ISNUMBER(M452),M452,0),"")</f>
        <v/>
      </c>
      <c r="X452" s="391" t="str">
        <f>IF(S443,IF(ISNUMBER(N452),N452,0),"")</f>
        <v/>
      </c>
      <c r="Y452" s="285" t="b">
        <f>Y451</f>
        <v>0</v>
      </c>
      <c r="AA452" s="285" t="b">
        <f>AA451</f>
        <v>0</v>
      </c>
    </row>
    <row r="453" spans="2:27" ht="13.8" thickBot="1" x14ac:dyDescent="0.3">
      <c r="B453" s="17"/>
      <c r="C453" s="17"/>
      <c r="D453" s="113" t="s">
        <v>220</v>
      </c>
      <c r="E453" s="1254" t="str">
        <f>Translations!$B$691</f>
        <v>Indirect emissions</v>
      </c>
      <c r="F453" s="1254"/>
      <c r="G453" s="1254"/>
      <c r="H453" s="227" t="str">
        <f>EUconst_tCO2pa</f>
        <v>t CO2 / year</v>
      </c>
      <c r="I453" s="228" t="str">
        <f t="shared" ref="I453:N453" si="8">IF(ISNUMBER(I451),I451*EUconst_ElBM,"")</f>
        <v/>
      </c>
      <c r="J453" s="228" t="str">
        <f t="shared" si="8"/>
        <v/>
      </c>
      <c r="K453" s="229" t="str">
        <f t="shared" si="8"/>
        <v/>
      </c>
      <c r="L453" s="228" t="str">
        <f t="shared" si="8"/>
        <v/>
      </c>
      <c r="M453" s="380" t="str">
        <f t="shared" si="8"/>
        <v/>
      </c>
      <c r="N453" s="382" t="str">
        <f t="shared" si="8"/>
        <v/>
      </c>
      <c r="O453" s="17"/>
      <c r="P453" s="392" t="str">
        <f>EUconst_CNTR_ELEXCH &amp; I433</f>
        <v>ELEXCH_</v>
      </c>
      <c r="Q453" s="393" t="str">
        <f>IF(SUM(S453:X453)&lt;&gt;0,SUM(S452:X452)/SUM(S453:X453),EUconst_NA)</f>
        <v>N.A.</v>
      </c>
      <c r="R453" s="288" t="s">
        <v>323</v>
      </c>
      <c r="S453" s="388" t="str">
        <f>IF(S433,IF(COUNT(I452:I453)&gt;0,SUM(I452:I453),0),"")</f>
        <v/>
      </c>
      <c r="T453" s="389" t="str">
        <f>IF(T433,IF(COUNT(J452:J453)&gt;0,SUM(J452:J453),0),"")</f>
        <v/>
      </c>
      <c r="U453" s="389" t="str">
        <f>IF(U433,IF(COUNT(K452:K453)&gt;0,SUM(K452:K453),0),"")</f>
        <v/>
      </c>
      <c r="V453" s="389" t="str">
        <f>IF(V433,IF(COUNT(L452:L453)&gt;0,SUM(L452:L453),0),"")</f>
        <v/>
      </c>
      <c r="W453" s="390" t="str">
        <f>IF(W433,IF(COUNT(M452:M453)&gt;0,SUM(M452:M453),0),"")</f>
        <v/>
      </c>
      <c r="X453" s="286" t="str">
        <f>IF(S443,IF(COUNT(N452:N453)&gt;0,SUM(N452:N453),0),"")</f>
        <v/>
      </c>
      <c r="Y453" s="286" t="b">
        <f>Y452</f>
        <v>0</v>
      </c>
      <c r="AA453" s="286" t="b">
        <f>AA452</f>
        <v>0</v>
      </c>
    </row>
    <row r="454" spans="2:27" ht="5.0999999999999996" customHeight="1" x14ac:dyDescent="0.25">
      <c r="B454" s="17"/>
      <c r="C454" s="17"/>
      <c r="D454" s="17"/>
      <c r="E454" s="17"/>
      <c r="F454" s="17"/>
      <c r="G454" s="17"/>
      <c r="H454" s="17"/>
      <c r="I454" s="17"/>
      <c r="J454" s="17"/>
      <c r="K454" s="17"/>
      <c r="L454" s="17"/>
      <c r="M454" s="17"/>
      <c r="N454" s="17"/>
      <c r="O454" s="17"/>
    </row>
    <row r="455" spans="2:27" x14ac:dyDescent="0.25">
      <c r="B455" s="17"/>
      <c r="C455" s="17"/>
      <c r="D455" s="15" t="s">
        <v>197</v>
      </c>
      <c r="E455" s="1165" t="str">
        <f>Translations!$B$692</f>
        <v>Heat imported from non-ETS installations or entities:</v>
      </c>
      <c r="F455" s="1165"/>
      <c r="G455" s="1165"/>
      <c r="H455" s="1165"/>
      <c r="I455" s="1425"/>
      <c r="J455" s="1561" t="str">
        <f>IF(I433="","",HYPERLINK(Q455,EUconst_MsgGoOnIfNotRelevant))</f>
        <v/>
      </c>
      <c r="K455" s="1564"/>
      <c r="L455" s="1564"/>
      <c r="M455" s="1564"/>
      <c r="N455" s="1205"/>
      <c r="O455" s="17"/>
      <c r="P455" s="145" t="s">
        <v>334</v>
      </c>
      <c r="Q455" s="372" t="str">
        <f>"#"&amp;ADDRESS(ROW(D462),COLUMN(D462))</f>
        <v>#$D$462</v>
      </c>
    </row>
    <row r="456" spans="2:27" ht="13.5" customHeight="1" thickBot="1" x14ac:dyDescent="0.3">
      <c r="B456" s="17"/>
      <c r="C456" s="17"/>
      <c r="D456" s="17"/>
      <c r="E456" s="1223"/>
      <c r="F456" s="1223"/>
      <c r="G456" s="1223"/>
      <c r="H456" s="1223"/>
      <c r="I456" s="1223"/>
      <c r="J456" s="1223"/>
      <c r="K456" s="1223"/>
      <c r="L456" s="1223"/>
      <c r="M456" s="1223"/>
      <c r="N456" s="1223"/>
      <c r="O456" s="17"/>
      <c r="Y456" s="145" t="s">
        <v>394</v>
      </c>
    </row>
    <row r="457" spans="2:27" ht="13.8" thickBot="1" x14ac:dyDescent="0.3">
      <c r="B457" s="17"/>
      <c r="C457" s="17"/>
      <c r="D457" s="15"/>
      <c r="E457" s="1259" t="str">
        <f>Translations!$B$686</f>
        <v>Parameter</v>
      </c>
      <c r="F457" s="1212"/>
      <c r="G457" s="1212"/>
      <c r="H457" s="23" t="str">
        <f>EUconst_Unit</f>
        <v>Unit</v>
      </c>
      <c r="I457" s="128">
        <f>I$66</f>
        <v>2019</v>
      </c>
      <c r="J457" s="128">
        <f>J$66</f>
        <v>2020</v>
      </c>
      <c r="K457" s="128">
        <f>K$66</f>
        <v>2021</v>
      </c>
      <c r="L457" s="128">
        <f>L$66</f>
        <v>2022</v>
      </c>
      <c r="M457" s="144">
        <f>M$66</f>
        <v>2023</v>
      </c>
      <c r="N457" s="376" t="str">
        <f>N448</f>
        <v/>
      </c>
      <c r="O457" s="17"/>
      <c r="Q457" s="28"/>
      <c r="S457" s="28">
        <f t="shared" ref="S457:X457" si="9">I457</f>
        <v>2019</v>
      </c>
      <c r="T457" s="28">
        <f t="shared" si="9"/>
        <v>2020</v>
      </c>
      <c r="U457" s="28">
        <f t="shared" si="9"/>
        <v>2021</v>
      </c>
      <c r="V457" s="28">
        <f t="shared" si="9"/>
        <v>2022</v>
      </c>
      <c r="W457" s="28">
        <f t="shared" si="9"/>
        <v>2023</v>
      </c>
      <c r="X457" s="145" t="str">
        <f t="shared" si="9"/>
        <v/>
      </c>
      <c r="Y457" s="295" t="b">
        <f>Y438</f>
        <v>0</v>
      </c>
      <c r="Z457" s="28"/>
      <c r="AA457" s="145" t="s">
        <v>396</v>
      </c>
    </row>
    <row r="458" spans="2:27" ht="13.8" thickBot="1" x14ac:dyDescent="0.3">
      <c r="B458" s="17"/>
      <c r="C458" s="17"/>
      <c r="D458" s="113" t="s">
        <v>206</v>
      </c>
      <c r="E458" s="1412" t="str">
        <f>Translations!$B$697</f>
        <v>Measurable heat imported from non-ETS:</v>
      </c>
      <c r="F458" s="1412"/>
      <c r="G458" s="1412"/>
      <c r="H458" s="43" t="str">
        <f>EUconst_TJpa</f>
        <v>TJ / year</v>
      </c>
      <c r="I458" s="293"/>
      <c r="J458" s="293"/>
      <c r="K458" s="293"/>
      <c r="L458" s="293"/>
      <c r="M458" s="931"/>
      <c r="N458" s="397"/>
      <c r="O458" s="17"/>
      <c r="P458" s="63" t="str">
        <f>EUconst_CNTR_HAL&amp;EUconst_CNTR_nonETSMeasHeat</f>
        <v>HAL_non-ETS measurable heat</v>
      </c>
      <c r="S458" s="808" t="str">
        <f>IF(S433,IF(ISNUMBER(I458),I458,0),"")</f>
        <v/>
      </c>
      <c r="T458" s="809" t="str">
        <f>IF(T433,IF(ISNUMBER(J458),J458,0),"")</f>
        <v/>
      </c>
      <c r="U458" s="809" t="str">
        <f>IF(U433,IF(ISNUMBER(K458),K458,0),"")</f>
        <v/>
      </c>
      <c r="V458" s="809" t="str">
        <f>IF(V433,IF(ISNUMBER(L458),L458,0),"")</f>
        <v/>
      </c>
      <c r="W458" s="810" t="str">
        <f>IF(W433,IF(ISNUMBER(M458),M458,0),"")</f>
        <v/>
      </c>
      <c r="X458" s="215" t="str">
        <f>IF(S443,IF(ISNUMBER(N458),N458,0),"")</f>
        <v/>
      </c>
      <c r="Y458" s="286" t="b">
        <f>Y457</f>
        <v>0</v>
      </c>
      <c r="AA458" s="316" t="b">
        <f>AND(CNTR_ExistSubInstEntries,I433="")</f>
        <v>0</v>
      </c>
    </row>
    <row r="459" spans="2:27" ht="25.5" customHeight="1" thickBot="1" x14ac:dyDescent="0.3">
      <c r="B459" s="17"/>
      <c r="C459" s="17"/>
      <c r="D459" s="113" t="s">
        <v>208</v>
      </c>
      <c r="E459" s="1248" t="str">
        <f>Translations!$B$698</f>
        <v>Consistency check with sheet "E_Energy flows":</v>
      </c>
      <c r="F459" s="1248"/>
      <c r="G459" s="1248"/>
      <c r="H459" s="856" t="s">
        <v>354</v>
      </c>
      <c r="I459" s="932" t="str">
        <f>IF(AND(ISNUMBER(I458),ISNUMBER(E_EnergyFlows!I$102)), I458/E_EnergyFlows!I$102*100,"")</f>
        <v/>
      </c>
      <c r="J459" s="932" t="str">
        <f>IF(AND(ISNUMBER(J458),ISNUMBER(E_EnergyFlows!J$102)), J458/E_EnergyFlows!J$102*100,"")</f>
        <v/>
      </c>
      <c r="K459" s="932" t="str">
        <f>IF(AND(ISNUMBER(K458),ISNUMBER(E_EnergyFlows!K$102)), K458/E_EnergyFlows!K$102*100,"")</f>
        <v/>
      </c>
      <c r="L459" s="932" t="str">
        <f>IF(AND(ISNUMBER(L458),ISNUMBER(E_EnergyFlows!L$102)), L458/E_EnergyFlows!L$102*100,"")</f>
        <v/>
      </c>
      <c r="M459" s="933" t="str">
        <f>IF(AND(ISNUMBER(M458),ISNUMBER(E_EnergyFlows!M$102)), M458/E_EnergyFlows!M$102*100,"")</f>
        <v/>
      </c>
      <c r="N459" s="646"/>
      <c r="O459" s="17"/>
      <c r="P459" s="392" t="str">
        <f>EUconst_CNTR_HEAT &amp; I433</f>
        <v>HEAT_</v>
      </c>
      <c r="Q459" s="109" t="str">
        <f>IF(COUNT(S458:X458)&gt;0,AVERAGE(S458:X458)*EUconst_HeatBMvalue,EUconst_NA)</f>
        <v>N.A.</v>
      </c>
      <c r="AA459" s="815"/>
    </row>
    <row r="460" spans="2:27" ht="12.75" customHeight="1" x14ac:dyDescent="0.25">
      <c r="B460" s="17"/>
      <c r="C460" s="17"/>
      <c r="D460" s="113" t="s">
        <v>209</v>
      </c>
      <c r="E460" s="1254" t="str">
        <f>Translations!$B$699</f>
        <v>Consistency check with point (k)(i):</v>
      </c>
      <c r="F460" s="1254"/>
      <c r="G460" s="1254"/>
      <c r="H460" s="860" t="s">
        <v>354</v>
      </c>
      <c r="I460" s="934" t="str">
        <f>IF(AND(I534&gt;0,ISNUMBER(I458)), I458/I534*100,"")</f>
        <v/>
      </c>
      <c r="J460" s="934" t="str">
        <f>IF(AND(J534&gt;0,ISNUMBER(J458)), J458/J534*100,"")</f>
        <v/>
      </c>
      <c r="K460" s="934" t="str">
        <f>IF(AND(K534&gt;0,ISNUMBER(K458)), K458/K534*100,"")</f>
        <v/>
      </c>
      <c r="L460" s="934" t="str">
        <f>IF(AND(L534&gt;0,ISNUMBER(L458)), L458/L534*100,"")</f>
        <v/>
      </c>
      <c r="M460" s="935" t="str">
        <f>IF(AND(M534&gt;0,ISNUMBER(M458)), M458/M534*100,"")</f>
        <v/>
      </c>
      <c r="N460" s="646"/>
      <c r="O460" s="17"/>
      <c r="AA460" s="815"/>
    </row>
    <row r="461" spans="2:27" ht="12.75" customHeight="1" x14ac:dyDescent="0.25">
      <c r="B461" s="17"/>
      <c r="C461" s="17"/>
      <c r="D461" s="17"/>
      <c r="E461" s="17"/>
      <c r="F461" s="17"/>
      <c r="G461" s="17"/>
      <c r="H461" s="17"/>
      <c r="I461" s="31"/>
      <c r="J461" s="17"/>
      <c r="K461" s="17"/>
      <c r="L461" s="17"/>
      <c r="M461" s="17"/>
      <c r="N461" s="17"/>
      <c r="O461" s="17"/>
      <c r="P461" s="44"/>
      <c r="AA461" s="815"/>
    </row>
    <row r="462" spans="2:27" ht="13.8" x14ac:dyDescent="0.25">
      <c r="B462" s="17"/>
      <c r="C462" s="338"/>
      <c r="D462" s="1234" t="str">
        <f>Translations!$B$700</f>
        <v>Production details</v>
      </c>
      <c r="E462" s="1176"/>
      <c r="F462" s="1176"/>
      <c r="G462" s="1176"/>
      <c r="H462" s="1176"/>
      <c r="I462" s="1176"/>
      <c r="J462" s="1176"/>
      <c r="K462" s="1176"/>
      <c r="L462" s="1176"/>
      <c r="M462" s="1176"/>
      <c r="N462" s="1176"/>
      <c r="O462" s="17"/>
      <c r="AA462" s="815"/>
    </row>
    <row r="463" spans="2:27" ht="5.0999999999999996" customHeight="1" x14ac:dyDescent="0.25">
      <c r="B463" s="17"/>
      <c r="C463" s="17"/>
      <c r="D463" s="17"/>
      <c r="E463" s="17"/>
      <c r="F463" s="17"/>
      <c r="G463" s="17"/>
      <c r="H463" s="17"/>
      <c r="I463" s="17"/>
      <c r="J463" s="17"/>
      <c r="K463" s="17"/>
      <c r="L463" s="17"/>
      <c r="M463" s="17"/>
      <c r="N463" s="17"/>
      <c r="O463" s="17"/>
      <c r="AA463" s="815"/>
    </row>
    <row r="464" spans="2:27" x14ac:dyDescent="0.25">
      <c r="B464" s="17"/>
      <c r="C464" s="15"/>
      <c r="D464" s="15" t="s">
        <v>202</v>
      </c>
      <c r="E464" s="1165" t="str">
        <f>Translations!$B$701</f>
        <v>Identification of products included in this product benchmark sub-installation</v>
      </c>
      <c r="F464" s="1176"/>
      <c r="G464" s="1176"/>
      <c r="H464" s="1176"/>
      <c r="I464" s="1176"/>
      <c r="J464" s="1176"/>
      <c r="K464" s="1176"/>
      <c r="L464" s="1176"/>
      <c r="M464" s="1176"/>
      <c r="N464" s="1176"/>
      <c r="O464" s="17"/>
      <c r="AA464" s="815"/>
    </row>
    <row r="465" spans="2:27" ht="13.2" customHeight="1" x14ac:dyDescent="0.25">
      <c r="B465" s="17"/>
      <c r="C465" s="17"/>
      <c r="D465" s="17"/>
      <c r="E465" s="1223" t="s">
        <v>443</v>
      </c>
      <c r="F465" s="1176"/>
      <c r="G465" s="1176"/>
      <c r="H465" s="1176"/>
      <c r="I465" s="1176"/>
      <c r="J465" s="1176"/>
      <c r="K465" s="1176"/>
      <c r="L465" s="1176"/>
      <c r="M465" s="1176"/>
      <c r="N465" s="1176"/>
      <c r="O465" s="17"/>
      <c r="AA465" s="815"/>
    </row>
    <row r="466" spans="2:27" x14ac:dyDescent="0.25">
      <c r="B466" s="17"/>
      <c r="C466" s="17"/>
      <c r="D466" s="17"/>
      <c r="E466" s="1554" t="s">
        <v>408</v>
      </c>
      <c r="F466" s="1555"/>
      <c r="G466" s="1555"/>
      <c r="H466" s="1555"/>
      <c r="I466" s="1555"/>
      <c r="J466" s="1555"/>
      <c r="K466" s="1555"/>
      <c r="L466" s="1555"/>
      <c r="M466" s="1555"/>
      <c r="N466" s="1555"/>
      <c r="O466" s="17"/>
      <c r="AA466" s="815"/>
    </row>
    <row r="467" spans="2:27" ht="5.0999999999999996" customHeight="1" x14ac:dyDescent="0.25">
      <c r="B467" s="17"/>
      <c r="C467" s="17"/>
      <c r="D467" s="17"/>
      <c r="E467" s="17"/>
      <c r="F467" s="17"/>
      <c r="G467" s="17"/>
      <c r="H467" s="17"/>
      <c r="I467" s="17"/>
      <c r="J467" s="17"/>
      <c r="K467" s="17"/>
      <c r="L467" s="17"/>
      <c r="M467" s="17"/>
      <c r="N467" s="17"/>
      <c r="O467" s="17"/>
      <c r="AA467" s="815"/>
    </row>
    <row r="468" spans="2:27" x14ac:dyDescent="0.25">
      <c r="B468" s="17"/>
      <c r="C468" s="15"/>
      <c r="D468" s="15" t="s">
        <v>199</v>
      </c>
      <c r="E468" s="1165" t="str">
        <f>Translations!$B$706</f>
        <v>Individual production levels of products included in this product benchmark sub-installation</v>
      </c>
      <c r="F468" s="1176"/>
      <c r="G468" s="1176"/>
      <c r="H468" s="1176"/>
      <c r="I468" s="1176"/>
      <c r="J468" s="1176"/>
      <c r="K468" s="1176"/>
      <c r="L468" s="1176"/>
      <c r="M468" s="1176"/>
      <c r="N468" s="1176"/>
      <c r="O468" s="17"/>
      <c r="AA468" s="815"/>
    </row>
    <row r="469" spans="2:27" ht="5.0999999999999996" customHeight="1" x14ac:dyDescent="0.25">
      <c r="B469" s="17"/>
      <c r="C469" s="17"/>
      <c r="D469" s="17"/>
      <c r="E469" s="884"/>
      <c r="F469" s="884"/>
      <c r="G469" s="884"/>
      <c r="H469" s="884"/>
      <c r="I469" s="884"/>
      <c r="J469" s="77"/>
      <c r="K469" s="77"/>
      <c r="L469" s="77"/>
      <c r="M469" s="17"/>
      <c r="N469" s="17"/>
      <c r="O469" s="17"/>
      <c r="AA469" s="815"/>
    </row>
    <row r="470" spans="2:27" ht="25.5" customHeight="1" x14ac:dyDescent="0.25">
      <c r="B470" s="17"/>
      <c r="C470" s="17"/>
      <c r="D470" s="26"/>
      <c r="E470" s="129" t="s">
        <v>409</v>
      </c>
      <c r="F470" s="1556" t="str">
        <f>Translations!$B$707</f>
        <v>Name of product or group of products</v>
      </c>
      <c r="G470" s="1557"/>
      <c r="H470" s="461" t="str">
        <f>EUconst_Unit</f>
        <v>Unit</v>
      </c>
      <c r="I470" s="128">
        <f>I$1882</f>
        <v>2019</v>
      </c>
      <c r="J470" s="128">
        <f>J$1882</f>
        <v>2020</v>
      </c>
      <c r="K470" s="128">
        <f>K$1882</f>
        <v>2021</v>
      </c>
      <c r="L470" s="128">
        <f>L$1882</f>
        <v>2022</v>
      </c>
      <c r="M470" s="128">
        <f>M$1882</f>
        <v>2023</v>
      </c>
      <c r="N470" s="17"/>
      <c r="O470" s="17"/>
      <c r="AA470" s="815"/>
    </row>
    <row r="471" spans="2:27" x14ac:dyDescent="0.25">
      <c r="B471" s="17"/>
      <c r="C471" s="17"/>
      <c r="D471" s="222">
        <v>1</v>
      </c>
      <c r="E471" s="602"/>
      <c r="F471" s="1558"/>
      <c r="G471" s="1559"/>
      <c r="H471" s="322"/>
      <c r="I471" s="889"/>
      <c r="J471" s="889"/>
      <c r="K471" s="889"/>
      <c r="L471" s="889"/>
      <c r="M471" s="889"/>
      <c r="N471" s="17"/>
      <c r="O471" s="17"/>
      <c r="AA471" s="285" t="b">
        <f>AA458</f>
        <v>0</v>
      </c>
    </row>
    <row r="472" spans="2:27" x14ac:dyDescent="0.25">
      <c r="B472" s="17"/>
      <c r="C472" s="17"/>
      <c r="D472" s="225">
        <f>D471+1</f>
        <v>2</v>
      </c>
      <c r="E472" s="760"/>
      <c r="F472" s="1542"/>
      <c r="G472" s="1543"/>
      <c r="H472" s="936"/>
      <c r="I472" s="892"/>
      <c r="J472" s="892"/>
      <c r="K472" s="892"/>
      <c r="L472" s="892"/>
      <c r="M472" s="892"/>
      <c r="N472" s="17"/>
      <c r="O472" s="17"/>
      <c r="AA472" s="285" t="b">
        <f>AA471</f>
        <v>0</v>
      </c>
    </row>
    <row r="473" spans="2:27" x14ac:dyDescent="0.25">
      <c r="B473" s="17"/>
      <c r="C473" s="17"/>
      <c r="D473" s="225">
        <f t="shared" ref="D473:D480" si="10">D472+1</f>
        <v>3</v>
      </c>
      <c r="E473" s="760"/>
      <c r="F473" s="1542"/>
      <c r="G473" s="1543"/>
      <c r="H473" s="936"/>
      <c r="I473" s="892"/>
      <c r="J473" s="892"/>
      <c r="K473" s="892"/>
      <c r="L473" s="892"/>
      <c r="M473" s="892"/>
      <c r="N473" s="17"/>
      <c r="O473" s="17"/>
      <c r="AA473" s="285" t="b">
        <f t="shared" ref="AA473:AA481" si="11">AA472</f>
        <v>0</v>
      </c>
    </row>
    <row r="474" spans="2:27" x14ac:dyDescent="0.25">
      <c r="B474" s="17"/>
      <c r="C474" s="17"/>
      <c r="D474" s="225">
        <f t="shared" si="10"/>
        <v>4</v>
      </c>
      <c r="E474" s="760"/>
      <c r="F474" s="1542"/>
      <c r="G474" s="1543"/>
      <c r="H474" s="936"/>
      <c r="I474" s="892"/>
      <c r="J474" s="892"/>
      <c r="K474" s="892"/>
      <c r="L474" s="892"/>
      <c r="M474" s="892"/>
      <c r="N474" s="17"/>
      <c r="O474" s="17"/>
      <c r="AA474" s="285" t="b">
        <f t="shared" si="11"/>
        <v>0</v>
      </c>
    </row>
    <row r="475" spans="2:27" x14ac:dyDescent="0.25">
      <c r="B475" s="17"/>
      <c r="C475" s="17"/>
      <c r="D475" s="225">
        <f t="shared" si="10"/>
        <v>5</v>
      </c>
      <c r="E475" s="760"/>
      <c r="F475" s="1542"/>
      <c r="G475" s="1543"/>
      <c r="H475" s="936"/>
      <c r="I475" s="892"/>
      <c r="J475" s="892"/>
      <c r="K475" s="892"/>
      <c r="L475" s="892"/>
      <c r="M475" s="892"/>
      <c r="N475" s="17"/>
      <c r="O475" s="17"/>
      <c r="AA475" s="285" t="b">
        <f t="shared" si="11"/>
        <v>0</v>
      </c>
    </row>
    <row r="476" spans="2:27" x14ac:dyDescent="0.25">
      <c r="B476" s="17"/>
      <c r="C476" s="17"/>
      <c r="D476" s="225">
        <f t="shared" si="10"/>
        <v>6</v>
      </c>
      <c r="E476" s="760"/>
      <c r="F476" s="1542"/>
      <c r="G476" s="1543"/>
      <c r="H476" s="936"/>
      <c r="I476" s="892"/>
      <c r="J476" s="892"/>
      <c r="K476" s="892"/>
      <c r="L476" s="892"/>
      <c r="M476" s="892"/>
      <c r="N476" s="17"/>
      <c r="O476" s="17"/>
      <c r="AA476" s="285" t="b">
        <f t="shared" si="11"/>
        <v>0</v>
      </c>
    </row>
    <row r="477" spans="2:27" x14ac:dyDescent="0.25">
      <c r="B477" s="17"/>
      <c r="C477" s="17"/>
      <c r="D477" s="225">
        <f t="shared" si="10"/>
        <v>7</v>
      </c>
      <c r="E477" s="760"/>
      <c r="F477" s="1542"/>
      <c r="G477" s="1543"/>
      <c r="H477" s="936"/>
      <c r="I477" s="892"/>
      <c r="J477" s="892"/>
      <c r="K477" s="892"/>
      <c r="L477" s="892"/>
      <c r="M477" s="892"/>
      <c r="N477" s="17"/>
      <c r="O477" s="17"/>
      <c r="AA477" s="285" t="b">
        <f t="shared" si="11"/>
        <v>0</v>
      </c>
    </row>
    <row r="478" spans="2:27" x14ac:dyDescent="0.25">
      <c r="B478" s="17"/>
      <c r="C478" s="17"/>
      <c r="D478" s="225">
        <f t="shared" si="10"/>
        <v>8</v>
      </c>
      <c r="E478" s="760"/>
      <c r="F478" s="1542"/>
      <c r="G478" s="1543"/>
      <c r="H478" s="936"/>
      <c r="I478" s="892"/>
      <c r="J478" s="892"/>
      <c r="K478" s="892"/>
      <c r="L478" s="892"/>
      <c r="M478" s="892"/>
      <c r="N478" s="17"/>
      <c r="O478" s="17"/>
      <c r="AA478" s="285" t="b">
        <f t="shared" si="11"/>
        <v>0</v>
      </c>
    </row>
    <row r="479" spans="2:27" x14ac:dyDescent="0.25">
      <c r="B479" s="17"/>
      <c r="C479" s="17"/>
      <c r="D479" s="225">
        <f t="shared" si="10"/>
        <v>9</v>
      </c>
      <c r="E479" s="760"/>
      <c r="F479" s="1542"/>
      <c r="G479" s="1543"/>
      <c r="H479" s="936"/>
      <c r="I479" s="892"/>
      <c r="J479" s="892"/>
      <c r="K479" s="892"/>
      <c r="L479" s="892"/>
      <c r="M479" s="892"/>
      <c r="N479" s="17"/>
      <c r="O479" s="17"/>
      <c r="AA479" s="285" t="b">
        <f t="shared" si="11"/>
        <v>0</v>
      </c>
    </row>
    <row r="480" spans="2:27" x14ac:dyDescent="0.25">
      <c r="B480" s="17"/>
      <c r="C480" s="17"/>
      <c r="D480" s="227">
        <f t="shared" si="10"/>
        <v>10</v>
      </c>
      <c r="E480" s="761"/>
      <c r="F480" s="1544"/>
      <c r="G480" s="1545"/>
      <c r="H480" s="937"/>
      <c r="I480" s="895"/>
      <c r="J480" s="895"/>
      <c r="K480" s="895"/>
      <c r="L480" s="895"/>
      <c r="M480" s="895"/>
      <c r="N480" s="17"/>
      <c r="O480" s="17"/>
      <c r="AA480" s="285" t="b">
        <f t="shared" si="11"/>
        <v>0</v>
      </c>
    </row>
    <row r="481" spans="2:27" ht="12.75" customHeight="1" thickBot="1" x14ac:dyDescent="0.3">
      <c r="B481" s="17"/>
      <c r="C481" s="17"/>
      <c r="D481" s="262"/>
      <c r="E481" s="1546" t="str">
        <f>Translations!$B$708</f>
        <v>Sum of production levels</v>
      </c>
      <c r="F481" s="1546"/>
      <c r="G481" s="1546"/>
      <c r="H481" s="1067"/>
      <c r="I481" s="841" t="str">
        <f>IF(COUNT(I471:I480)&gt;0,SUM(I471:I480),"")</f>
        <v/>
      </c>
      <c r="J481" s="841" t="str">
        <f>IF(COUNT(J471:J480)&gt;0,SUM(J471:J480),"")</f>
        <v/>
      </c>
      <c r="K481" s="841" t="str">
        <f>IF(COUNT(K471:K480)&gt;0,SUM(K471:K480),"")</f>
        <v/>
      </c>
      <c r="L481" s="841" t="str">
        <f>IF(COUNT(L471:L480)&gt;0,SUM(L471:L480),"")</f>
        <v/>
      </c>
      <c r="M481" s="841" t="str">
        <f>IF(COUNT(M471:M480)&gt;0,SUM(M471:M480),"")</f>
        <v/>
      </c>
      <c r="N481" s="17"/>
      <c r="O481" s="17"/>
      <c r="AA481" s="286" t="b">
        <f t="shared" si="11"/>
        <v>0</v>
      </c>
    </row>
    <row r="482" spans="2:27" ht="12.75" customHeight="1" thickBot="1" x14ac:dyDescent="0.3">
      <c r="B482" s="17"/>
      <c r="C482" s="17"/>
      <c r="D482" s="17"/>
      <c r="E482" s="17"/>
      <c r="F482" s="17"/>
      <c r="G482" s="17"/>
      <c r="H482" s="17"/>
      <c r="I482" s="17"/>
      <c r="J482" s="17"/>
      <c r="K482" s="17"/>
      <c r="L482" s="17"/>
      <c r="M482" s="17"/>
      <c r="N482" s="17"/>
      <c r="O482" s="17"/>
    </row>
    <row r="483" spans="2:27" ht="5.0999999999999996" customHeight="1" x14ac:dyDescent="0.25">
      <c r="B483" s="17"/>
      <c r="C483" s="938"/>
      <c r="D483" s="462"/>
      <c r="E483" s="462"/>
      <c r="F483" s="462"/>
      <c r="G483" s="462"/>
      <c r="H483" s="462"/>
      <c r="I483" s="462"/>
      <c r="J483" s="462"/>
      <c r="K483" s="462"/>
      <c r="L483" s="462"/>
      <c r="M483" s="462"/>
      <c r="N483" s="463"/>
      <c r="O483" s="17"/>
    </row>
    <row r="484" spans="2:27" ht="15" customHeight="1" x14ac:dyDescent="0.25">
      <c r="B484" s="17"/>
      <c r="C484" s="900"/>
      <c r="D484" s="1547" t="s">
        <v>410</v>
      </c>
      <c r="E484" s="1512"/>
      <c r="F484" s="1512"/>
      <c r="G484" s="1512"/>
      <c r="H484" s="1512"/>
      <c r="I484" s="1512"/>
      <c r="J484" s="1512"/>
      <c r="K484" s="1512"/>
      <c r="L484" s="1512"/>
      <c r="M484" s="1512"/>
      <c r="N484" s="1513"/>
      <c r="O484" s="17"/>
    </row>
    <row r="485" spans="2:27" ht="5.0999999999999996" customHeight="1" x14ac:dyDescent="0.25">
      <c r="B485" s="17"/>
      <c r="C485" s="900"/>
      <c r="D485" s="342"/>
      <c r="E485" s="342"/>
      <c r="F485" s="342"/>
      <c r="G485" s="342"/>
      <c r="H485" s="342"/>
      <c r="I485" s="342"/>
      <c r="J485" s="342"/>
      <c r="K485" s="342"/>
      <c r="L485" s="342"/>
      <c r="M485" s="342"/>
      <c r="N485" s="266"/>
      <c r="O485" s="17"/>
    </row>
    <row r="486" spans="2:27" ht="15" customHeight="1" x14ac:dyDescent="0.25">
      <c r="B486" s="17"/>
      <c r="C486" s="900"/>
      <c r="D486" s="1548" t="str">
        <f>EUconst_BMSubinst &amp; ":"</f>
        <v>Sub-installation with product benchmark:</v>
      </c>
      <c r="E486" s="1512"/>
      <c r="F486" s="1512"/>
      <c r="G486" s="1512"/>
      <c r="H486" s="1549"/>
      <c r="I486" s="1550" t="str">
        <f>I433</f>
        <v/>
      </c>
      <c r="J486" s="1509"/>
      <c r="K486" s="1509"/>
      <c r="L486" s="1509"/>
      <c r="M486" s="1509"/>
      <c r="N486" s="1551"/>
      <c r="O486" s="17"/>
    </row>
    <row r="487" spans="2:27" ht="5.0999999999999996" customHeight="1" x14ac:dyDescent="0.25">
      <c r="B487" s="17"/>
      <c r="C487" s="900"/>
      <c r="D487" s="342"/>
      <c r="E487" s="342"/>
      <c r="F487" s="342"/>
      <c r="G487" s="342"/>
      <c r="H487" s="342"/>
      <c r="I487" s="342"/>
      <c r="J487" s="342"/>
      <c r="K487" s="342"/>
      <c r="L487" s="342"/>
      <c r="M487" s="342"/>
      <c r="N487" s="266"/>
      <c r="O487" s="17"/>
    </row>
    <row r="488" spans="2:27" ht="15" customHeight="1" x14ac:dyDescent="0.25">
      <c r="B488" s="17"/>
      <c r="C488" s="900"/>
      <c r="D488" s="342"/>
      <c r="E488" s="1439" t="str">
        <f>Translations!$B$714</f>
        <v>Upon entries made below, the attributable emissions are calculated in section K.III.2 of the summary sheet.</v>
      </c>
      <c r="F488" s="1439"/>
      <c r="G488" s="1439"/>
      <c r="H488" s="1439"/>
      <c r="I488" s="1439"/>
      <c r="J488" s="1439"/>
      <c r="K488" s="1439"/>
      <c r="L488" s="1439"/>
      <c r="M488" s="1439"/>
      <c r="N488" s="277"/>
      <c r="O488" s="17"/>
    </row>
    <row r="489" spans="2:27" ht="5.0999999999999996" customHeight="1" x14ac:dyDescent="0.25">
      <c r="B489" s="17"/>
      <c r="C489" s="900"/>
      <c r="D489" s="342"/>
      <c r="E489" s="342"/>
      <c r="F489" s="342"/>
      <c r="G489" s="342"/>
      <c r="H489" s="342"/>
      <c r="I489" s="342"/>
      <c r="J489" s="342"/>
      <c r="K489" s="342"/>
      <c r="L489" s="342"/>
      <c r="M489" s="342"/>
      <c r="N489" s="266"/>
      <c r="O489" s="17"/>
    </row>
    <row r="490" spans="2:27" ht="12.75" customHeight="1" x14ac:dyDescent="0.25">
      <c r="B490" s="17"/>
      <c r="C490" s="900"/>
      <c r="D490" s="157" t="s">
        <v>212</v>
      </c>
      <c r="E490" s="1511" t="str">
        <f>Translations!$B$715</f>
        <v>Directly attributable emissions (DirEm* (MP source streams)) to this sub-installation</v>
      </c>
      <c r="F490" s="1512"/>
      <c r="G490" s="1512"/>
      <c r="H490" s="1512"/>
      <c r="I490" s="1512"/>
      <c r="J490" s="1512"/>
      <c r="K490" s="1512"/>
      <c r="L490" s="1512"/>
      <c r="M490" s="1512"/>
      <c r="N490" s="1513"/>
      <c r="O490" s="17"/>
    </row>
    <row r="491" spans="2:27" ht="12.75" customHeight="1" thickBot="1" x14ac:dyDescent="0.3">
      <c r="B491" s="17"/>
      <c r="C491" s="900"/>
      <c r="D491" s="342"/>
      <c r="E491" s="1552"/>
      <c r="F491" s="1552"/>
      <c r="G491" s="1552"/>
      <c r="H491" s="1552"/>
      <c r="I491" s="1552"/>
      <c r="J491" s="1552"/>
      <c r="K491" s="1552"/>
      <c r="L491" s="1552"/>
      <c r="M491" s="1552"/>
      <c r="N491" s="1553"/>
      <c r="O491" s="17"/>
    </row>
    <row r="492" spans="2:27" ht="12.75" customHeight="1" x14ac:dyDescent="0.25">
      <c r="B492" s="17"/>
      <c r="C492" s="900"/>
      <c r="D492" s="157"/>
      <c r="E492" s="1522" t="str">
        <f>Translations!$B$725</f>
        <v>Directly attributable emissions (DirEm*)</v>
      </c>
      <c r="F492" s="1523"/>
      <c r="G492" s="1523"/>
      <c r="H492" s="152" t="str">
        <f>EUconst_Unit</f>
        <v>Unit</v>
      </c>
      <c r="I492" s="153">
        <f>I$1882</f>
        <v>2019</v>
      </c>
      <c r="J492" s="153">
        <f>J$1882</f>
        <v>2020</v>
      </c>
      <c r="K492" s="153">
        <f>K$1882</f>
        <v>2021</v>
      </c>
      <c r="L492" s="153">
        <f>L$1882</f>
        <v>2022</v>
      </c>
      <c r="M492" s="153">
        <f>M$1882</f>
        <v>2023</v>
      </c>
      <c r="N492" s="266"/>
      <c r="O492" s="17"/>
      <c r="R492" s="459"/>
      <c r="S492" s="326">
        <f>I492</f>
        <v>2019</v>
      </c>
      <c r="T492" s="326">
        <f>J492</f>
        <v>2020</v>
      </c>
      <c r="U492" s="326">
        <f>K492</f>
        <v>2021</v>
      </c>
      <c r="V492" s="326">
        <f>L492</f>
        <v>2022</v>
      </c>
      <c r="W492" s="327">
        <f>M492</f>
        <v>2023</v>
      </c>
    </row>
    <row r="493" spans="2:27" ht="12.75" customHeight="1" thickBot="1" x14ac:dyDescent="0.3">
      <c r="B493" s="17"/>
      <c r="C493" s="900"/>
      <c r="D493" s="342"/>
      <c r="E493" s="1510" t="str">
        <f>I433</f>
        <v/>
      </c>
      <c r="F493" s="1510"/>
      <c r="G493" s="1510"/>
      <c r="H493" s="154" t="str">
        <f>EUconst_tCO2epa</f>
        <v>t CO2e/year</v>
      </c>
      <c r="I493" s="293"/>
      <c r="J493" s="293"/>
      <c r="K493" s="293"/>
      <c r="L493" s="293"/>
      <c r="M493" s="293"/>
      <c r="N493" s="266"/>
      <c r="O493" s="17"/>
      <c r="P493" s="63" t="str">
        <f>EUconst_CNTR_Emissions &amp; I433</f>
        <v>DirEmissions_</v>
      </c>
      <c r="R493" s="460" t="str">
        <f>EUconst_CNTR_AttributedEmissions &amp; I433</f>
        <v>AttrEmissions_</v>
      </c>
      <c r="S493" s="389" t="str">
        <f>IF(S433,SUM(I493),"")</f>
        <v/>
      </c>
      <c r="T493" s="389" t="str">
        <f>IF(T433,SUM(J493),"")</f>
        <v/>
      </c>
      <c r="U493" s="389" t="str">
        <f>IF(U433,SUM(K493),"")</f>
        <v/>
      </c>
      <c r="V493" s="389" t="str">
        <f>IF(V433,SUM(L493),"")</f>
        <v/>
      </c>
      <c r="W493" s="390" t="str">
        <f>IF(W433,SUM(M493),"")</f>
        <v/>
      </c>
    </row>
    <row r="494" spans="2:27" ht="12.75" customHeight="1" x14ac:dyDescent="0.25">
      <c r="B494" s="17"/>
      <c r="C494" s="900"/>
      <c r="D494" s="342"/>
      <c r="E494" s="342"/>
      <c r="F494" s="342"/>
      <c r="G494" s="342"/>
      <c r="H494" s="342"/>
      <c r="I494" s="342"/>
      <c r="J494" s="342"/>
      <c r="K494" s="342"/>
      <c r="L494" s="342"/>
      <c r="M494" s="342"/>
      <c r="N494" s="266"/>
      <c r="O494" s="17"/>
    </row>
    <row r="495" spans="2:27" ht="12.75" customHeight="1" x14ac:dyDescent="0.25">
      <c r="B495" s="17"/>
      <c r="C495" s="900"/>
      <c r="D495" s="157" t="s">
        <v>218</v>
      </c>
      <c r="E495" s="1529" t="str">
        <f>Translations!$B$726</f>
        <v>Fuel input to this sub-installation and relevant emission factor</v>
      </c>
      <c r="F495" s="1529"/>
      <c r="G495" s="1529"/>
      <c r="H495" s="1529"/>
      <c r="I495" s="1529"/>
      <c r="J495" s="1529"/>
      <c r="K495" s="1529"/>
      <c r="L495" s="1529"/>
      <c r="M495" s="1529"/>
      <c r="N495" s="1534"/>
      <c r="O495" s="17"/>
    </row>
    <row r="496" spans="2:27" ht="12.75" customHeight="1" x14ac:dyDescent="0.25">
      <c r="B496" s="17"/>
      <c r="C496" s="900"/>
      <c r="D496" s="157"/>
      <c r="E496" s="1522"/>
      <c r="F496" s="1523"/>
      <c r="G496" s="1523"/>
      <c r="H496" s="152" t="str">
        <f>EUconst_Unit</f>
        <v>Unit</v>
      </c>
      <c r="I496" s="153">
        <f>I$1882</f>
        <v>2019</v>
      </c>
      <c r="J496" s="153">
        <f>J$1882</f>
        <v>2020</v>
      </c>
      <c r="K496" s="153">
        <f>K$1882</f>
        <v>2021</v>
      </c>
      <c r="L496" s="153">
        <f>L$1882</f>
        <v>2022</v>
      </c>
      <c r="M496" s="153">
        <f>M$1882</f>
        <v>2023</v>
      </c>
      <c r="N496" s="266"/>
      <c r="O496" s="17"/>
    </row>
    <row r="497" spans="2:27" ht="12.75" customHeight="1" x14ac:dyDescent="0.25">
      <c r="B497" s="17"/>
      <c r="C497" s="900"/>
      <c r="D497" s="193" t="s">
        <v>206</v>
      </c>
      <c r="E497" s="1528" t="str">
        <f>Translations!$B$731</f>
        <v>Fuel input</v>
      </c>
      <c r="F497" s="1528"/>
      <c r="G497" s="1528"/>
      <c r="H497" s="154" t="str">
        <f>EUconst_TJpa</f>
        <v>TJ / year</v>
      </c>
      <c r="I497" s="293"/>
      <c r="J497" s="293"/>
      <c r="K497" s="293"/>
      <c r="L497" s="293"/>
      <c r="M497" s="293"/>
      <c r="N497" s="277"/>
      <c r="O497" s="17"/>
      <c r="P497" s="63" t="str">
        <f>EUconst_CNTR_FuelInput &amp; I433</f>
        <v>FuelInput_</v>
      </c>
    </row>
    <row r="498" spans="2:27" ht="12.75" customHeight="1" x14ac:dyDescent="0.25">
      <c r="B498" s="17"/>
      <c r="C498" s="900"/>
      <c r="D498" s="193" t="s">
        <v>208</v>
      </c>
      <c r="E498" s="1523" t="str">
        <f>Translations!$B$732</f>
        <v>Weighted emission factor</v>
      </c>
      <c r="F498" s="1523"/>
      <c r="G498" s="1523"/>
      <c r="H498" s="904" t="str">
        <f>EUconst_tCO2pTJ</f>
        <v>t CO2 / TJ</v>
      </c>
      <c r="I498" s="865"/>
      <c r="J498" s="865"/>
      <c r="K498" s="865"/>
      <c r="L498" s="865"/>
      <c r="M498" s="865"/>
      <c r="N498" s="266"/>
      <c r="O498" s="17"/>
      <c r="P498" s="63" t="str">
        <f>EUconst_CNTR_FuelEF &amp; I433</f>
        <v>FuelEF_</v>
      </c>
    </row>
    <row r="499" spans="2:27" ht="12.75" customHeight="1" x14ac:dyDescent="0.25">
      <c r="B499" s="17"/>
      <c r="C499" s="900"/>
      <c r="D499" s="342"/>
      <c r="E499" s="342"/>
      <c r="F499" s="342"/>
      <c r="G499" s="342"/>
      <c r="H499" s="342"/>
      <c r="I499" s="342"/>
      <c r="J499" s="342"/>
      <c r="K499" s="342"/>
      <c r="L499" s="342"/>
      <c r="M499" s="342"/>
      <c r="N499" s="266"/>
      <c r="O499" s="17"/>
    </row>
    <row r="500" spans="2:27" ht="12.75" customHeight="1" thickBot="1" x14ac:dyDescent="0.3">
      <c r="B500" s="17"/>
      <c r="C500" s="900"/>
      <c r="D500" s="157" t="s">
        <v>225</v>
      </c>
      <c r="E500" s="1529" t="str">
        <f>Translations!$B$733</f>
        <v>Further internal source streams imported to or exported from this sub-installation</v>
      </c>
      <c r="F500" s="1529"/>
      <c r="G500" s="1529"/>
      <c r="H500" s="1529"/>
      <c r="I500" s="1529"/>
      <c r="J500" s="1529"/>
      <c r="K500" s="1529"/>
      <c r="L500" s="1529"/>
      <c r="M500" s="1529"/>
      <c r="N500" s="1534"/>
      <c r="O500" s="17"/>
    </row>
    <row r="501" spans="2:27" ht="12.75" customHeight="1" thickBot="1" x14ac:dyDescent="0.3">
      <c r="B501" s="17"/>
      <c r="C501" s="900"/>
      <c r="D501" s="193" t="s">
        <v>206</v>
      </c>
      <c r="E501" s="1514" t="str">
        <f>Translations!$B$739</f>
        <v>Are further imported or exported internal source streams relevant for this sub-installation?</v>
      </c>
      <c r="F501" s="1514"/>
      <c r="G501" s="1514"/>
      <c r="H501" s="1514"/>
      <c r="I501" s="1514"/>
      <c r="J501" s="1514"/>
      <c r="K501" s="1515"/>
      <c r="L501" s="194"/>
      <c r="M501" s="762"/>
      <c r="N501" s="763"/>
      <c r="O501" s="17"/>
      <c r="W501" s="288" t="s">
        <v>418</v>
      </c>
      <c r="X501" s="215" t="b">
        <f>IF(AND(I433&lt;&gt;"",ISBLANK(L501)),EUconst_Error&amp;"BM"&amp;C433,FALSE)</f>
        <v>0</v>
      </c>
    </row>
    <row r="502" spans="2:27" ht="5.0999999999999996" customHeight="1" thickBot="1" x14ac:dyDescent="0.3">
      <c r="B502" s="17"/>
      <c r="C502" s="900"/>
      <c r="D502" s="342"/>
      <c r="E502" s="1533"/>
      <c r="F502" s="1512"/>
      <c r="G502" s="1512"/>
      <c r="H502" s="1512"/>
      <c r="I502" s="1512"/>
      <c r="J502" s="1512"/>
      <c r="K502" s="1512"/>
      <c r="L502" s="1512"/>
      <c r="M502" s="1512"/>
      <c r="N502" s="1513"/>
      <c r="O502" s="17"/>
      <c r="AA502" s="145" t="s">
        <v>396</v>
      </c>
    </row>
    <row r="503" spans="2:27" ht="12.75" customHeight="1" x14ac:dyDescent="0.25">
      <c r="B503" s="17"/>
      <c r="C503" s="900"/>
      <c r="D503" s="193" t="s">
        <v>208</v>
      </c>
      <c r="E503" s="1529" t="str">
        <f>Translations!$B$741</f>
        <v>Name of further source streams - 1:</v>
      </c>
      <c r="F503" s="1529"/>
      <c r="G503" s="1529"/>
      <c r="H503" s="1529"/>
      <c r="I503" s="1530"/>
      <c r="J503" s="1531"/>
      <c r="K503" s="1531"/>
      <c r="L503" s="1531"/>
      <c r="M503" s="1532"/>
      <c r="N503" s="266"/>
      <c r="O503" s="17"/>
      <c r="AA503" s="316" t="b">
        <f>IF(I433&lt;&gt;"",AND(L501&lt;&gt;"",L501=FALSE),FALSE)</f>
        <v>0</v>
      </c>
    </row>
    <row r="504" spans="2:27" ht="5.0999999999999996" customHeight="1" x14ac:dyDescent="0.25">
      <c r="B504" s="17"/>
      <c r="C504" s="900"/>
      <c r="D504" s="342"/>
      <c r="E504" s="902"/>
      <c r="F504" s="762"/>
      <c r="G504" s="762"/>
      <c r="H504" s="762"/>
      <c r="I504" s="762"/>
      <c r="J504" s="762"/>
      <c r="K504" s="762"/>
      <c r="L504" s="762"/>
      <c r="M504" s="762"/>
      <c r="N504" s="763"/>
      <c r="O504" s="17"/>
      <c r="AA504" s="815"/>
    </row>
    <row r="505" spans="2:27" ht="12.75" customHeight="1" x14ac:dyDescent="0.25">
      <c r="B505" s="17"/>
      <c r="C505" s="900"/>
      <c r="D505" s="342"/>
      <c r="E505" s="1522" t="str">
        <f>Translations!$B$742</f>
        <v>Further source streams - 1</v>
      </c>
      <c r="F505" s="1523"/>
      <c r="G505" s="1523"/>
      <c r="H505" s="152" t="str">
        <f>EUconst_Unit</f>
        <v>Unit</v>
      </c>
      <c r="I505" s="153">
        <f>I$1882</f>
        <v>2019</v>
      </c>
      <c r="J505" s="153">
        <f>J$1882</f>
        <v>2020</v>
      </c>
      <c r="K505" s="153">
        <f>K$1882</f>
        <v>2021</v>
      </c>
      <c r="L505" s="153">
        <f>L$1882</f>
        <v>2022</v>
      </c>
      <c r="M505" s="153">
        <f>M$1882</f>
        <v>2023</v>
      </c>
      <c r="N505" s="266"/>
      <c r="O505" s="17"/>
      <c r="AA505" s="815"/>
    </row>
    <row r="506" spans="2:27" ht="12.75" customHeight="1" x14ac:dyDescent="0.25">
      <c r="B506" s="17"/>
      <c r="C506" s="900"/>
      <c r="D506" s="193" t="s">
        <v>209</v>
      </c>
      <c r="E506" s="1526" t="str">
        <f>Translations!$B$743</f>
        <v>Amount imported or exported</v>
      </c>
      <c r="F506" s="1526"/>
      <c r="G506" s="1526"/>
      <c r="H506" s="939" t="str">
        <f>EUconst_tpa</f>
        <v>t / year</v>
      </c>
      <c r="I506" s="825"/>
      <c r="J506" s="825"/>
      <c r="K506" s="825"/>
      <c r="L506" s="825"/>
      <c r="M506" s="825"/>
      <c r="N506" s="266"/>
      <c r="O506" s="17"/>
      <c r="AA506" s="285" t="b">
        <f>AA503</f>
        <v>0</v>
      </c>
    </row>
    <row r="507" spans="2:27" ht="12.75" customHeight="1" x14ac:dyDescent="0.25">
      <c r="B507" s="17"/>
      <c r="C507" s="900"/>
      <c r="D507" s="193" t="s">
        <v>210</v>
      </c>
      <c r="E507" s="1540" t="str">
        <f>Translations!$B$744</f>
        <v>Net calorific value (NCV), if applicable</v>
      </c>
      <c r="F507" s="1540"/>
      <c r="G507" s="1540"/>
      <c r="H507" s="940" t="str">
        <f>EUconst_GJpt</f>
        <v>GJ / t</v>
      </c>
      <c r="I507" s="296"/>
      <c r="J507" s="296"/>
      <c r="K507" s="296"/>
      <c r="L507" s="296"/>
      <c r="M507" s="296"/>
      <c r="N507" s="266"/>
      <c r="O507" s="17"/>
      <c r="AA507" s="285" t="b">
        <f>AA506</f>
        <v>0</v>
      </c>
    </row>
    <row r="508" spans="2:27" ht="12.75" customHeight="1" thickBot="1" x14ac:dyDescent="0.3">
      <c r="B508" s="17"/>
      <c r="C508" s="900"/>
      <c r="D508" s="193" t="s">
        <v>220</v>
      </c>
      <c r="E508" s="1540" t="str">
        <f>Translations!$B$745</f>
        <v>Carbon content (mass %)</v>
      </c>
      <c r="F508" s="1540"/>
      <c r="G508" s="1540"/>
      <c r="H508" s="941" t="s">
        <v>419</v>
      </c>
      <c r="I508" s="296"/>
      <c r="J508" s="296"/>
      <c r="K508" s="296"/>
      <c r="L508" s="296"/>
      <c r="M508" s="296"/>
      <c r="N508" s="266"/>
      <c r="O508" s="17"/>
      <c r="AA508" s="285" t="b">
        <f>AA507</f>
        <v>0</v>
      </c>
    </row>
    <row r="509" spans="2:27" ht="12.75" customHeight="1" x14ac:dyDescent="0.25">
      <c r="B509" s="17"/>
      <c r="C509" s="900"/>
      <c r="D509" s="193" t="s">
        <v>221</v>
      </c>
      <c r="E509" s="1527" t="str">
        <f>Translations!$B$746</f>
        <v>Biomass content (as fraction of carbon)</v>
      </c>
      <c r="F509" s="1527"/>
      <c r="G509" s="1527"/>
      <c r="H509" s="343" t="s">
        <v>419</v>
      </c>
      <c r="I509" s="826"/>
      <c r="J509" s="826"/>
      <c r="K509" s="826"/>
      <c r="L509" s="826"/>
      <c r="M509" s="826"/>
      <c r="N509" s="266"/>
      <c r="O509" s="17"/>
      <c r="R509" s="459"/>
      <c r="S509" s="326">
        <f>I505</f>
        <v>2019</v>
      </c>
      <c r="T509" s="326">
        <f>J505</f>
        <v>2020</v>
      </c>
      <c r="U509" s="326">
        <f>K505</f>
        <v>2021</v>
      </c>
      <c r="V509" s="326">
        <f>L505</f>
        <v>2022</v>
      </c>
      <c r="W509" s="327">
        <f>M505</f>
        <v>2023</v>
      </c>
      <c r="AA509" s="285" t="b">
        <f>AA508</f>
        <v>0</v>
      </c>
    </row>
    <row r="510" spans="2:27" ht="12.75" customHeight="1" thickBot="1" x14ac:dyDescent="0.3">
      <c r="B510" s="17"/>
      <c r="C510" s="900"/>
      <c r="D510" s="193" t="s">
        <v>222</v>
      </c>
      <c r="E510" s="1526" t="str">
        <f>Translations!$B$747</f>
        <v>Emissions (fossil, calculated)</v>
      </c>
      <c r="F510" s="1526"/>
      <c r="G510" s="1526"/>
      <c r="H510" s="942" t="str">
        <f>EUconst_tCO2pa</f>
        <v>t CO2 / year</v>
      </c>
      <c r="I510" s="943" t="str">
        <f>IF(AND(COUNT(I506:I509)&gt;0,I513=""),3.664*I506*(I508/100)*(1-I509/100),"")</f>
        <v/>
      </c>
      <c r="J510" s="943" t="str">
        <f>IF(AND(COUNT(J506:J509)&gt;0,J513=""),3.664*J506*(J508/100)*(1-J509/100),"")</f>
        <v/>
      </c>
      <c r="K510" s="943" t="str">
        <f>IF(AND(COUNT(K506:K509)&gt;0,K513=""),3.664*K506*(K508/100)*(1-K509/100),"")</f>
        <v/>
      </c>
      <c r="L510" s="943" t="str">
        <f>IF(AND(COUNT(L506:L509)&gt;0,L513=""),3.664*L506*(L508/100)*(1-L509/100),"")</f>
        <v/>
      </c>
      <c r="M510" s="943" t="str">
        <f>IF(AND(COUNT(M506:M509)&gt;0,M513=""),3.664*M506*(M508/100)*(1-M509/100),"")</f>
        <v/>
      </c>
      <c r="N510" s="266"/>
      <c r="O510" s="17"/>
      <c r="P510" s="63" t="str">
        <f>EUconst_CNTR_EmissionsIntSource1 &amp; I433</f>
        <v>EmInternalSource1_</v>
      </c>
      <c r="R510" s="460" t="str">
        <f>EUconst_CNTR_AttributedEmissions &amp; I433</f>
        <v>AttrEmissions_</v>
      </c>
      <c r="S510" s="389" t="str">
        <f>IF(S433,SUM(I510),"")</f>
        <v/>
      </c>
      <c r="T510" s="389" t="str">
        <f>IF(T433,SUM(J510),"")</f>
        <v/>
      </c>
      <c r="U510" s="389" t="str">
        <f>IF(U433,SUM(K510),"")</f>
        <v/>
      </c>
      <c r="V510" s="389" t="str">
        <f>IF(V433,SUM(L510),"")</f>
        <v/>
      </c>
      <c r="W510" s="390" t="str">
        <f>IF(W433,SUM(M510),"")</f>
        <v/>
      </c>
      <c r="AA510" s="815"/>
    </row>
    <row r="511" spans="2:27" ht="12.75" customHeight="1" x14ac:dyDescent="0.25">
      <c r="B511" s="17"/>
      <c r="C511" s="900"/>
      <c r="D511" s="193" t="s">
        <v>223</v>
      </c>
      <c r="E511" s="1540" t="str">
        <f>Translations!$B$748</f>
        <v>Memo-Item: Biomass emissions</v>
      </c>
      <c r="F511" s="1540"/>
      <c r="G511" s="1540"/>
      <c r="H511" s="944" t="str">
        <f>EUconst_tCO2pa</f>
        <v>t CO2 / year</v>
      </c>
      <c r="I511" s="945" t="str">
        <f>IF(ISNUMBER(I510),3.664*I506*(I508/100)*(I509/100),"")</f>
        <v/>
      </c>
      <c r="J511" s="945" t="str">
        <f>IF(ISNUMBER(J510),3.664*J506*(J508/100)*(J509/100),"")</f>
        <v/>
      </c>
      <c r="K511" s="945" t="str">
        <f>IF(ISNUMBER(K510),3.664*K506*(K508/100)*(K509/100),"")</f>
        <v/>
      </c>
      <c r="L511" s="945" t="str">
        <f>IF(ISNUMBER(L510),3.664*L506*(L508/100)*(L509/100),"")</f>
        <v/>
      </c>
      <c r="M511" s="945" t="str">
        <f>IF(ISNUMBER(M510),3.664*M506*(M508/100)*(M509/100),"")</f>
        <v/>
      </c>
      <c r="N511" s="266"/>
      <c r="O511" s="17"/>
      <c r="AA511" s="815"/>
    </row>
    <row r="512" spans="2:27" ht="12.75" customHeight="1" x14ac:dyDescent="0.25">
      <c r="B512" s="17"/>
      <c r="C512" s="900"/>
      <c r="D512" s="193" t="s">
        <v>224</v>
      </c>
      <c r="E512" s="1527" t="str">
        <f>Translations!$B$749</f>
        <v>Energy content (calculated)</v>
      </c>
      <c r="F512" s="1527"/>
      <c r="G512" s="1527"/>
      <c r="H512" s="946" t="str">
        <f>EUconst_TJpa</f>
        <v>TJ / year</v>
      </c>
      <c r="I512" s="841" t="str">
        <f>IF(COUNT(I506:I507)=2,I506*I507/1000,"")</f>
        <v/>
      </c>
      <c r="J512" s="841" t="str">
        <f>IF(COUNT(J506:J507)=2,J506*J507/1000,"")</f>
        <v/>
      </c>
      <c r="K512" s="841" t="str">
        <f>IF(COUNT(K506:K507)=2,K506*K507/1000,"")</f>
        <v/>
      </c>
      <c r="L512" s="841" t="str">
        <f>IF(COUNT(L506:L507)=2,L506*L507/1000,"")</f>
        <v/>
      </c>
      <c r="M512" s="841" t="str">
        <f>IF(COUNT(M506:M507)=2,M506*M507/1000,"")</f>
        <v/>
      </c>
      <c r="N512" s="266"/>
      <c r="O512" s="17"/>
      <c r="AA512" s="815"/>
    </row>
    <row r="513" spans="2:27" ht="12.75" customHeight="1" x14ac:dyDescent="0.25">
      <c r="B513" s="17"/>
      <c r="C513" s="900"/>
      <c r="D513" s="193" t="s">
        <v>345</v>
      </c>
      <c r="E513" s="1541" t="str">
        <f>Translations!$B$750</f>
        <v>Error messages (emissions)</v>
      </c>
      <c r="F513" s="1541"/>
      <c r="G513" s="1541"/>
      <c r="H513" s="947"/>
      <c r="I513" s="267" t="str">
        <f>IF(COUNT(I506,I508:I509)&gt;0,IF(COUNTIF(I507:I509,"&lt;0")&gt;0,EUconst_Negative,IF(COUNT(I506,I508:I509)&lt;3,EUconst_Incomplete,"")),"")</f>
        <v/>
      </c>
      <c r="J513" s="267" t="str">
        <f>IF(COUNT(J506,J508:J509)&gt;0,IF(COUNTIF(J507:J509,"&lt;0")&gt;0,EUconst_Negative,IF(COUNT(J506,J508:J509)&lt;3,EUconst_Incomplete,"")),"")</f>
        <v/>
      </c>
      <c r="K513" s="267" t="str">
        <f>IF(COUNT(K506,K508:K509)&gt;0,IF(COUNTIF(K507:K509,"&lt;0")&gt;0,EUconst_Negative,IF(COUNT(K506,K508:K509)&lt;3,EUconst_Incomplete,"")),"")</f>
        <v/>
      </c>
      <c r="L513" s="267" t="str">
        <f>IF(COUNT(L506,L508:L509)&gt;0,IF(COUNTIF(L507:L509,"&lt;0")&gt;0,EUconst_Negative,IF(COUNT(L506,L508:L509)&lt;3,EUconst_Incomplete,"")),"")</f>
        <v/>
      </c>
      <c r="M513" s="267" t="str">
        <f>IF(COUNT(M506,M508:M509)&gt;0,IF(COUNTIF(M507:M509,"&lt;0")&gt;0,EUconst_Negative,IF(COUNT(M506,M508:M509)&lt;3,EUconst_Incomplete,"")),"")</f>
        <v/>
      </c>
      <c r="N513" s="266"/>
      <c r="O513" s="17"/>
      <c r="AA513" s="815"/>
    </row>
    <row r="514" spans="2:27" ht="12.75" customHeight="1" x14ac:dyDescent="0.25">
      <c r="B514" s="17"/>
      <c r="C514" s="900"/>
      <c r="D514" s="193"/>
      <c r="E514" s="342"/>
      <c r="F514" s="342"/>
      <c r="G514" s="342"/>
      <c r="H514" s="342"/>
      <c r="I514" s="342"/>
      <c r="J514" s="342"/>
      <c r="K514" s="342"/>
      <c r="L514" s="342"/>
      <c r="M514" s="342"/>
      <c r="N514" s="266"/>
      <c r="O514" s="17"/>
      <c r="AA514" s="815"/>
    </row>
    <row r="515" spans="2:27" ht="12.75" customHeight="1" x14ac:dyDescent="0.25">
      <c r="B515" s="17"/>
      <c r="C515" s="900"/>
      <c r="D515" s="193" t="s">
        <v>346</v>
      </c>
      <c r="E515" s="1529" t="str">
        <f>Translations!$B$751</f>
        <v>Name of further source streams - 2:</v>
      </c>
      <c r="F515" s="1529"/>
      <c r="G515" s="1529"/>
      <c r="H515" s="1529"/>
      <c r="I515" s="1530"/>
      <c r="J515" s="1531"/>
      <c r="K515" s="1531"/>
      <c r="L515" s="1531"/>
      <c r="M515" s="1532"/>
      <c r="N515" s="763"/>
      <c r="O515" s="17"/>
      <c r="AA515" s="285" t="b">
        <f>AA503</f>
        <v>0</v>
      </c>
    </row>
    <row r="516" spans="2:27" ht="5.0999999999999996" customHeight="1" x14ac:dyDescent="0.25">
      <c r="B516" s="17"/>
      <c r="C516" s="900"/>
      <c r="D516" s="342"/>
      <c r="E516" s="902"/>
      <c r="F516" s="762"/>
      <c r="G516" s="762"/>
      <c r="H516" s="762"/>
      <c r="I516" s="762"/>
      <c r="J516" s="762"/>
      <c r="K516" s="762"/>
      <c r="L516" s="762"/>
      <c r="M516" s="762"/>
      <c r="N516" s="763"/>
      <c r="O516" s="17"/>
      <c r="AA516" s="815"/>
    </row>
    <row r="517" spans="2:27" ht="12.75" customHeight="1" x14ac:dyDescent="0.25">
      <c r="B517" s="17"/>
      <c r="C517" s="900"/>
      <c r="D517" s="193"/>
      <c r="E517" s="1522" t="str">
        <f>Translations!$B$752</f>
        <v>Further source streams - 2</v>
      </c>
      <c r="F517" s="1523"/>
      <c r="G517" s="1523"/>
      <c r="H517" s="152" t="str">
        <f>EUconst_Unit</f>
        <v>Unit</v>
      </c>
      <c r="I517" s="153">
        <f>I$1882</f>
        <v>2019</v>
      </c>
      <c r="J517" s="153">
        <f>J$1882</f>
        <v>2020</v>
      </c>
      <c r="K517" s="153">
        <f>K$1882</f>
        <v>2021</v>
      </c>
      <c r="L517" s="153">
        <f>L$1882</f>
        <v>2022</v>
      </c>
      <c r="M517" s="153">
        <f>M$1882</f>
        <v>2023</v>
      </c>
      <c r="N517" s="266"/>
      <c r="O517" s="17"/>
      <c r="AA517" s="815"/>
    </row>
    <row r="518" spans="2:27" ht="12.75" customHeight="1" x14ac:dyDescent="0.25">
      <c r="B518" s="17"/>
      <c r="C518" s="900"/>
      <c r="D518" s="193" t="s">
        <v>347</v>
      </c>
      <c r="E518" s="1526" t="str">
        <f>Translations!$B$743</f>
        <v>Amount imported or exported</v>
      </c>
      <c r="F518" s="1526"/>
      <c r="G518" s="1526"/>
      <c r="H518" s="939" t="str">
        <f>EUconst_tpa</f>
        <v>t / year</v>
      </c>
      <c r="I518" s="825"/>
      <c r="J518" s="825"/>
      <c r="K518" s="825"/>
      <c r="L518" s="825"/>
      <c r="M518" s="825"/>
      <c r="N518" s="266"/>
      <c r="O518" s="17"/>
      <c r="AA518" s="285" t="b">
        <f>AA515</f>
        <v>0</v>
      </c>
    </row>
    <row r="519" spans="2:27" ht="12.75" customHeight="1" x14ac:dyDescent="0.25">
      <c r="B519" s="17"/>
      <c r="C519" s="900"/>
      <c r="D519" s="193" t="s">
        <v>355</v>
      </c>
      <c r="E519" s="1540" t="str">
        <f>Translations!$B$744</f>
        <v>Net calorific value (NCV), if applicable</v>
      </c>
      <c r="F519" s="1540"/>
      <c r="G519" s="1540"/>
      <c r="H519" s="940" t="str">
        <f>EUconst_GJpt</f>
        <v>GJ / t</v>
      </c>
      <c r="I519" s="296"/>
      <c r="J519" s="296"/>
      <c r="K519" s="296"/>
      <c r="L519" s="296"/>
      <c r="M519" s="296"/>
      <c r="N519" s="266"/>
      <c r="O519" s="17"/>
      <c r="AA519" s="285" t="b">
        <f>AA518</f>
        <v>0</v>
      </c>
    </row>
    <row r="520" spans="2:27" ht="12.75" customHeight="1" thickBot="1" x14ac:dyDescent="0.3">
      <c r="B520" s="17"/>
      <c r="C520" s="900"/>
      <c r="D520" s="193" t="s">
        <v>356</v>
      </c>
      <c r="E520" s="1540" t="str">
        <f>Translations!$B$745</f>
        <v>Carbon content (mass %)</v>
      </c>
      <c r="F520" s="1540"/>
      <c r="G520" s="1540"/>
      <c r="H520" s="941" t="s">
        <v>419</v>
      </c>
      <c r="I520" s="296"/>
      <c r="J520" s="296"/>
      <c r="K520" s="296"/>
      <c r="L520" s="296"/>
      <c r="M520" s="296"/>
      <c r="N520" s="266"/>
      <c r="O520" s="17"/>
      <c r="AA520" s="285" t="b">
        <f>AA519</f>
        <v>0</v>
      </c>
    </row>
    <row r="521" spans="2:27" ht="12.75" customHeight="1" thickBot="1" x14ac:dyDescent="0.3">
      <c r="B521" s="17"/>
      <c r="C521" s="900"/>
      <c r="D521" s="193" t="s">
        <v>420</v>
      </c>
      <c r="E521" s="1527" t="str">
        <f>Translations!$B$746</f>
        <v>Biomass content (as fraction of carbon)</v>
      </c>
      <c r="F521" s="1527"/>
      <c r="G521" s="1527"/>
      <c r="H521" s="343" t="s">
        <v>419</v>
      </c>
      <c r="I521" s="826"/>
      <c r="J521" s="826"/>
      <c r="K521" s="826"/>
      <c r="L521" s="826"/>
      <c r="M521" s="826"/>
      <c r="N521" s="266"/>
      <c r="O521" s="17"/>
      <c r="R521" s="459"/>
      <c r="S521" s="326">
        <f>I517</f>
        <v>2019</v>
      </c>
      <c r="T521" s="326">
        <f>J517</f>
        <v>2020</v>
      </c>
      <c r="U521" s="326">
        <f>K517</f>
        <v>2021</v>
      </c>
      <c r="V521" s="326">
        <f>L517</f>
        <v>2022</v>
      </c>
      <c r="W521" s="327">
        <f>M517</f>
        <v>2023</v>
      </c>
      <c r="AA521" s="286" t="b">
        <f>AA520</f>
        <v>0</v>
      </c>
    </row>
    <row r="522" spans="2:27" ht="12.75" customHeight="1" thickBot="1" x14ac:dyDescent="0.3">
      <c r="B522" s="17"/>
      <c r="C522" s="900"/>
      <c r="D522" s="193" t="s">
        <v>421</v>
      </c>
      <c r="E522" s="1526" t="str">
        <f>Translations!$B$747</f>
        <v>Emissions (fossil, calculated)</v>
      </c>
      <c r="F522" s="1526"/>
      <c r="G522" s="1526"/>
      <c r="H522" s="942" t="str">
        <f>EUconst_tCO2pa</f>
        <v>t CO2 / year</v>
      </c>
      <c r="I522" s="943" t="str">
        <f>IF(AND(COUNT(I518:I521)&gt;0,I525=""),3.664*I518*(I520/100)*(1-I521/100),"")</f>
        <v/>
      </c>
      <c r="J522" s="943" t="str">
        <f>IF(AND(COUNT(J518:J521)&gt;0,J525=""),3.664*J518*(J520/100)*(1-J521/100),"")</f>
        <v/>
      </c>
      <c r="K522" s="943" t="str">
        <f>IF(AND(COUNT(K518:K521)&gt;0,K525=""),3.664*K518*(K520/100)*(1-K521/100),"")</f>
        <v/>
      </c>
      <c r="L522" s="943" t="str">
        <f>IF(AND(COUNT(L518:L521)&gt;0,L525=""),3.664*L518*(L520/100)*(1-L521/100),"")</f>
        <v/>
      </c>
      <c r="M522" s="943" t="str">
        <f>IF(AND(COUNT(M518:M521)&gt;0,M525=""),3.664*M518*(M520/100)*(1-M521/100),"")</f>
        <v/>
      </c>
      <c r="N522" s="266"/>
      <c r="O522" s="17"/>
      <c r="P522" s="63" t="str">
        <f>EUconst_CNTR_EmissionsIntSource2 &amp; I433</f>
        <v>EmInternalSource2_</v>
      </c>
      <c r="R522" s="460" t="str">
        <f>EUconst_CNTR_AttributedEmissions &amp; I433</f>
        <v>AttrEmissions_</v>
      </c>
      <c r="S522" s="389" t="str">
        <f>IF(S433,SUM(I522),"")</f>
        <v/>
      </c>
      <c r="T522" s="389" t="str">
        <f>IF(T433,SUM(J522),"")</f>
        <v/>
      </c>
      <c r="U522" s="389" t="str">
        <f>IF(U433,SUM(K522),"")</f>
        <v/>
      </c>
      <c r="V522" s="389" t="str">
        <f>IF(V433,SUM(L522),"")</f>
        <v/>
      </c>
      <c r="W522" s="390" t="str">
        <f>IF(W433,SUM(M522),"")</f>
        <v/>
      </c>
    </row>
    <row r="523" spans="2:27" ht="12.75" customHeight="1" x14ac:dyDescent="0.25">
      <c r="B523" s="17"/>
      <c r="C523" s="900"/>
      <c r="D523" s="193" t="s">
        <v>422</v>
      </c>
      <c r="E523" s="1540" t="str">
        <f>Translations!$B$748</f>
        <v>Memo-Item: Biomass emissions</v>
      </c>
      <c r="F523" s="1540"/>
      <c r="G523" s="1540"/>
      <c r="H523" s="944" t="str">
        <f>EUconst_tCO2pa</f>
        <v>t CO2 / year</v>
      </c>
      <c r="I523" s="945" t="str">
        <f>IF(ISNUMBER(I522),3.664*I518*(I520/100)*(I521/100),"")</f>
        <v/>
      </c>
      <c r="J523" s="945" t="str">
        <f>IF(ISNUMBER(J522),3.664*J518*(J520/100)*(J521/100),"")</f>
        <v/>
      </c>
      <c r="K523" s="945" t="str">
        <f>IF(ISNUMBER(K522),3.664*K518*(K520/100)*(K521/100),"")</f>
        <v/>
      </c>
      <c r="L523" s="945" t="str">
        <f>IF(ISNUMBER(L522),3.664*L518*(L520/100)*(L521/100),"")</f>
        <v/>
      </c>
      <c r="M523" s="945" t="str">
        <f>IF(ISNUMBER(M522),3.664*M518*(M520/100)*(M521/100),"")</f>
        <v/>
      </c>
      <c r="N523" s="266"/>
      <c r="O523" s="17"/>
    </row>
    <row r="524" spans="2:27" ht="12.75" customHeight="1" x14ac:dyDescent="0.25">
      <c r="B524" s="17"/>
      <c r="C524" s="900"/>
      <c r="D524" s="193" t="s">
        <v>423</v>
      </c>
      <c r="E524" s="1527" t="str">
        <f>Translations!$B$749</f>
        <v>Energy content (calculated)</v>
      </c>
      <c r="F524" s="1527"/>
      <c r="G524" s="1527"/>
      <c r="H524" s="946" t="str">
        <f>EUconst_TJpa</f>
        <v>TJ / year</v>
      </c>
      <c r="I524" s="841" t="str">
        <f>IF(COUNT(I518:I519)=2,I518*I519/1000,"")</f>
        <v/>
      </c>
      <c r="J524" s="841" t="str">
        <f>IF(COUNT(J518:J519)=2,J518*J519/1000,"")</f>
        <v/>
      </c>
      <c r="K524" s="841" t="str">
        <f>IF(COUNT(K518:K519)=2,K518*K519/1000,"")</f>
        <v/>
      </c>
      <c r="L524" s="841" t="str">
        <f>IF(COUNT(L518:L519)=2,L518*L519/1000,"")</f>
        <v/>
      </c>
      <c r="M524" s="841" t="str">
        <f>IF(COUNT(M518:M519)=2,M518*M519/1000,"")</f>
        <v/>
      </c>
      <c r="N524" s="266"/>
      <c r="O524" s="17"/>
    </row>
    <row r="525" spans="2:27" ht="12.75" customHeight="1" x14ac:dyDescent="0.25">
      <c r="B525" s="17"/>
      <c r="C525" s="900"/>
      <c r="D525" s="193" t="s">
        <v>356</v>
      </c>
      <c r="E525" s="1541" t="str">
        <f>Translations!$B$750</f>
        <v>Error messages (emissions)</v>
      </c>
      <c r="F525" s="1541"/>
      <c r="G525" s="1541"/>
      <c r="H525" s="947"/>
      <c r="I525" s="267" t="str">
        <f>IF(COUNT(I518,I520:I521)&gt;0,IF(COUNTIF(I519:I521,"&lt;0")&gt;0,EUconst_Negative,IF(COUNT(I518,I520:I521)&lt;3,EUconst_Incomplete,"")),"")</f>
        <v/>
      </c>
      <c r="J525" s="267" t="str">
        <f>IF(COUNT(J518,J520:J521)&gt;0,IF(COUNTIF(J519:J521,"&lt;0")&gt;0,EUconst_Negative,IF(COUNT(J518,J520:J521)&lt;3,EUconst_Incomplete,"")),"")</f>
        <v/>
      </c>
      <c r="K525" s="267" t="str">
        <f>IF(COUNT(K518,K520:K521)&gt;0,IF(COUNTIF(K519:K521,"&lt;0")&gt;0,EUconst_Negative,IF(COUNT(K518,K520:K521)&lt;3,EUconst_Incomplete,"")),"")</f>
        <v/>
      </c>
      <c r="L525" s="267" t="str">
        <f>IF(COUNT(L518,L520:L521)&gt;0,IF(COUNTIF(L519:L521,"&lt;0")&gt;0,EUconst_Negative,IF(COUNT(L518,L520:L521)&lt;3,EUconst_Incomplete,"")),"")</f>
        <v/>
      </c>
      <c r="M525" s="267" t="str">
        <f>IF(COUNT(M518,M520:M521)&gt;0,IF(COUNTIF(M519:M521,"&lt;0")&gt;0,EUconst_Negative,IF(COUNT(M518,M520:M521)&lt;3,EUconst_Incomplete,"")),"")</f>
        <v/>
      </c>
      <c r="N525" s="266"/>
      <c r="O525" s="17"/>
    </row>
    <row r="526" spans="2:27" ht="12.75" customHeight="1" x14ac:dyDescent="0.25">
      <c r="B526" s="17"/>
      <c r="C526" s="900"/>
      <c r="D526" s="342"/>
      <c r="E526" s="342"/>
      <c r="F526" s="342"/>
      <c r="G526" s="342"/>
      <c r="H526" s="342"/>
      <c r="I526" s="342"/>
      <c r="J526" s="342"/>
      <c r="K526" s="342"/>
      <c r="L526" s="342"/>
      <c r="M526" s="342"/>
      <c r="N526" s="266"/>
      <c r="O526" s="17"/>
    </row>
    <row r="527" spans="2:27" ht="12.75" customHeight="1" thickBot="1" x14ac:dyDescent="0.3">
      <c r="B527" s="17"/>
      <c r="C527" s="900"/>
      <c r="D527" s="157" t="s">
        <v>339</v>
      </c>
      <c r="E527" s="1511" t="str">
        <f>Translations!$B$753</f>
        <v>Amount of GHG imported or exported as feedstock</v>
      </c>
      <c r="F527" s="1512"/>
      <c r="G527" s="1512"/>
      <c r="H527" s="1512"/>
      <c r="I527" s="1512"/>
      <c r="J527" s="1512"/>
      <c r="K527" s="1512"/>
      <c r="L527" s="1512"/>
      <c r="M527" s="1512"/>
      <c r="N527" s="1513"/>
      <c r="O527" s="17"/>
    </row>
    <row r="528" spans="2:27" ht="12.75" customHeight="1" x14ac:dyDescent="0.25">
      <c r="B528" s="17"/>
      <c r="C528" s="900"/>
      <c r="D528" s="157"/>
      <c r="E528" s="1522"/>
      <c r="F528" s="1523"/>
      <c r="G528" s="1523"/>
      <c r="H528" s="152" t="str">
        <f>EUconst_Unit</f>
        <v>Unit</v>
      </c>
      <c r="I528" s="153">
        <f>I$1882</f>
        <v>2019</v>
      </c>
      <c r="J528" s="153">
        <f>J$1882</f>
        <v>2020</v>
      </c>
      <c r="K528" s="153">
        <f>K$1882</f>
        <v>2021</v>
      </c>
      <c r="L528" s="153">
        <f>L$1882</f>
        <v>2022</v>
      </c>
      <c r="M528" s="153">
        <f>M$1882</f>
        <v>2023</v>
      </c>
      <c r="N528" s="266"/>
      <c r="O528" s="17"/>
      <c r="R528" s="459"/>
      <c r="S528" s="326">
        <f>I528</f>
        <v>2019</v>
      </c>
      <c r="T528" s="326">
        <f>J528</f>
        <v>2020</v>
      </c>
      <c r="U528" s="326">
        <f>K528</f>
        <v>2021</v>
      </c>
      <c r="V528" s="326">
        <f>L528</f>
        <v>2022</v>
      </c>
      <c r="W528" s="327">
        <f>M528</f>
        <v>2023</v>
      </c>
    </row>
    <row r="529" spans="2:24" ht="12.75" customHeight="1" thickBot="1" x14ac:dyDescent="0.3">
      <c r="B529" s="17"/>
      <c r="C529" s="900"/>
      <c r="D529" s="193"/>
      <c r="E529" s="1528" t="str">
        <f>Translations!$B$756</f>
        <v>GHG imported or exported</v>
      </c>
      <c r="F529" s="1528"/>
      <c r="G529" s="1528"/>
      <c r="H529" s="154" t="str">
        <f>EUconst_tCO2epa</f>
        <v>t CO2e/year</v>
      </c>
      <c r="I529" s="311"/>
      <c r="J529" s="311"/>
      <c r="K529" s="311"/>
      <c r="L529" s="311"/>
      <c r="M529" s="311"/>
      <c r="N529" s="903"/>
      <c r="O529" s="17"/>
      <c r="P529" s="63" t="str">
        <f>EUconst_CNTR_CO2Feedstock &amp; I433</f>
        <v>EmCO2Feedstock_</v>
      </c>
      <c r="R529" s="460" t="str">
        <f>EUconst_CNTR_AttributedEmissions &amp; I433</f>
        <v>AttrEmissions_</v>
      </c>
      <c r="S529" s="389" t="str">
        <f>IF(S433,SUM(I529),"")</f>
        <v/>
      </c>
      <c r="T529" s="389" t="str">
        <f>IF(T433,SUM(J529),"")</f>
        <v/>
      </c>
      <c r="U529" s="389" t="str">
        <f>IF(U433,SUM(K529),"")</f>
        <v/>
      </c>
      <c r="V529" s="389" t="str">
        <f>IF(V433,SUM(L529),"")</f>
        <v/>
      </c>
      <c r="W529" s="390" t="str">
        <f>IF(W433,SUM(M529),"")</f>
        <v/>
      </c>
    </row>
    <row r="530" spans="2:24" ht="12.75" customHeight="1" x14ac:dyDescent="0.25">
      <c r="B530" s="17"/>
      <c r="C530" s="900"/>
      <c r="D530" s="342"/>
      <c r="E530" s="342"/>
      <c r="F530" s="342"/>
      <c r="G530" s="342"/>
      <c r="H530" s="342"/>
      <c r="I530" s="342"/>
      <c r="J530" s="342"/>
      <c r="K530" s="342"/>
      <c r="L530" s="342"/>
      <c r="M530" s="342"/>
      <c r="N530" s="266"/>
      <c r="O530" s="17"/>
    </row>
    <row r="531" spans="2:24" ht="12.75" customHeight="1" x14ac:dyDescent="0.25">
      <c r="B531" s="17"/>
      <c r="C531" s="900"/>
      <c r="D531" s="157" t="s">
        <v>357</v>
      </c>
      <c r="E531" s="1511" t="str">
        <f>Translations!$B$757</f>
        <v>Measurable heat import to and export from this sub-installation</v>
      </c>
      <c r="F531" s="1512"/>
      <c r="G531" s="1512"/>
      <c r="H531" s="1512"/>
      <c r="I531" s="1512"/>
      <c r="J531" s="1512"/>
      <c r="K531" s="1512"/>
      <c r="L531" s="1512"/>
      <c r="M531" s="1512"/>
      <c r="N531" s="1513"/>
      <c r="O531" s="17"/>
    </row>
    <row r="532" spans="2:24" ht="12.75" customHeight="1" thickBot="1" x14ac:dyDescent="0.3">
      <c r="B532" s="17"/>
      <c r="C532" s="900"/>
      <c r="D532" s="342"/>
      <c r="E532" s="1477" t="str">
        <f>Translations!$B$762</f>
        <v>For attributing emissions from cogeneration (CHP) to production of heat, the "CHP tool" in section D.III. of this template has to be used.</v>
      </c>
      <c r="F532" s="1477"/>
      <c r="G532" s="1477"/>
      <c r="H532" s="1477"/>
      <c r="I532" s="1477"/>
      <c r="J532" s="1477"/>
      <c r="K532" s="1477"/>
      <c r="L532" s="1477"/>
      <c r="M532" s="1477"/>
      <c r="N532" s="903"/>
      <c r="O532" s="17"/>
    </row>
    <row r="533" spans="2:24" ht="12.75" customHeight="1" x14ac:dyDescent="0.25">
      <c r="B533" s="17"/>
      <c r="C533" s="900"/>
      <c r="D533" s="342"/>
      <c r="E533" s="1522" t="str">
        <f>Translations!$B$763</f>
        <v>Total heat imported</v>
      </c>
      <c r="F533" s="1523"/>
      <c r="G533" s="1523"/>
      <c r="H533" s="152" t="str">
        <f>EUconst_Unit</f>
        <v>Unit</v>
      </c>
      <c r="I533" s="153">
        <f>I$1882</f>
        <v>2019</v>
      </c>
      <c r="J533" s="153">
        <f>J$1882</f>
        <v>2020</v>
      </c>
      <c r="K533" s="153">
        <f>K$1882</f>
        <v>2021</v>
      </c>
      <c r="L533" s="153">
        <f>L$1882</f>
        <v>2022</v>
      </c>
      <c r="M533" s="153">
        <f>M$1882</f>
        <v>2023</v>
      </c>
      <c r="N533" s="903"/>
      <c r="O533" s="17"/>
      <c r="R533" s="459"/>
      <c r="S533" s="326">
        <f>I533</f>
        <v>2019</v>
      </c>
      <c r="T533" s="326">
        <f>J533</f>
        <v>2020</v>
      </c>
      <c r="U533" s="326">
        <f>K533</f>
        <v>2021</v>
      </c>
      <c r="V533" s="326">
        <f>L533</f>
        <v>2022</v>
      </c>
      <c r="W533" s="327">
        <f>M533</f>
        <v>2023</v>
      </c>
    </row>
    <row r="534" spans="2:24" ht="12.75" customHeight="1" x14ac:dyDescent="0.25">
      <c r="B534" s="17"/>
      <c r="C534" s="900"/>
      <c r="D534" s="193" t="s">
        <v>206</v>
      </c>
      <c r="E534" s="1528" t="str">
        <f>Translations!$B$764</f>
        <v>Net heat imported</v>
      </c>
      <c r="F534" s="1528"/>
      <c r="G534" s="1528"/>
      <c r="H534" s="154" t="str">
        <f>EUconst_TJpa</f>
        <v>TJ / year</v>
      </c>
      <c r="I534" s="311"/>
      <c r="J534" s="311"/>
      <c r="K534" s="311"/>
      <c r="L534" s="311"/>
      <c r="M534" s="311"/>
      <c r="N534" s="277"/>
      <c r="O534" s="17"/>
      <c r="P534" s="63" t="str">
        <f>EUconst_CNTR_HeatImport &amp; I433</f>
        <v>HeatIm_</v>
      </c>
      <c r="R534" s="464" t="str">
        <f>EUconst_ERR_AttrEmBMapplied &amp; I433</f>
        <v>ERR_AttrEmBM_</v>
      </c>
      <c r="S534" s="63">
        <f>IF(AND(I534&lt;&gt;0,I535="",EUconst_StatusOfDataCollection=FALSE),1,0)</f>
        <v>0</v>
      </c>
      <c r="T534" s="63">
        <f>IF(AND(J534&lt;&gt;0,J535="",EUconst_StatusOfDataCollection=FALSE),1,0)</f>
        <v>0</v>
      </c>
      <c r="U534" s="63">
        <f>IF(AND(K534&lt;&gt;0,K535="",EUconst_StatusOfDataCollection=FALSE),1,0)</f>
        <v>0</v>
      </c>
      <c r="V534" s="63">
        <f>IF(AND(L534&lt;&gt;0,L535="",EUconst_StatusOfDataCollection=FALSE),1,0)</f>
        <v>0</v>
      </c>
      <c r="W534" s="803">
        <f>IF(AND(M534&lt;&gt;0,M535="",EUconst_StatusOfDataCollection=FALSE),1,0)</f>
        <v>0</v>
      </c>
      <c r="X534" s="28"/>
    </row>
    <row r="535" spans="2:24" ht="12.75" customHeight="1" thickBot="1" x14ac:dyDescent="0.3">
      <c r="B535" s="17"/>
      <c r="C535" s="900"/>
      <c r="D535" s="193" t="s">
        <v>208</v>
      </c>
      <c r="E535" s="1528" t="str">
        <f>Translations!$B$765</f>
        <v>Specific EF (imported heat)</v>
      </c>
      <c r="F535" s="1528"/>
      <c r="G535" s="1528"/>
      <c r="H535" s="154" t="str">
        <f>EUconst_tCO2pTJ</f>
        <v>t CO2 / TJ</v>
      </c>
      <c r="I535" s="1065"/>
      <c r="J535" s="1065"/>
      <c r="K535" s="1065"/>
      <c r="L535" s="1065"/>
      <c r="M535" s="1065"/>
      <c r="N535" s="266"/>
      <c r="O535" s="17"/>
      <c r="P535" s="63" t="str">
        <f>EUconst_CNTR_HeatImportEF &amp; I433</f>
        <v>HeatImEF_</v>
      </c>
      <c r="R535" s="460" t="str">
        <f>EUconst_CNTR_AttributedEmissions &amp; I433</f>
        <v>AttrEmissions_</v>
      </c>
      <c r="S535" s="389" t="str">
        <f>IF(S433,SUM(I534)*IF(ISNUMBER(I535),I535,EUconst_HeatBMvalueForBM),"")</f>
        <v/>
      </c>
      <c r="T535" s="389" t="str">
        <f>IF(T433,SUM(J534)*IF(ISNUMBER(J535),J535,EUconst_HeatBMvalueForBM),"")</f>
        <v/>
      </c>
      <c r="U535" s="389" t="str">
        <f>IF(U433,SUM(K534)*IF(ISNUMBER(K535),K535,EUconst_HeatBMvalueForBM),"")</f>
        <v/>
      </c>
      <c r="V535" s="389" t="str">
        <f>IF(V433,SUM(L534)*IF(ISNUMBER(L535),L535,EUconst_HeatBMvalueForBM),"")</f>
        <v/>
      </c>
      <c r="W535" s="390" t="str">
        <f>IF(W433,SUM(M534)*IF(ISNUMBER(M535),M535,EUconst_HeatBMvalueForBM),"")</f>
        <v/>
      </c>
    </row>
    <row r="536" spans="2:24" ht="5.0999999999999996" customHeight="1" x14ac:dyDescent="0.25">
      <c r="B536" s="17"/>
      <c r="C536" s="900"/>
      <c r="D536" s="342"/>
      <c r="E536" s="342"/>
      <c r="F536" s="342"/>
      <c r="G536" s="342"/>
      <c r="H536" s="342"/>
      <c r="I536" s="342"/>
      <c r="J536" s="342"/>
      <c r="K536" s="342"/>
      <c r="L536" s="342"/>
      <c r="M536" s="342"/>
      <c r="N536" s="266"/>
      <c r="O536" s="17"/>
    </row>
    <row r="537" spans="2:24" ht="12.75" customHeight="1" x14ac:dyDescent="0.25">
      <c r="B537" s="17"/>
      <c r="C537" s="900"/>
      <c r="D537" s="342"/>
      <c r="E537" s="1522" t="str">
        <f>Translations!$B$766</f>
        <v>Special heat import</v>
      </c>
      <c r="F537" s="1522"/>
      <c r="G537" s="1522"/>
      <c r="H537" s="152" t="str">
        <f>EUconst_Unit</f>
        <v>Unit</v>
      </c>
      <c r="I537" s="153">
        <f>I$1882</f>
        <v>2019</v>
      </c>
      <c r="J537" s="153">
        <f>J$1882</f>
        <v>2020</v>
      </c>
      <c r="K537" s="153">
        <f>K$1882</f>
        <v>2021</v>
      </c>
      <c r="L537" s="153">
        <f>L$1882</f>
        <v>2022</v>
      </c>
      <c r="M537" s="153">
        <f>M$1882</f>
        <v>2023</v>
      </c>
      <c r="N537" s="903"/>
      <c r="O537" s="17"/>
    </row>
    <row r="538" spans="2:24" ht="12.75" customHeight="1" x14ac:dyDescent="0.25">
      <c r="B538" s="17"/>
      <c r="C538" s="900"/>
      <c r="D538" s="193" t="s">
        <v>209</v>
      </c>
      <c r="E538" s="1528" t="str">
        <f>Translations!$B$820</f>
        <v>Net heat imported from pulp</v>
      </c>
      <c r="F538" s="1528"/>
      <c r="G538" s="1528"/>
      <c r="H538" s="154" t="str">
        <f>EUconst_TJpa</f>
        <v>TJ / year</v>
      </c>
      <c r="I538" s="948"/>
      <c r="J538" s="948"/>
      <c r="K538" s="948"/>
      <c r="L538" s="948"/>
      <c r="M538" s="948"/>
      <c r="N538" s="277"/>
      <c r="O538" s="17"/>
      <c r="P538" s="63" t="str">
        <f>EUconst_CNTR_HeatImportPulp &amp; I433</f>
        <v>HeatImPulp_</v>
      </c>
    </row>
    <row r="539" spans="2:24" ht="12.75" customHeight="1" x14ac:dyDescent="0.25">
      <c r="B539" s="17"/>
      <c r="C539" s="900"/>
      <c r="D539" s="193" t="s">
        <v>210</v>
      </c>
      <c r="E539" s="1528" t="str">
        <f>Translations!$B$768</f>
        <v>Net heat imported from nitric acid sub-installation</v>
      </c>
      <c r="F539" s="1528"/>
      <c r="G539" s="1528"/>
      <c r="H539" s="154" t="str">
        <f>EUconst_TJpa</f>
        <v>TJ / year</v>
      </c>
      <c r="I539" s="311"/>
      <c r="J539" s="311"/>
      <c r="K539" s="311"/>
      <c r="L539" s="311"/>
      <c r="M539" s="311"/>
      <c r="N539" s="277"/>
      <c r="O539" s="17"/>
      <c r="P539" s="63" t="str">
        <f>EUconst_CNTR_HeatImportNitric &amp; I433</f>
        <v>HeatImNitric_</v>
      </c>
    </row>
    <row r="540" spans="2:24" ht="5.0999999999999996" customHeight="1" thickBot="1" x14ac:dyDescent="0.3">
      <c r="B540" s="17"/>
      <c r="C540" s="900"/>
      <c r="D540" s="342"/>
      <c r="E540" s="342"/>
      <c r="F540" s="342"/>
      <c r="G540" s="342"/>
      <c r="H540" s="342"/>
      <c r="I540" s="342"/>
      <c r="J540" s="342"/>
      <c r="K540" s="342"/>
      <c r="L540" s="342"/>
      <c r="M540" s="342"/>
      <c r="N540" s="266"/>
      <c r="O540" s="17"/>
    </row>
    <row r="541" spans="2:24" ht="12.75" customHeight="1" x14ac:dyDescent="0.25">
      <c r="B541" s="17"/>
      <c r="C541" s="900"/>
      <c r="D541" s="342"/>
      <c r="E541" s="1522" t="str">
        <f>Translations!$B$769</f>
        <v>Total heat exported</v>
      </c>
      <c r="F541" s="1522"/>
      <c r="G541" s="1522"/>
      <c r="H541" s="152" t="str">
        <f>EUconst_Unit</f>
        <v>Unit</v>
      </c>
      <c r="I541" s="153">
        <f>I$1882</f>
        <v>2019</v>
      </c>
      <c r="J541" s="153">
        <f>J$1882</f>
        <v>2020</v>
      </c>
      <c r="K541" s="153">
        <f>K$1882</f>
        <v>2021</v>
      </c>
      <c r="L541" s="153">
        <f>L$1882</f>
        <v>2022</v>
      </c>
      <c r="M541" s="153">
        <f>M$1882</f>
        <v>2023</v>
      </c>
      <c r="N541" s="903"/>
      <c r="O541" s="17"/>
      <c r="R541" s="459"/>
      <c r="S541" s="326">
        <f>I541</f>
        <v>2019</v>
      </c>
      <c r="T541" s="326">
        <f>J541</f>
        <v>2020</v>
      </c>
      <c r="U541" s="326">
        <f>K541</f>
        <v>2021</v>
      </c>
      <c r="V541" s="326">
        <f>L541</f>
        <v>2022</v>
      </c>
      <c r="W541" s="327">
        <f>M541</f>
        <v>2023</v>
      </c>
    </row>
    <row r="542" spans="2:24" ht="12.75" customHeight="1" x14ac:dyDescent="0.25">
      <c r="B542" s="17"/>
      <c r="C542" s="900"/>
      <c r="D542" s="193" t="s">
        <v>220</v>
      </c>
      <c r="E542" s="1528" t="str">
        <f>Translations!$B$770</f>
        <v>Net heat exported</v>
      </c>
      <c r="F542" s="1528"/>
      <c r="G542" s="1528"/>
      <c r="H542" s="154" t="str">
        <f>EUconst_TJpa</f>
        <v>TJ / year</v>
      </c>
      <c r="I542" s="311"/>
      <c r="J542" s="311"/>
      <c r="K542" s="311"/>
      <c r="L542" s="311"/>
      <c r="M542" s="311"/>
      <c r="N542" s="277"/>
      <c r="O542" s="17"/>
      <c r="P542" s="63" t="str">
        <f>EUconst_CNTR_HeatExport &amp; I433</f>
        <v>HeatEx_</v>
      </c>
      <c r="R542" s="464" t="str">
        <f>EUconst_ERR_AttrEmBMapplied &amp; I433</f>
        <v>ERR_AttrEmBM_</v>
      </c>
      <c r="S542" s="63">
        <f>IF(AND(I542&lt;&gt;0,I543="",EUconst_StatusOfDataCollection=FALSE),1,0)</f>
        <v>0</v>
      </c>
      <c r="T542" s="63">
        <f>IF(AND(J542&lt;&gt;0,J543="",EUconst_StatusOfDataCollection=FALSE),1,0)</f>
        <v>0</v>
      </c>
      <c r="U542" s="63">
        <f>IF(AND(K542&lt;&gt;0,K543="",EUconst_StatusOfDataCollection=FALSE),1,0)</f>
        <v>0</v>
      </c>
      <c r="V542" s="63">
        <f>IF(AND(L542&lt;&gt;0,L543="",EUconst_StatusOfDataCollection=FALSE),1,0)</f>
        <v>0</v>
      </c>
      <c r="W542" s="803">
        <f>IF(AND(M542&lt;&gt;0,M543="",EUconst_StatusOfDataCollection=FALSE),1,0)</f>
        <v>0</v>
      </c>
    </row>
    <row r="543" spans="2:24" ht="12.75" customHeight="1" thickBot="1" x14ac:dyDescent="0.3">
      <c r="B543" s="17"/>
      <c r="C543" s="900"/>
      <c r="D543" s="193" t="s">
        <v>221</v>
      </c>
      <c r="E543" s="1528" t="str">
        <f>Translations!$B$771</f>
        <v>Specific EF (exported heat)</v>
      </c>
      <c r="F543" s="1528"/>
      <c r="G543" s="1528"/>
      <c r="H543" s="154" t="str">
        <f>EUconst_tCO2pTJ</f>
        <v>t CO2 / TJ</v>
      </c>
      <c r="I543" s="1065"/>
      <c r="J543" s="1065"/>
      <c r="K543" s="1065"/>
      <c r="L543" s="1065"/>
      <c r="M543" s="1065"/>
      <c r="N543" s="266"/>
      <c r="O543" s="17"/>
      <c r="P543" s="63" t="str">
        <f>EUconst_CNTR_HeatExportEF &amp; I433</f>
        <v>HeatExEF_</v>
      </c>
      <c r="R543" s="460" t="str">
        <f>EUconst_CNTR_AttributedEmissions &amp; I433</f>
        <v>AttrEmissions_</v>
      </c>
      <c r="S543" s="389" t="str">
        <f>IF(S433,-SUM(I542)*IF(INDEX(EUconst_BMlistNumberOfBM,MATCH($I433,EUconst_BMlistNames,0))=39,0,IF(ISNUMBER(I543),I543,EUconst_HeatBMvalueForBM)),"")</f>
        <v/>
      </c>
      <c r="T543" s="389" t="str">
        <f>IF(T433,-SUM(J542)*IF(INDEX(EUconst_BMlistNumberOfBM,MATCH($I433,EUconst_BMlistNames,0))=39,0,IF(ISNUMBER(J543),J543,EUconst_HeatBMvalueForBM)),"")</f>
        <v/>
      </c>
      <c r="U543" s="389" t="str">
        <f>IF(U433,-SUM(K542)*IF(INDEX(EUconst_BMlistNumberOfBM,MATCH($I433,EUconst_BMlistNames,0))=39,0,IF(ISNUMBER(K543),K543,EUconst_HeatBMvalueForBM)),"")</f>
        <v/>
      </c>
      <c r="V543" s="389" t="str">
        <f>IF(V433,-SUM(L542)*IF(INDEX(EUconst_BMlistNumberOfBM,MATCH($I433,EUconst_BMlistNames,0))=39,0,IF(ISNUMBER(L543),L543,EUconst_HeatBMvalueForBM)),"")</f>
        <v/>
      </c>
      <c r="W543" s="390" t="str">
        <f>IF(W433,-SUM(M542)*IF(INDEX(EUconst_BMlistNumberOfBM,MATCH($I433,EUconst_BMlistNames,0))=39,0,IF(ISNUMBER(M543),M543,EUconst_HeatBMvalueForBM)),"")</f>
        <v/>
      </c>
    </row>
    <row r="544" spans="2:24" ht="12.75" customHeight="1" x14ac:dyDescent="0.25">
      <c r="B544" s="17"/>
      <c r="C544" s="900"/>
      <c r="D544" s="342"/>
      <c r="E544" s="342"/>
      <c r="F544" s="342"/>
      <c r="G544" s="342"/>
      <c r="H544" s="342"/>
      <c r="I544" s="342"/>
      <c r="J544" s="342"/>
      <c r="K544" s="342"/>
      <c r="L544" s="342"/>
      <c r="M544" s="342"/>
      <c r="N544" s="266"/>
      <c r="O544" s="17"/>
    </row>
    <row r="545" spans="2:27" ht="12.75" customHeight="1" x14ac:dyDescent="0.25">
      <c r="B545" s="17"/>
      <c r="C545" s="900"/>
      <c r="D545" s="157" t="s">
        <v>358</v>
      </c>
      <c r="E545" s="1511" t="str">
        <f>Translations!$B$772</f>
        <v>Waste gas balance for this sub-installation</v>
      </c>
      <c r="F545" s="1512"/>
      <c r="G545" s="1512"/>
      <c r="H545" s="1512"/>
      <c r="I545" s="1512"/>
      <c r="J545" s="1512"/>
      <c r="K545" s="1512"/>
      <c r="L545" s="1512"/>
      <c r="M545" s="1512"/>
      <c r="N545" s="1513"/>
      <c r="O545" s="17"/>
    </row>
    <row r="546" spans="2:27" ht="5.0999999999999996" customHeight="1" thickBot="1" x14ac:dyDescent="0.3">
      <c r="B546" s="17"/>
      <c r="C546" s="900"/>
      <c r="D546" s="342"/>
      <c r="E546" s="1533"/>
      <c r="F546" s="1533"/>
      <c r="G546" s="1533"/>
      <c r="H546" s="1533"/>
      <c r="I546" s="1533"/>
      <c r="J546" s="1533"/>
      <c r="K546" s="1533"/>
      <c r="L546" s="1533"/>
      <c r="M546" s="1533"/>
      <c r="N546" s="1537"/>
      <c r="O546" s="17"/>
    </row>
    <row r="547" spans="2:27" ht="12.75" customHeight="1" thickBot="1" x14ac:dyDescent="0.3">
      <c r="B547" s="17"/>
      <c r="C547" s="900"/>
      <c r="D547" s="193" t="s">
        <v>206</v>
      </c>
      <c r="E547" s="1538" t="str">
        <f>Translations!$B$773</f>
        <v>Are waste gases relevant for this sub-installation?</v>
      </c>
      <c r="F547" s="1538"/>
      <c r="G547" s="1538"/>
      <c r="H547" s="1538"/>
      <c r="I547" s="1538"/>
      <c r="J547" s="1538"/>
      <c r="K547" s="1539"/>
      <c r="L547" s="194"/>
      <c r="M547" s="762"/>
      <c r="N547" s="763"/>
      <c r="O547" s="17"/>
      <c r="W547" s="288" t="s">
        <v>418</v>
      </c>
      <c r="X547" s="215" t="b">
        <f>IF(AND(I433&lt;&gt;"",ISBLANK(L547)),EUconst_Error&amp;"BM"&amp;C433,FALSE)</f>
        <v>0</v>
      </c>
    </row>
    <row r="548" spans="2:27" ht="5.0999999999999996" customHeight="1" thickBot="1" x14ac:dyDescent="0.3">
      <c r="B548" s="17"/>
      <c r="C548" s="900"/>
      <c r="D548" s="342"/>
      <c r="E548" s="1533"/>
      <c r="F548" s="1512"/>
      <c r="G548" s="1512"/>
      <c r="H548" s="1512"/>
      <c r="I548" s="1512"/>
      <c r="J548" s="1512"/>
      <c r="K548" s="1512"/>
      <c r="L548" s="1512"/>
      <c r="M548" s="1512"/>
      <c r="N548" s="1513"/>
      <c r="O548" s="17"/>
      <c r="AA548" s="145" t="s">
        <v>396</v>
      </c>
    </row>
    <row r="549" spans="2:27" ht="12.75" customHeight="1" x14ac:dyDescent="0.25">
      <c r="B549" s="17"/>
      <c r="C549" s="900"/>
      <c r="D549" s="193" t="s">
        <v>208</v>
      </c>
      <c r="E549" s="1529" t="str">
        <f>Translations!$B$775</f>
        <v>Types of waste gases produced:</v>
      </c>
      <c r="F549" s="1529"/>
      <c r="G549" s="1529"/>
      <c r="H549" s="1529"/>
      <c r="I549" s="1530"/>
      <c r="J549" s="1531"/>
      <c r="K549" s="1531"/>
      <c r="L549" s="1531"/>
      <c r="M549" s="1532"/>
      <c r="N549" s="763"/>
      <c r="O549" s="17"/>
      <c r="AA549" s="316" t="b">
        <f>IF(I433&lt;&gt;"",AND(L547&lt;&gt;"",L547=FALSE),FALSE)</f>
        <v>0</v>
      </c>
    </row>
    <row r="550" spans="2:27" ht="5.0999999999999996" customHeight="1" x14ac:dyDescent="0.25">
      <c r="B550" s="17"/>
      <c r="C550" s="900"/>
      <c r="D550" s="342"/>
      <c r="E550" s="1533"/>
      <c r="F550" s="1512"/>
      <c r="G550" s="1512"/>
      <c r="H550" s="1512"/>
      <c r="I550" s="1512"/>
      <c r="J550" s="1512"/>
      <c r="K550" s="1512"/>
      <c r="L550" s="1512"/>
      <c r="M550" s="1512"/>
      <c r="N550" s="1513"/>
      <c r="O550" s="17"/>
      <c r="AA550" s="815"/>
    </row>
    <row r="551" spans="2:27" ht="12.75" customHeight="1" x14ac:dyDescent="0.25">
      <c r="B551" s="17"/>
      <c r="C551" s="900"/>
      <c r="D551" s="342"/>
      <c r="E551" s="1522"/>
      <c r="F551" s="1523"/>
      <c r="G551" s="1523"/>
      <c r="H551" s="152" t="str">
        <f>EUconst_Unit</f>
        <v>Unit</v>
      </c>
      <c r="I551" s="153">
        <f>I$1882</f>
        <v>2019</v>
      </c>
      <c r="J551" s="153">
        <f>J$1882</f>
        <v>2020</v>
      </c>
      <c r="K551" s="153">
        <f>K$1882</f>
        <v>2021</v>
      </c>
      <c r="L551" s="153">
        <f>L$1882</f>
        <v>2022</v>
      </c>
      <c r="M551" s="153">
        <f>M$1882</f>
        <v>2023</v>
      </c>
      <c r="N551" s="903"/>
      <c r="O551" s="17"/>
      <c r="AA551" s="815"/>
    </row>
    <row r="552" spans="2:27" ht="12.75" customHeight="1" x14ac:dyDescent="0.25">
      <c r="B552" s="17"/>
      <c r="C552" s="900"/>
      <c r="D552" s="193" t="s">
        <v>209</v>
      </c>
      <c r="E552" s="1526" t="str">
        <f>Translations!$B$777</f>
        <v>Amounts produced</v>
      </c>
      <c r="F552" s="1526"/>
      <c r="G552" s="1526"/>
      <c r="H552" s="949" t="s">
        <v>427</v>
      </c>
      <c r="I552" s="889"/>
      <c r="J552" s="889"/>
      <c r="K552" s="889"/>
      <c r="L552" s="889"/>
      <c r="M552" s="889"/>
      <c r="N552" s="903"/>
      <c r="O552" s="17"/>
      <c r="AA552" s="285" t="b">
        <f>AA549</f>
        <v>0</v>
      </c>
    </row>
    <row r="553" spans="2:27" ht="12.75" customHeight="1" x14ac:dyDescent="0.25">
      <c r="B553" s="17"/>
      <c r="C553" s="900"/>
      <c r="D553" s="193" t="s">
        <v>210</v>
      </c>
      <c r="E553" s="1527" t="str">
        <f>Translations!$B$470</f>
        <v>Net calorific value</v>
      </c>
      <c r="F553" s="1527"/>
      <c r="G553" s="1527"/>
      <c r="H553" s="950" t="str">
        <f>IF(ISBLANK(H552),EUconst_GJperUnit,INDEX(EUconst_GJperTorKNm3,MATCH(H552,EUconst_TonnesOrkNm3pa,0)))</f>
        <v>GJ/1000Nm3</v>
      </c>
      <c r="I553" s="895"/>
      <c r="J553" s="895"/>
      <c r="K553" s="895"/>
      <c r="L553" s="895"/>
      <c r="M553" s="895"/>
      <c r="N553" s="903"/>
      <c r="O553" s="17"/>
      <c r="AA553" s="285" t="b">
        <f>AA552</f>
        <v>0</v>
      </c>
    </row>
    <row r="554" spans="2:27" ht="12.75" customHeight="1" x14ac:dyDescent="0.25">
      <c r="B554" s="17"/>
      <c r="C554" s="900"/>
      <c r="D554" s="193" t="s">
        <v>220</v>
      </c>
      <c r="E554" s="1528" t="str">
        <f>Translations!$B$778</f>
        <v>Waste gas produced</v>
      </c>
      <c r="F554" s="1528"/>
      <c r="G554" s="1528"/>
      <c r="H554" s="154" t="str">
        <f>EUconst_TJpa</f>
        <v>TJ / year</v>
      </c>
      <c r="I554" s="951" t="str">
        <f>IF(COUNT(I552:I553)=2,I552*I553/1000,"")</f>
        <v/>
      </c>
      <c r="J554" s="951" t="str">
        <f>IF(COUNT(J552:J553)=2,J552*J553/1000,"")</f>
        <v/>
      </c>
      <c r="K554" s="951" t="str">
        <f>IF(COUNT(K552:K553)=2,K552*K553/1000,"")</f>
        <v/>
      </c>
      <c r="L554" s="951" t="str">
        <f>IF(COUNT(L552:L553)=2,L552*L553/1000,"")</f>
        <v/>
      </c>
      <c r="M554" s="951" t="str">
        <f>IF(COUNT(M552:M553)=2,M552*M553/1000,"")</f>
        <v/>
      </c>
      <c r="N554" s="903"/>
      <c r="O554" s="17"/>
      <c r="P554" s="63" t="str">
        <f>EUconst_CNTR_WGProduced &amp; I433</f>
        <v>WasteGasProd_</v>
      </c>
      <c r="AA554" s="815"/>
    </row>
    <row r="555" spans="2:27" ht="12.75" customHeight="1" x14ac:dyDescent="0.25">
      <c r="B555" s="17"/>
      <c r="C555" s="900"/>
      <c r="D555" s="193" t="s">
        <v>221</v>
      </c>
      <c r="E555" s="1528" t="str">
        <f>Translations!$B$779</f>
        <v>Specific EF (produced waste gas)</v>
      </c>
      <c r="F555" s="1528"/>
      <c r="G555" s="1528"/>
      <c r="H555" s="154" t="str">
        <f>EUconst_tCO2pTJ</f>
        <v>t CO2 / TJ</v>
      </c>
      <c r="I555" s="311"/>
      <c r="J555" s="311"/>
      <c r="K555" s="311"/>
      <c r="L555" s="311"/>
      <c r="M555" s="311"/>
      <c r="N555" s="266"/>
      <c r="O555" s="17"/>
      <c r="P555" s="63" t="str">
        <f>EUconst_CNTR_WGProducedEF &amp; I433</f>
        <v>WasteGasProdEF_</v>
      </c>
      <c r="AA555" s="285" t="b">
        <f>AA553</f>
        <v>0</v>
      </c>
    </row>
    <row r="556" spans="2:27" ht="12.75" customHeight="1" x14ac:dyDescent="0.25">
      <c r="B556" s="17"/>
      <c r="C556" s="900"/>
      <c r="D556" s="342"/>
      <c r="E556" s="342"/>
      <c r="F556" s="342"/>
      <c r="G556" s="342"/>
      <c r="H556" s="342"/>
      <c r="I556" s="342"/>
      <c r="J556" s="342"/>
      <c r="K556" s="342"/>
      <c r="L556" s="342"/>
      <c r="M556" s="342"/>
      <c r="N556" s="266"/>
      <c r="O556" s="17"/>
      <c r="AA556" s="815"/>
    </row>
    <row r="557" spans="2:27" ht="12.75" customHeight="1" x14ac:dyDescent="0.25">
      <c r="B557" s="17"/>
      <c r="C557" s="900"/>
      <c r="D557" s="193" t="s">
        <v>222</v>
      </c>
      <c r="E557" s="1529" t="str">
        <f>Translations!$B$780</f>
        <v>Types of waste gases consumed:</v>
      </c>
      <c r="F557" s="1529"/>
      <c r="G557" s="1529"/>
      <c r="H557" s="1529"/>
      <c r="I557" s="1530"/>
      <c r="J557" s="1531"/>
      <c r="K557" s="1531"/>
      <c r="L557" s="1531"/>
      <c r="M557" s="1532"/>
      <c r="N557" s="763"/>
      <c r="O557" s="17"/>
      <c r="AA557" s="285" t="b">
        <f>AA555</f>
        <v>0</v>
      </c>
    </row>
    <row r="558" spans="2:27" ht="5.0999999999999996" customHeight="1" x14ac:dyDescent="0.25">
      <c r="B558" s="17"/>
      <c r="C558" s="900"/>
      <c r="D558" s="193"/>
      <c r="E558" s="1533"/>
      <c r="F558" s="1512"/>
      <c r="G558" s="1512"/>
      <c r="H558" s="1512"/>
      <c r="I558" s="1512"/>
      <c r="J558" s="1512"/>
      <c r="K558" s="1512"/>
      <c r="L558" s="1512"/>
      <c r="M558" s="1512"/>
      <c r="N558" s="1513"/>
      <c r="O558" s="17"/>
      <c r="AA558" s="815"/>
    </row>
    <row r="559" spans="2:27" ht="12.75" customHeight="1" x14ac:dyDescent="0.25">
      <c r="B559" s="17"/>
      <c r="C559" s="900"/>
      <c r="D559" s="342"/>
      <c r="E559" s="1522"/>
      <c r="F559" s="1523"/>
      <c r="G559" s="1523"/>
      <c r="H559" s="152" t="str">
        <f>EUconst_Unit</f>
        <v>Unit</v>
      </c>
      <c r="I559" s="153">
        <f>I$1882</f>
        <v>2019</v>
      </c>
      <c r="J559" s="153">
        <f>J$1882</f>
        <v>2020</v>
      </c>
      <c r="K559" s="153">
        <f>K$1882</f>
        <v>2021</v>
      </c>
      <c r="L559" s="153">
        <f>L$1882</f>
        <v>2022</v>
      </c>
      <c r="M559" s="153">
        <f>M$1882</f>
        <v>2023</v>
      </c>
      <c r="N559" s="903"/>
      <c r="O559" s="17"/>
      <c r="AA559" s="815"/>
    </row>
    <row r="560" spans="2:27" ht="12.75" customHeight="1" x14ac:dyDescent="0.25">
      <c r="B560" s="17"/>
      <c r="C560" s="900"/>
      <c r="D560" s="193" t="s">
        <v>223</v>
      </c>
      <c r="E560" s="1526" t="str">
        <f>Translations!$B$782</f>
        <v>Amounts consumed</v>
      </c>
      <c r="F560" s="1526"/>
      <c r="G560" s="1526"/>
      <c r="H560" s="949" t="s">
        <v>427</v>
      </c>
      <c r="I560" s="889"/>
      <c r="J560" s="889"/>
      <c r="K560" s="889"/>
      <c r="L560" s="889"/>
      <c r="M560" s="889"/>
      <c r="N560" s="903"/>
      <c r="O560" s="17"/>
      <c r="AA560" s="285" t="b">
        <f>AA557</f>
        <v>0</v>
      </c>
    </row>
    <row r="561" spans="2:27" ht="12.75" customHeight="1" x14ac:dyDescent="0.25">
      <c r="B561" s="17"/>
      <c r="C561" s="900"/>
      <c r="D561" s="193" t="s">
        <v>224</v>
      </c>
      <c r="E561" s="1527" t="str">
        <f>Translations!$B$470</f>
        <v>Net calorific value</v>
      </c>
      <c r="F561" s="1527"/>
      <c r="G561" s="1527"/>
      <c r="H561" s="950" t="str">
        <f>IF(ISBLANK(H560),EUconst_GJperUnit,INDEX(EUconst_GJperTorKNm3,MATCH(H560,EUconst_TonnesOrkNm3pa,0)))</f>
        <v>GJ/1000Nm3</v>
      </c>
      <c r="I561" s="895"/>
      <c r="J561" s="895"/>
      <c r="K561" s="895"/>
      <c r="L561" s="895"/>
      <c r="M561" s="895"/>
      <c r="N561" s="903"/>
      <c r="O561" s="17"/>
      <c r="AA561" s="285" t="b">
        <f>AA560</f>
        <v>0</v>
      </c>
    </row>
    <row r="562" spans="2:27" ht="12.75" customHeight="1" x14ac:dyDescent="0.25">
      <c r="B562" s="17"/>
      <c r="C562" s="900"/>
      <c r="D562" s="193" t="s">
        <v>345</v>
      </c>
      <c r="E562" s="1528" t="str">
        <f>Translations!$B$783</f>
        <v>Waste gas consumed</v>
      </c>
      <c r="F562" s="1528"/>
      <c r="G562" s="1528"/>
      <c r="H562" s="154" t="str">
        <f>EUconst_TJpa</f>
        <v>TJ / year</v>
      </c>
      <c r="I562" s="951" t="str">
        <f>IF(COUNT(I560:I561)=2,I560*I561/1000,"")</f>
        <v/>
      </c>
      <c r="J562" s="951" t="str">
        <f>IF(COUNT(J560:J561)=2,J560*J561/1000,"")</f>
        <v/>
      </c>
      <c r="K562" s="951" t="str">
        <f>IF(COUNT(K560:K561)=2,K560*K561/1000,"")</f>
        <v/>
      </c>
      <c r="L562" s="951" t="str">
        <f>IF(COUNT(L560:L561)=2,L560*L561/1000,"")</f>
        <v/>
      </c>
      <c r="M562" s="951" t="str">
        <f>IF(COUNT(M560:M561)=2,M560*M561/1000,"")</f>
        <v/>
      </c>
      <c r="N562" s="903"/>
      <c r="O562" s="17"/>
      <c r="P562" s="63" t="str">
        <f>EUconst_CNTR_WGConsumed &amp; I433</f>
        <v>WasteGasCons_</v>
      </c>
      <c r="AA562" s="815"/>
    </row>
    <row r="563" spans="2:27" ht="12.75" customHeight="1" x14ac:dyDescent="0.25">
      <c r="B563" s="17"/>
      <c r="C563" s="900"/>
      <c r="D563" s="193" t="s">
        <v>346</v>
      </c>
      <c r="E563" s="1528" t="str">
        <f>Translations!$B$784</f>
        <v>Specific EF (consumed waste gas)</v>
      </c>
      <c r="F563" s="1528"/>
      <c r="G563" s="1528"/>
      <c r="H563" s="154" t="str">
        <f>EUconst_tCO2pTJ</f>
        <v>t CO2 / TJ</v>
      </c>
      <c r="I563" s="311"/>
      <c r="J563" s="311"/>
      <c r="K563" s="311"/>
      <c r="L563" s="311"/>
      <c r="M563" s="311"/>
      <c r="N563" s="266"/>
      <c r="O563" s="17"/>
      <c r="P563" s="63" t="str">
        <f>EUconst_CNTR_WGConsumedEF &amp; I433</f>
        <v>WasteGasConsEF_</v>
      </c>
      <c r="AA563" s="285" t="b">
        <f>AA561</f>
        <v>0</v>
      </c>
    </row>
    <row r="564" spans="2:27" ht="12.75" customHeight="1" x14ac:dyDescent="0.25">
      <c r="B564" s="17"/>
      <c r="C564" s="900"/>
      <c r="D564" s="342"/>
      <c r="E564" s="342"/>
      <c r="F564" s="342"/>
      <c r="G564" s="342"/>
      <c r="H564" s="342"/>
      <c r="I564" s="342"/>
      <c r="J564" s="342"/>
      <c r="K564" s="342"/>
      <c r="L564" s="342"/>
      <c r="M564" s="342"/>
      <c r="N564" s="266"/>
      <c r="O564" s="17"/>
      <c r="AA564" s="815"/>
    </row>
    <row r="565" spans="2:27" ht="12.75" customHeight="1" x14ac:dyDescent="0.25">
      <c r="B565" s="17"/>
      <c r="C565" s="900"/>
      <c r="D565" s="193" t="s">
        <v>347</v>
      </c>
      <c r="E565" s="1529" t="str">
        <f>Translations!$B$785</f>
        <v>Types of waste gases flared:</v>
      </c>
      <c r="F565" s="1529"/>
      <c r="G565" s="1529"/>
      <c r="H565" s="1529"/>
      <c r="I565" s="1530"/>
      <c r="J565" s="1531"/>
      <c r="K565" s="1531"/>
      <c r="L565" s="1531"/>
      <c r="M565" s="1532"/>
      <c r="N565" s="763"/>
      <c r="O565" s="17"/>
      <c r="AA565" s="285" t="b">
        <f>AA555</f>
        <v>0</v>
      </c>
    </row>
    <row r="566" spans="2:27" ht="5.0999999999999996" customHeight="1" x14ac:dyDescent="0.25">
      <c r="B566" s="17"/>
      <c r="C566" s="900"/>
      <c r="D566" s="193"/>
      <c r="E566" s="1533"/>
      <c r="F566" s="1512"/>
      <c r="G566" s="1512"/>
      <c r="H566" s="1512"/>
      <c r="I566" s="1512"/>
      <c r="J566" s="1512"/>
      <c r="K566" s="1512"/>
      <c r="L566" s="1512"/>
      <c r="M566" s="1512"/>
      <c r="N566" s="1513"/>
      <c r="O566" s="17"/>
      <c r="AA566" s="815"/>
    </row>
    <row r="567" spans="2:27" ht="12.75" customHeight="1" x14ac:dyDescent="0.25">
      <c r="B567" s="17"/>
      <c r="C567" s="900"/>
      <c r="D567" s="342"/>
      <c r="E567" s="1522"/>
      <c r="F567" s="1523"/>
      <c r="G567" s="1523"/>
      <c r="H567" s="152" t="str">
        <f>EUconst_Unit</f>
        <v>Unit</v>
      </c>
      <c r="I567" s="153">
        <f>I$1882</f>
        <v>2019</v>
      </c>
      <c r="J567" s="153">
        <f>J$1882</f>
        <v>2020</v>
      </c>
      <c r="K567" s="153">
        <f>K$1882</f>
        <v>2021</v>
      </c>
      <c r="L567" s="153">
        <f>L$1882</f>
        <v>2022</v>
      </c>
      <c r="M567" s="153">
        <f>M$1882</f>
        <v>2023</v>
      </c>
      <c r="N567" s="903"/>
      <c r="O567" s="17"/>
      <c r="AA567" s="815"/>
    </row>
    <row r="568" spans="2:27" ht="12.75" customHeight="1" thickBot="1" x14ac:dyDescent="0.3">
      <c r="B568" s="17"/>
      <c r="C568" s="900"/>
      <c r="D568" s="193" t="s">
        <v>355</v>
      </c>
      <c r="E568" s="1526" t="str">
        <f>Translations!$B$789</f>
        <v>Amounts flared</v>
      </c>
      <c r="F568" s="1526"/>
      <c r="G568" s="1526"/>
      <c r="H568" s="949" t="s">
        <v>427</v>
      </c>
      <c r="I568" s="889"/>
      <c r="J568" s="889"/>
      <c r="K568" s="889"/>
      <c r="L568" s="889"/>
      <c r="M568" s="889"/>
      <c r="N568" s="903"/>
      <c r="O568" s="17"/>
      <c r="R568" s="145" t="s">
        <v>428</v>
      </c>
      <c r="AA568" s="285" t="b">
        <f>AA565</f>
        <v>0</v>
      </c>
    </row>
    <row r="569" spans="2:27" ht="12.75" customHeight="1" thickBot="1" x14ac:dyDescent="0.3">
      <c r="B569" s="17"/>
      <c r="C569" s="900"/>
      <c r="D569" s="193" t="s">
        <v>356</v>
      </c>
      <c r="E569" s="1527" t="str">
        <f>Translations!$B$470</f>
        <v>Net calorific value</v>
      </c>
      <c r="F569" s="1527"/>
      <c r="G569" s="1527"/>
      <c r="H569" s="950" t="str">
        <f>IF(ISBLANK(H568),EUconst_GJperUnit,INDEX(EUconst_GJperTorKNm3,MATCH(H568,EUconst_TonnesOrkNm3pa,0)))</f>
        <v>GJ/1000Nm3</v>
      </c>
      <c r="I569" s="895"/>
      <c r="J569" s="895"/>
      <c r="K569" s="895"/>
      <c r="L569" s="895"/>
      <c r="M569" s="895"/>
      <c r="N569" s="903"/>
      <c r="O569" s="17"/>
      <c r="R569" s="283" t="s">
        <v>399</v>
      </c>
      <c r="S569" s="280">
        <f>I567</f>
        <v>2019</v>
      </c>
      <c r="T569" s="281">
        <f>J567</f>
        <v>2020</v>
      </c>
      <c r="U569" s="281">
        <f>K567</f>
        <v>2021</v>
      </c>
      <c r="V569" s="281">
        <f>L567</f>
        <v>2022</v>
      </c>
      <c r="W569" s="282">
        <f>M567</f>
        <v>2023</v>
      </c>
      <c r="AA569" s="285" t="b">
        <f>AA568</f>
        <v>0</v>
      </c>
    </row>
    <row r="570" spans="2:27" ht="12.75" customHeight="1" thickBot="1" x14ac:dyDescent="0.3">
      <c r="B570" s="17"/>
      <c r="C570" s="900"/>
      <c r="D570" s="193" t="s">
        <v>420</v>
      </c>
      <c r="E570" s="1528" t="str">
        <f>Translations!$B$790</f>
        <v>Waste gas flared</v>
      </c>
      <c r="F570" s="1528"/>
      <c r="G570" s="1528"/>
      <c r="H570" s="154" t="str">
        <f>EUconst_TJpa</f>
        <v>TJ / year</v>
      </c>
      <c r="I570" s="951" t="str">
        <f>IF(COUNT(I568:I569)=2,I568*I569/1000,"")</f>
        <v/>
      </c>
      <c r="J570" s="951" t="str">
        <f>IF(COUNT(J568:J569)=2,J568*J569/1000,"")</f>
        <v/>
      </c>
      <c r="K570" s="951" t="str">
        <f>IF(COUNT(K568:K569)=2,K568*K569/1000,"")</f>
        <v/>
      </c>
      <c r="L570" s="951" t="str">
        <f>IF(COUNT(L568:L569)=2,L568*L569/1000,"")</f>
        <v/>
      </c>
      <c r="M570" s="951" t="str">
        <f>IF(COUNT(M568:M569)=2,M568*M569/1000,"")</f>
        <v/>
      </c>
      <c r="N570" s="903"/>
      <c r="O570" s="17"/>
      <c r="P570" s="63" t="str">
        <f>EUconst_CNTR_WGFlared &amp; I433</f>
        <v>WasteGasFlare_</v>
      </c>
      <c r="R570" s="918" t="str">
        <f>IF(COUNT(S570:W570)&gt;0,AVERAGE(S570:W570),"")</f>
        <v/>
      </c>
      <c r="S570" s="808" t="str">
        <f>IF(S433,IF(ISNUMBER(I570),I570,0),"")</f>
        <v/>
      </c>
      <c r="T570" s="809" t="str">
        <f>IF(T433,IF(ISNUMBER(J570),J570,0),"")</f>
        <v/>
      </c>
      <c r="U570" s="809" t="str">
        <f>IF(U433,IF(ISNUMBER(K570),K570,0),"")</f>
        <v/>
      </c>
      <c r="V570" s="809" t="str">
        <f>IF(V433,IF(ISNUMBER(L570),L570,0),"")</f>
        <v/>
      </c>
      <c r="W570" s="810" t="str">
        <f>IF(W433,IF(ISNUMBER(M570),M570,0),"")</f>
        <v/>
      </c>
      <c r="AA570" s="815"/>
    </row>
    <row r="571" spans="2:27" ht="12.75" customHeight="1" thickBot="1" x14ac:dyDescent="0.3">
      <c r="B571" s="17"/>
      <c r="C571" s="900"/>
      <c r="D571" s="193" t="s">
        <v>421</v>
      </c>
      <c r="E571" s="1528" t="str">
        <f>Translations!$B$791</f>
        <v>Specific EF (flared waste gas)</v>
      </c>
      <c r="F571" s="1528"/>
      <c r="G571" s="1528"/>
      <c r="H571" s="154" t="str">
        <f>EUconst_tCO2pTJ</f>
        <v>t CO2 / TJ</v>
      </c>
      <c r="I571" s="311"/>
      <c r="J571" s="311"/>
      <c r="K571" s="311"/>
      <c r="L571" s="311"/>
      <c r="M571" s="311"/>
      <c r="N571" s="266"/>
      <c r="O571" s="17"/>
      <c r="P571" s="63" t="str">
        <f>EUconst_CNTR_WGFlaredEF &amp; I433</f>
        <v>WasteGasFlareEF_</v>
      </c>
      <c r="R571" s="952" t="str">
        <f>IF(COUNT(S571:W571)&gt;0,AVERAGE(S571:W571),"")</f>
        <v/>
      </c>
      <c r="S571" s="808" t="str">
        <f>IF(S433,SUM(I570)*SUM(I571),"")</f>
        <v/>
      </c>
      <c r="T571" s="809" t="str">
        <f>IF(T433,SUM(J570)*SUM(J571),"")</f>
        <v/>
      </c>
      <c r="U571" s="809" t="str">
        <f>IF(U433,SUM(K570)*SUM(K571),"")</f>
        <v/>
      </c>
      <c r="V571" s="809" t="str">
        <f>IF(V433,SUM(L570)*SUM(L571),"")</f>
        <v/>
      </c>
      <c r="W571" s="810" t="str">
        <f>IF(W433,SUM(M570)*SUM(M571),"")</f>
        <v/>
      </c>
      <c r="AA571" s="285" t="b">
        <f>AA569</f>
        <v>0</v>
      </c>
    </row>
    <row r="572" spans="2:27" ht="12.75" customHeight="1" x14ac:dyDescent="0.25">
      <c r="B572" s="17"/>
      <c r="C572" s="900"/>
      <c r="D572" s="342"/>
      <c r="E572" s="342"/>
      <c r="F572" s="342"/>
      <c r="G572" s="342"/>
      <c r="H572" s="342"/>
      <c r="I572" s="342"/>
      <c r="J572" s="342"/>
      <c r="K572" s="342"/>
      <c r="L572" s="342"/>
      <c r="M572" s="342"/>
      <c r="N572" s="266"/>
      <c r="O572" s="17"/>
      <c r="AA572" s="815"/>
    </row>
    <row r="573" spans="2:27" ht="12.75" customHeight="1" x14ac:dyDescent="0.25">
      <c r="B573" s="17"/>
      <c r="C573" s="900"/>
      <c r="D573" s="193" t="s">
        <v>422</v>
      </c>
      <c r="E573" s="1529" t="str">
        <f>Translations!$B$792</f>
        <v>Types of waste gases imported:</v>
      </c>
      <c r="F573" s="1529"/>
      <c r="G573" s="1529"/>
      <c r="H573" s="1529"/>
      <c r="I573" s="1530"/>
      <c r="J573" s="1531"/>
      <c r="K573" s="1531"/>
      <c r="L573" s="1531"/>
      <c r="M573" s="1532"/>
      <c r="N573" s="266"/>
      <c r="O573" s="17"/>
      <c r="AA573" s="285" t="b">
        <f>AA553</f>
        <v>0</v>
      </c>
    </row>
    <row r="574" spans="2:27" ht="5.0999999999999996" customHeight="1" x14ac:dyDescent="0.25">
      <c r="B574" s="17"/>
      <c r="C574" s="900"/>
      <c r="D574" s="193"/>
      <c r="E574" s="1535"/>
      <c r="F574" s="1511"/>
      <c r="G574" s="1511"/>
      <c r="H574" s="1511"/>
      <c r="I574" s="1511"/>
      <c r="J574" s="1511"/>
      <c r="K574" s="1511"/>
      <c r="L574" s="1511"/>
      <c r="M574" s="1511"/>
      <c r="N574" s="1536"/>
      <c r="O574" s="17"/>
      <c r="AA574" s="815"/>
    </row>
    <row r="575" spans="2:27" ht="12.75" customHeight="1" x14ac:dyDescent="0.25">
      <c r="B575" s="17"/>
      <c r="C575" s="900"/>
      <c r="D575" s="342"/>
      <c r="E575" s="1522"/>
      <c r="F575" s="1523"/>
      <c r="G575" s="1523"/>
      <c r="H575" s="152" t="str">
        <f>EUconst_Unit</f>
        <v>Unit</v>
      </c>
      <c r="I575" s="153">
        <f>I$1882</f>
        <v>2019</v>
      </c>
      <c r="J575" s="153">
        <f>J$1882</f>
        <v>2020</v>
      </c>
      <c r="K575" s="153">
        <f>K$1882</f>
        <v>2021</v>
      </c>
      <c r="L575" s="153">
        <f>L$1882</f>
        <v>2022</v>
      </c>
      <c r="M575" s="153">
        <f>M$1882</f>
        <v>2023</v>
      </c>
      <c r="N575" s="903"/>
      <c r="O575" s="17"/>
      <c r="AA575" s="815"/>
    </row>
    <row r="576" spans="2:27" ht="12.75" customHeight="1" thickBot="1" x14ac:dyDescent="0.3">
      <c r="B576" s="17"/>
      <c r="C576" s="900"/>
      <c r="D576" s="193" t="s">
        <v>423</v>
      </c>
      <c r="E576" s="1526" t="str">
        <f>Translations!$B$795</f>
        <v>Amounts imported</v>
      </c>
      <c r="F576" s="1526"/>
      <c r="G576" s="1526"/>
      <c r="H576" s="949" t="s">
        <v>427</v>
      </c>
      <c r="I576" s="889"/>
      <c r="J576" s="889"/>
      <c r="K576" s="889"/>
      <c r="L576" s="889"/>
      <c r="M576" s="889"/>
      <c r="N576" s="903"/>
      <c r="O576" s="17"/>
      <c r="AA576" s="285" t="b">
        <f>AA573</f>
        <v>0</v>
      </c>
    </row>
    <row r="577" spans="2:27" ht="12.75" customHeight="1" x14ac:dyDescent="0.25">
      <c r="B577" s="17"/>
      <c r="C577" s="900"/>
      <c r="D577" s="193" t="s">
        <v>430</v>
      </c>
      <c r="E577" s="1527" t="str">
        <f>Translations!$B$470</f>
        <v>Net calorific value</v>
      </c>
      <c r="F577" s="1527"/>
      <c r="G577" s="1527"/>
      <c r="H577" s="950" t="str">
        <f>IF(ISBLANK(H576),EUconst_GJperUnit,INDEX(EUconst_GJperTorKNm3,MATCH(H576,EUconst_TonnesOrkNm3pa,0)))</f>
        <v>GJ/1000Nm3</v>
      </c>
      <c r="I577" s="895"/>
      <c r="J577" s="895"/>
      <c r="K577" s="895"/>
      <c r="L577" s="895"/>
      <c r="M577" s="895"/>
      <c r="N577" s="903"/>
      <c r="O577" s="17"/>
      <c r="R577" s="459"/>
      <c r="S577" s="326">
        <f>I575</f>
        <v>2019</v>
      </c>
      <c r="T577" s="326">
        <f>J575</f>
        <v>2020</v>
      </c>
      <c r="U577" s="326">
        <f>K575</f>
        <v>2021</v>
      </c>
      <c r="V577" s="326">
        <f>L575</f>
        <v>2022</v>
      </c>
      <c r="W577" s="327">
        <f>M575</f>
        <v>2023</v>
      </c>
      <c r="AA577" s="285" t="b">
        <f>AA576</f>
        <v>0</v>
      </c>
    </row>
    <row r="578" spans="2:27" ht="12.75" customHeight="1" x14ac:dyDescent="0.25">
      <c r="B578" s="17"/>
      <c r="C578" s="900"/>
      <c r="D578" s="193" t="s">
        <v>431</v>
      </c>
      <c r="E578" s="1528" t="str">
        <f>Translations!$B$796</f>
        <v>Waste gas imported</v>
      </c>
      <c r="F578" s="1528"/>
      <c r="G578" s="1528"/>
      <c r="H578" s="154" t="str">
        <f>EUconst_TJpa</f>
        <v>TJ / year</v>
      </c>
      <c r="I578" s="163" t="str">
        <f>IF(COUNT(I576:I577)=2,I576*I577/1000,"")</f>
        <v/>
      </c>
      <c r="J578" s="163" t="str">
        <f>IF(COUNT(J576:J577)=2,J576*J577/1000,"")</f>
        <v/>
      </c>
      <c r="K578" s="163" t="str">
        <f>IF(COUNT(K576:K577)=2,K576*K577/1000,"")</f>
        <v/>
      </c>
      <c r="L578" s="163" t="str">
        <f>IF(COUNT(L576:L577)=2,L576*L577/1000,"")</f>
        <v/>
      </c>
      <c r="M578" s="163" t="str">
        <f>IF(COUNT(M576:M577)=2,M576*M577/1000,"")</f>
        <v/>
      </c>
      <c r="N578" s="903"/>
      <c r="O578" s="17"/>
      <c r="P578" s="63" t="str">
        <f>EUconst_CNTR_WGImport &amp; I433</f>
        <v>WasteGasIm_</v>
      </c>
      <c r="R578" s="464" t="str">
        <f>EUconst_ERR_AttrEmBMapplied &amp; I433</f>
        <v>ERR_AttrEmBM_</v>
      </c>
      <c r="S578" s="63">
        <f>IF(AND(I578&lt;&gt;"",EUconst_StatusOfDataCollection=FALSE),1,0)</f>
        <v>0</v>
      </c>
      <c r="T578" s="63">
        <f>IF(AND(J578&lt;&gt;"",EUconst_StatusOfDataCollection=FALSE),1,0)</f>
        <v>0</v>
      </c>
      <c r="U578" s="63">
        <f>IF(AND(K578&lt;&gt;"",EUconst_StatusOfDataCollection=FALSE),1,0)</f>
        <v>0</v>
      </c>
      <c r="V578" s="63">
        <f>IF(AND(L578&lt;&gt;"",EUconst_StatusOfDataCollection=FALSE),1,0)</f>
        <v>0</v>
      </c>
      <c r="W578" s="803">
        <f>IF(AND(M578&lt;&gt;"",EUconst_StatusOfDataCollection=FALSE),1,0)</f>
        <v>0</v>
      </c>
      <c r="AA578" s="815"/>
    </row>
    <row r="579" spans="2:27" ht="12.75" customHeight="1" thickBot="1" x14ac:dyDescent="0.3">
      <c r="B579" s="17"/>
      <c r="C579" s="900"/>
      <c r="D579" s="193" t="s">
        <v>432</v>
      </c>
      <c r="E579" s="1528" t="str">
        <f>Translations!$B$797</f>
        <v>Specific EF (imported waste gas)</v>
      </c>
      <c r="F579" s="1528"/>
      <c r="G579" s="1528"/>
      <c r="H579" s="154" t="str">
        <f>EUconst_tCO2pTJ</f>
        <v>t CO2 / TJ</v>
      </c>
      <c r="I579" s="311"/>
      <c r="J579" s="311"/>
      <c r="K579" s="311"/>
      <c r="L579" s="311"/>
      <c r="M579" s="311"/>
      <c r="N579" s="266"/>
      <c r="O579" s="17"/>
      <c r="P579" s="63" t="str">
        <f>EUconst_CNTR_WGImportEF &amp; I433</f>
        <v>WasteGasImEF_</v>
      </c>
      <c r="R579" s="460" t="str">
        <f>EUconst_CNTR_AttributedEmissions &amp; I433</f>
        <v>AttrEmissions_</v>
      </c>
      <c r="S579" s="389" t="str">
        <f>IF(S433,SUM(I578)*EUconst_FuelBMvalue,"")</f>
        <v/>
      </c>
      <c r="T579" s="389" t="str">
        <f>IF(T433,SUM(J578)*EUconst_FuelBMvalue,"")</f>
        <v/>
      </c>
      <c r="U579" s="389" t="str">
        <f>IF(U433,SUM(K578)*EUconst_FuelBMvalue,"")</f>
        <v/>
      </c>
      <c r="V579" s="389" t="str">
        <f>IF(V433,SUM(L578)*EUconst_FuelBMvalue,"")</f>
        <v/>
      </c>
      <c r="W579" s="390" t="str">
        <f>IF(W433,SUM(M578)*EUconst_FuelBMvalue,"")</f>
        <v/>
      </c>
      <c r="AA579" s="285" t="b">
        <f>AA577</f>
        <v>0</v>
      </c>
    </row>
    <row r="580" spans="2:27" ht="12.75" customHeight="1" x14ac:dyDescent="0.25">
      <c r="B580" s="17"/>
      <c r="C580" s="900"/>
      <c r="D580" s="342"/>
      <c r="E580" s="342"/>
      <c r="F580" s="342"/>
      <c r="G580" s="342"/>
      <c r="H580" s="342"/>
      <c r="I580" s="342"/>
      <c r="J580" s="342"/>
      <c r="K580" s="342"/>
      <c r="L580" s="342"/>
      <c r="M580" s="342"/>
      <c r="N580" s="266"/>
      <c r="O580" s="17"/>
      <c r="AA580" s="815"/>
    </row>
    <row r="581" spans="2:27" ht="12.75" customHeight="1" x14ac:dyDescent="0.25">
      <c r="B581" s="17"/>
      <c r="C581" s="900"/>
      <c r="D581" s="193" t="s">
        <v>433</v>
      </c>
      <c r="E581" s="1529" t="str">
        <f>Translations!$B$798</f>
        <v>Types of waste gases exported:</v>
      </c>
      <c r="F581" s="1529"/>
      <c r="G581" s="1529"/>
      <c r="H581" s="1529"/>
      <c r="I581" s="1530"/>
      <c r="J581" s="1531"/>
      <c r="K581" s="1531"/>
      <c r="L581" s="1531"/>
      <c r="M581" s="1532"/>
      <c r="N581" s="763"/>
      <c r="O581" s="17"/>
      <c r="AA581" s="285" t="b">
        <f>AA576</f>
        <v>0</v>
      </c>
    </row>
    <row r="582" spans="2:27" ht="5.0999999999999996" customHeight="1" x14ac:dyDescent="0.25">
      <c r="B582" s="17"/>
      <c r="C582" s="900"/>
      <c r="D582" s="193"/>
      <c r="E582" s="1533"/>
      <c r="F582" s="1512"/>
      <c r="G582" s="1512"/>
      <c r="H582" s="1512"/>
      <c r="I582" s="1512"/>
      <c r="J582" s="1512"/>
      <c r="K582" s="1512"/>
      <c r="L582" s="1512"/>
      <c r="M582" s="1512"/>
      <c r="N582" s="1513"/>
      <c r="O582" s="17"/>
      <c r="AA582" s="815"/>
    </row>
    <row r="583" spans="2:27" ht="12.75" customHeight="1" x14ac:dyDescent="0.25">
      <c r="B583" s="17"/>
      <c r="C583" s="900"/>
      <c r="D583" s="342"/>
      <c r="E583" s="1522"/>
      <c r="F583" s="1523"/>
      <c r="G583" s="1523"/>
      <c r="H583" s="152" t="str">
        <f>EUconst_Unit</f>
        <v>Unit</v>
      </c>
      <c r="I583" s="153">
        <f>I$1882</f>
        <v>2019</v>
      </c>
      <c r="J583" s="153">
        <f>J$1882</f>
        <v>2020</v>
      </c>
      <c r="K583" s="153">
        <f>K$1882</f>
        <v>2021</v>
      </c>
      <c r="L583" s="153">
        <f>L$1882</f>
        <v>2022</v>
      </c>
      <c r="M583" s="153">
        <f>M$1882</f>
        <v>2023</v>
      </c>
      <c r="N583" s="903"/>
      <c r="O583" s="17"/>
      <c r="AA583" s="815"/>
    </row>
    <row r="584" spans="2:27" ht="12.75" customHeight="1" x14ac:dyDescent="0.25">
      <c r="B584" s="17"/>
      <c r="C584" s="900"/>
      <c r="D584" s="193" t="s">
        <v>434</v>
      </c>
      <c r="E584" s="1526" t="str">
        <f>Translations!$B$800</f>
        <v>Amounts exported</v>
      </c>
      <c r="F584" s="1526"/>
      <c r="G584" s="1526"/>
      <c r="H584" s="949" t="s">
        <v>427</v>
      </c>
      <c r="I584" s="889"/>
      <c r="J584" s="889"/>
      <c r="K584" s="889"/>
      <c r="L584" s="889"/>
      <c r="M584" s="889"/>
      <c r="N584" s="903"/>
      <c r="O584" s="17"/>
      <c r="AA584" s="285" t="b">
        <f>AA581</f>
        <v>0</v>
      </c>
    </row>
    <row r="585" spans="2:27" ht="12.75" customHeight="1" thickBot="1" x14ac:dyDescent="0.3">
      <c r="B585" s="17"/>
      <c r="C585" s="900"/>
      <c r="D585" s="193" t="s">
        <v>435</v>
      </c>
      <c r="E585" s="1527" t="str">
        <f>Translations!$B$470</f>
        <v>Net calorific value</v>
      </c>
      <c r="F585" s="1527"/>
      <c r="G585" s="1527"/>
      <c r="H585" s="950" t="str">
        <f>IF(ISBLANK(H584),EUconst_GJperUnit,INDEX(EUconst_GJperTorKNm3,MATCH(H584,EUconst_TonnesOrkNm3pa,0)))</f>
        <v>GJ/1000Nm3</v>
      </c>
      <c r="I585" s="895"/>
      <c r="J585" s="895"/>
      <c r="K585" s="895"/>
      <c r="L585" s="895"/>
      <c r="M585" s="895"/>
      <c r="N585" s="903"/>
      <c r="O585" s="17"/>
      <c r="AA585" s="285" t="b">
        <f>AA584</f>
        <v>0</v>
      </c>
    </row>
    <row r="586" spans="2:27" ht="12.75" customHeight="1" x14ac:dyDescent="0.25">
      <c r="B586" s="17"/>
      <c r="C586" s="900"/>
      <c r="D586" s="193" t="s">
        <v>436</v>
      </c>
      <c r="E586" s="1528" t="str">
        <f>Translations!$B$801</f>
        <v>Waste gas exported</v>
      </c>
      <c r="F586" s="1528"/>
      <c r="G586" s="1528"/>
      <c r="H586" s="154" t="str">
        <f>EUconst_TJpa</f>
        <v>TJ / year</v>
      </c>
      <c r="I586" s="163" t="str">
        <f>IF(COUNT(I584:I585)=2,I584*I585/1000,"")</f>
        <v/>
      </c>
      <c r="J586" s="163" t="str">
        <f>IF(COUNT(J584:J585)=2,J584*J585/1000,"")</f>
        <v/>
      </c>
      <c r="K586" s="163" t="str">
        <f>IF(COUNT(K584:K585)=2,K584*K585/1000,"")</f>
        <v/>
      </c>
      <c r="L586" s="163" t="str">
        <f>IF(COUNT(L584:L585)=2,L584*L585/1000,"")</f>
        <v/>
      </c>
      <c r="M586" s="163" t="str">
        <f>IF(COUNT(M584:M585)=2,M584*M585/1000,"")</f>
        <v/>
      </c>
      <c r="N586" s="277"/>
      <c r="O586" s="17"/>
      <c r="P586" s="63" t="str">
        <f>EUconst_CNTR_WGExport &amp; I433</f>
        <v>WasteGasEx_</v>
      </c>
      <c r="R586" s="459"/>
      <c r="S586" s="326">
        <f>I583</f>
        <v>2019</v>
      </c>
      <c r="T586" s="326">
        <f>J583</f>
        <v>2020</v>
      </c>
      <c r="U586" s="326">
        <f>K583</f>
        <v>2021</v>
      </c>
      <c r="V586" s="326">
        <f>L583</f>
        <v>2022</v>
      </c>
      <c r="W586" s="327">
        <f>M583</f>
        <v>2023</v>
      </c>
      <c r="AA586" s="815"/>
    </row>
    <row r="587" spans="2:27" ht="12.75" customHeight="1" thickBot="1" x14ac:dyDescent="0.3">
      <c r="B587" s="17"/>
      <c r="C587" s="900"/>
      <c r="D587" s="193" t="s">
        <v>437</v>
      </c>
      <c r="E587" s="1528" t="str">
        <f>Translations!$B$802</f>
        <v>Specific EF (exported waste gas)</v>
      </c>
      <c r="F587" s="1528"/>
      <c r="G587" s="1528"/>
      <c r="H587" s="154" t="str">
        <f>EUconst_tCO2pTJ</f>
        <v>t CO2 / TJ</v>
      </c>
      <c r="I587" s="311"/>
      <c r="J587" s="311"/>
      <c r="K587" s="311"/>
      <c r="L587" s="311"/>
      <c r="M587" s="311"/>
      <c r="N587" s="266"/>
      <c r="O587" s="17"/>
      <c r="P587" s="63" t="str">
        <f>EUconst_CNTR_WGExportEF &amp; I433</f>
        <v>WasteGasExEF_</v>
      </c>
      <c r="R587" s="460" t="str">
        <f>EUconst_CNTR_AttributedEmissions &amp; I433</f>
        <v>AttrEmissions_</v>
      </c>
      <c r="S587" s="389" t="str">
        <f>IF(S433,-SUM(I586)*EUconst_NGEFvalue*EUconst_WasteGasCorrFactor,"")</f>
        <v/>
      </c>
      <c r="T587" s="389" t="str">
        <f>IF(T433,-SUM(J586)*EUconst_NGEFvalue*EUconst_WasteGasCorrFactor,"")</f>
        <v/>
      </c>
      <c r="U587" s="389" t="str">
        <f>IF(U433,-SUM(K586)*EUconst_NGEFvalue*EUconst_WasteGasCorrFactor,"")</f>
        <v/>
      </c>
      <c r="V587" s="389" t="str">
        <f>IF(V433,-SUM(L586)*EUconst_NGEFvalue*EUconst_WasteGasCorrFactor,"")</f>
        <v/>
      </c>
      <c r="W587" s="390" t="str">
        <f>IF(W433,-SUM(M586)*EUconst_NGEFvalue*EUconst_WasteGasCorrFactor,"")</f>
        <v/>
      </c>
      <c r="AA587" s="286" t="b">
        <f>AA585</f>
        <v>0</v>
      </c>
    </row>
    <row r="588" spans="2:27" ht="12.75" customHeight="1" x14ac:dyDescent="0.25">
      <c r="B588" s="17"/>
      <c r="C588" s="900"/>
      <c r="D588" s="342"/>
      <c r="E588" s="342"/>
      <c r="F588" s="342"/>
      <c r="G588" s="342"/>
      <c r="H588" s="342"/>
      <c r="I588" s="342"/>
      <c r="J588" s="342"/>
      <c r="K588" s="342"/>
      <c r="L588" s="342"/>
      <c r="M588" s="342"/>
      <c r="N588" s="266"/>
      <c r="O588" s="17"/>
    </row>
    <row r="589" spans="2:27" ht="12.75" customHeight="1" thickBot="1" x14ac:dyDescent="0.3">
      <c r="B589" s="17"/>
      <c r="C589" s="900"/>
      <c r="D589" s="157" t="s">
        <v>359</v>
      </c>
      <c r="E589" s="1511" t="str">
        <f>Translations!$B$420</f>
        <v>Electricity production</v>
      </c>
      <c r="F589" s="1512"/>
      <c r="G589" s="1512"/>
      <c r="H589" s="1512"/>
      <c r="I589" s="1512"/>
      <c r="J589" s="1512"/>
      <c r="K589" s="1512"/>
      <c r="L589" s="1512"/>
      <c r="M589" s="1512"/>
      <c r="N589" s="1513"/>
      <c r="O589" s="17"/>
    </row>
    <row r="590" spans="2:27" ht="12.75" customHeight="1" x14ac:dyDescent="0.25">
      <c r="B590" s="17"/>
      <c r="C590" s="900"/>
      <c r="D590" s="157"/>
      <c r="E590" s="1522"/>
      <c r="F590" s="1523"/>
      <c r="G590" s="1523"/>
      <c r="H590" s="152" t="str">
        <f>EUconst_Unit</f>
        <v>Unit</v>
      </c>
      <c r="I590" s="153">
        <f>I$1882</f>
        <v>2019</v>
      </c>
      <c r="J590" s="153">
        <f>J$1882</f>
        <v>2020</v>
      </c>
      <c r="K590" s="153">
        <f>K$1882</f>
        <v>2021</v>
      </c>
      <c r="L590" s="153">
        <f>L$1882</f>
        <v>2022</v>
      </c>
      <c r="M590" s="153">
        <f>M$1882</f>
        <v>2023</v>
      </c>
      <c r="N590" s="266"/>
      <c r="O590" s="17"/>
      <c r="R590" s="459"/>
      <c r="S590" s="326">
        <f>I590</f>
        <v>2019</v>
      </c>
      <c r="T590" s="326">
        <f>J590</f>
        <v>2020</v>
      </c>
      <c r="U590" s="326">
        <f>K590</f>
        <v>2021</v>
      </c>
      <c r="V590" s="326">
        <f>L590</f>
        <v>2022</v>
      </c>
      <c r="W590" s="327">
        <f>M590</f>
        <v>2023</v>
      </c>
    </row>
    <row r="591" spans="2:27" ht="12.75" customHeight="1" thickBot="1" x14ac:dyDescent="0.3">
      <c r="B591" s="17"/>
      <c r="C591" s="900"/>
      <c r="D591" s="193"/>
      <c r="E591" s="1528" t="str">
        <f>Translations!$B$805</f>
        <v>Electricity produced</v>
      </c>
      <c r="F591" s="1528"/>
      <c r="G591" s="1528"/>
      <c r="H591" s="154" t="str">
        <f>EUconst_MWhpa</f>
        <v>MWh / year</v>
      </c>
      <c r="I591" s="311"/>
      <c r="J591" s="311"/>
      <c r="K591" s="311"/>
      <c r="L591" s="311"/>
      <c r="M591" s="311"/>
      <c r="N591" s="903"/>
      <c r="O591" s="17"/>
      <c r="P591" s="63" t="str">
        <f>EUconst_CNTR_ElectricityExported &amp; I433</f>
        <v>ElecEx_</v>
      </c>
      <c r="R591" s="460" t="str">
        <f>EUconst_CNTR_AttributedEmissions &amp; I433</f>
        <v>AttrEmissions_</v>
      </c>
      <c r="S591" s="389" t="str">
        <f>IF(S433,-SUM(I591)*EUconst_ElBM,"")</f>
        <v/>
      </c>
      <c r="T591" s="389" t="str">
        <f>IF(T433,-SUM(J591)*EUconst_ElBM,"")</f>
        <v/>
      </c>
      <c r="U591" s="389" t="str">
        <f>IF(U433,-SUM(K591)*EUconst_ElBM,"")</f>
        <v/>
      </c>
      <c r="V591" s="389" t="str">
        <f>IF(V433,-SUM(L591)*EUconst_ElBM,"")</f>
        <v/>
      </c>
      <c r="W591" s="390" t="str">
        <f>IF(W433,-SUM(M591)*EUconst_ElBM,"")</f>
        <v/>
      </c>
    </row>
    <row r="592" spans="2:27" ht="12.75" customHeight="1" x14ac:dyDescent="0.25">
      <c r="B592" s="17"/>
      <c r="C592" s="900"/>
      <c r="D592" s="342"/>
      <c r="E592" s="342"/>
      <c r="F592" s="342"/>
      <c r="G592" s="342"/>
      <c r="H592" s="342"/>
      <c r="I592" s="342"/>
      <c r="J592" s="342"/>
      <c r="K592" s="342"/>
      <c r="L592" s="342"/>
      <c r="M592" s="342"/>
      <c r="N592" s="266"/>
      <c r="O592" s="17"/>
    </row>
    <row r="593" spans="2:27" ht="12.75" customHeight="1" thickBot="1" x14ac:dyDescent="0.3">
      <c r="B593" s="17"/>
      <c r="C593" s="900"/>
      <c r="D593" s="157" t="s">
        <v>361</v>
      </c>
      <c r="E593" s="1529" t="str">
        <f>Translations!$B$806</f>
        <v>Total amount of pulp produced</v>
      </c>
      <c r="F593" s="1529"/>
      <c r="G593" s="1529"/>
      <c r="H593" s="1529"/>
      <c r="I593" s="1529"/>
      <c r="J593" s="1529"/>
      <c r="K593" s="1529"/>
      <c r="L593" s="1529"/>
      <c r="M593" s="1529"/>
      <c r="N593" s="1534"/>
      <c r="O593" s="17"/>
    </row>
    <row r="594" spans="2:27" ht="12.75" customHeight="1" thickBot="1" x14ac:dyDescent="0.3">
      <c r="B594" s="17"/>
      <c r="C594" s="900"/>
      <c r="D594" s="193"/>
      <c r="E594" s="1510" t="str">
        <f>IF(I433="","",IF(INDEX(EUconst_BMlistPulp,MATCH(I433,EUconst_BMlistNames,0)),I433,""))</f>
        <v/>
      </c>
      <c r="F594" s="1510"/>
      <c r="G594" s="1510"/>
      <c r="H594" s="154" t="str">
        <f>EUconst_Tons</f>
        <v>tonnes</v>
      </c>
      <c r="I594" s="311"/>
      <c r="J594" s="311"/>
      <c r="K594" s="311"/>
      <c r="L594" s="311"/>
      <c r="M594" s="311"/>
      <c r="N594" s="903"/>
      <c r="O594" s="17"/>
      <c r="P594" s="63" t="str">
        <f>EUconst_CNTR_HALPulpTotal &amp; I433</f>
        <v>HALPulpTotal_</v>
      </c>
      <c r="AA594" s="410" t="b">
        <f>IF(I433&lt;&gt;"",IF(INDEX(EUconst_BMlistPulp,MATCH(I433,EUconst_BMlistNames,0))=TRUE,FALSE,TRUE),FALSE)</f>
        <v>0</v>
      </c>
    </row>
    <row r="595" spans="2:27" ht="12.75" customHeight="1" x14ac:dyDescent="0.25">
      <c r="B595" s="17"/>
      <c r="C595" s="900"/>
      <c r="D595" s="193"/>
      <c r="E595" s="193"/>
      <c r="F595" s="193"/>
      <c r="G595" s="193"/>
      <c r="H595" s="193"/>
      <c r="I595" s="193"/>
      <c r="J595" s="193"/>
      <c r="K595" s="193"/>
      <c r="L595" s="193"/>
      <c r="M595" s="193"/>
      <c r="N595" s="903"/>
      <c r="O595" s="17"/>
    </row>
    <row r="596" spans="2:27" ht="12.75" customHeight="1" thickBot="1" x14ac:dyDescent="0.3">
      <c r="B596" s="17"/>
      <c r="C596" s="900"/>
      <c r="D596" s="157" t="s">
        <v>362</v>
      </c>
      <c r="E596" s="1511" t="str">
        <f>Translations!$B$810</f>
        <v>Import or export of intermediate products covered by product benchmarks</v>
      </c>
      <c r="F596" s="1512"/>
      <c r="G596" s="1512"/>
      <c r="H596" s="1512"/>
      <c r="I596" s="1512"/>
      <c r="J596" s="1512"/>
      <c r="K596" s="1512"/>
      <c r="L596" s="1512"/>
      <c r="M596" s="1512"/>
      <c r="N596" s="1513"/>
      <c r="O596" s="17"/>
    </row>
    <row r="597" spans="2:27" ht="12.75" customHeight="1" thickBot="1" x14ac:dyDescent="0.3">
      <c r="B597" s="17"/>
      <c r="C597" s="900"/>
      <c r="D597" s="193" t="s">
        <v>206</v>
      </c>
      <c r="E597" s="1514" t="str">
        <f>Translations!$B$813</f>
        <v>Is there any import or export of intermediate products covered by product benchmarks?</v>
      </c>
      <c r="F597" s="1514"/>
      <c r="G597" s="1514"/>
      <c r="H597" s="1514"/>
      <c r="I597" s="1514"/>
      <c r="J597" s="1514"/>
      <c r="K597" s="1515"/>
      <c r="L597" s="194"/>
      <c r="M597" s="342"/>
      <c r="N597" s="277"/>
      <c r="O597" s="17"/>
      <c r="W597" s="288" t="s">
        <v>418</v>
      </c>
      <c r="X597" s="215" t="b">
        <f>IF(AND(I433&lt;&gt;"",ISBLANK(L597)),EUconst_Error&amp;"BM"&amp;C433,FALSE)</f>
        <v>0</v>
      </c>
    </row>
    <row r="598" spans="2:27" ht="5.0999999999999996" customHeight="1" x14ac:dyDescent="0.25">
      <c r="B598" s="17"/>
      <c r="C598" s="900"/>
      <c r="D598" s="193"/>
      <c r="E598" s="193"/>
      <c r="F598" s="193"/>
      <c r="G598" s="193"/>
      <c r="H598" s="193"/>
      <c r="I598" s="193"/>
      <c r="J598" s="193"/>
      <c r="K598" s="193"/>
      <c r="L598" s="193"/>
      <c r="M598" s="193"/>
      <c r="N598" s="903"/>
      <c r="O598" s="17"/>
    </row>
    <row r="599" spans="2:27" ht="12.75" customHeight="1" thickBot="1" x14ac:dyDescent="0.3">
      <c r="B599" s="17"/>
      <c r="C599" s="900"/>
      <c r="D599" s="157"/>
      <c r="E599" s="1522" t="str">
        <f>Translations!$B$814</f>
        <v>Imported amounts:</v>
      </c>
      <c r="F599" s="1523"/>
      <c r="G599" s="1523"/>
      <c r="H599" s="192" t="str">
        <f>EUconst_Unit</f>
        <v>Unit</v>
      </c>
      <c r="I599" s="153">
        <f>I$1882</f>
        <v>2019</v>
      </c>
      <c r="J599" s="153">
        <f>J$1882</f>
        <v>2020</v>
      </c>
      <c r="K599" s="153">
        <f>K$1882</f>
        <v>2021</v>
      </c>
      <c r="L599" s="153">
        <f>L$1882</f>
        <v>2022</v>
      </c>
      <c r="M599" s="153">
        <f>M$1882</f>
        <v>2023</v>
      </c>
      <c r="N599" s="903"/>
      <c r="O599" s="17"/>
      <c r="AA599" s="145" t="s">
        <v>396</v>
      </c>
    </row>
    <row r="600" spans="2:27" ht="12.75" customHeight="1" x14ac:dyDescent="0.25">
      <c r="B600" s="17"/>
      <c r="C600" s="900"/>
      <c r="D600" s="193" t="s">
        <v>208</v>
      </c>
      <c r="E600" s="1524"/>
      <c r="F600" s="1524"/>
      <c r="G600" s="1524"/>
      <c r="H600" s="853" t="str">
        <f>IF(E600&lt;&gt;"",INDEX(EUconst_BMlistUnits,MATCH(E600,EUconst_BMlistNames,0)),EUconst_Tons)</f>
        <v>tonnes</v>
      </c>
      <c r="I600" s="953"/>
      <c r="J600" s="953"/>
      <c r="K600" s="953"/>
      <c r="L600" s="953"/>
      <c r="M600" s="953"/>
      <c r="N600" s="903"/>
      <c r="O600" s="17"/>
      <c r="P600" s="63" t="str">
        <f>EUconst_CNTR_IntermediateImport &amp; R600 &amp; "_" &amp; I433</f>
        <v>IntImp_1_</v>
      </c>
      <c r="R600" s="63">
        <v>1</v>
      </c>
      <c r="AA600" s="316" t="b">
        <f>AND(NOT(ISBLANK(L597)),L597=FALSE)</f>
        <v>0</v>
      </c>
    </row>
    <row r="601" spans="2:27" ht="12.75" customHeight="1" x14ac:dyDescent="0.25">
      <c r="B601" s="17"/>
      <c r="C601" s="900"/>
      <c r="D601" s="193" t="s">
        <v>209</v>
      </c>
      <c r="E601" s="1525"/>
      <c r="F601" s="1525"/>
      <c r="G601" s="1525"/>
      <c r="H601" s="950" t="str">
        <f>IF(E601&lt;&gt;"",INDEX(EUconst_BMlistUnits,MATCH(E601,EUconst_BMlistNames,0)),EUconst_Tons)</f>
        <v>tonnes</v>
      </c>
      <c r="I601" s="954"/>
      <c r="J601" s="954"/>
      <c r="K601" s="954"/>
      <c r="L601" s="954"/>
      <c r="M601" s="954"/>
      <c r="N601" s="903"/>
      <c r="O601" s="17"/>
      <c r="P601" s="63" t="str">
        <f>EUconst_CNTR_IntermediateImport &amp; R601 &amp; "_" &amp; I433</f>
        <v>IntImp_2_</v>
      </c>
      <c r="R601" s="63">
        <v>2</v>
      </c>
      <c r="AA601" s="285" t="b">
        <f>AA600</f>
        <v>0</v>
      </c>
    </row>
    <row r="602" spans="2:27" ht="5.0999999999999996" customHeight="1" x14ac:dyDescent="0.25">
      <c r="B602" s="17"/>
      <c r="C602" s="900"/>
      <c r="D602" s="193"/>
      <c r="E602" s="193"/>
      <c r="F602" s="193"/>
      <c r="G602" s="193"/>
      <c r="H602" s="193"/>
      <c r="I602" s="193"/>
      <c r="J602" s="193"/>
      <c r="K602" s="193"/>
      <c r="L602" s="193"/>
      <c r="M602" s="193"/>
      <c r="N602" s="903"/>
      <c r="O602" s="17"/>
      <c r="AA602" s="815"/>
    </row>
    <row r="603" spans="2:27" ht="12.75" customHeight="1" x14ac:dyDescent="0.25">
      <c r="B603" s="17"/>
      <c r="C603" s="900"/>
      <c r="D603" s="157"/>
      <c r="E603" s="1522" t="str">
        <f>Translations!$B$815</f>
        <v>Exported amounts:</v>
      </c>
      <c r="F603" s="1523"/>
      <c r="G603" s="1523"/>
      <c r="H603" s="192" t="str">
        <f>EUconst_Unit</f>
        <v>Unit</v>
      </c>
      <c r="I603" s="153">
        <f>I$1882</f>
        <v>2019</v>
      </c>
      <c r="J603" s="153">
        <f>J$1882</f>
        <v>2020</v>
      </c>
      <c r="K603" s="153">
        <f>K$1882</f>
        <v>2021</v>
      </c>
      <c r="L603" s="153">
        <f>L$1882</f>
        <v>2022</v>
      </c>
      <c r="M603" s="153">
        <f>M$1882</f>
        <v>2023</v>
      </c>
      <c r="N603" s="903"/>
      <c r="O603" s="17"/>
      <c r="AA603" s="815"/>
    </row>
    <row r="604" spans="2:27" ht="12.75" customHeight="1" x14ac:dyDescent="0.25">
      <c r="B604" s="17"/>
      <c r="C604" s="900"/>
      <c r="D604" s="193" t="s">
        <v>210</v>
      </c>
      <c r="E604" s="1524"/>
      <c r="F604" s="1524"/>
      <c r="G604" s="1524"/>
      <c r="H604" s="853" t="str">
        <f>IF(E604&lt;&gt;"",INDEX(EUconst_BMlistUnits,MATCH(E604,EUconst_BMlistNames,0)),EUconst_Tons)</f>
        <v>tonnes</v>
      </c>
      <c r="I604" s="953"/>
      <c r="J604" s="953"/>
      <c r="K604" s="953"/>
      <c r="L604" s="953"/>
      <c r="M604" s="953"/>
      <c r="N604" s="903"/>
      <c r="O604" s="17"/>
      <c r="P604" s="63" t="str">
        <f>EUconst_CNTR_IntermediateExport &amp; R600 &amp; "_" &amp; I433</f>
        <v>IntExp_1_</v>
      </c>
      <c r="R604" s="63">
        <v>1</v>
      </c>
      <c r="U604" s="955"/>
      <c r="V604" s="955"/>
      <c r="AA604" s="285" t="b">
        <f>AA600</f>
        <v>0</v>
      </c>
    </row>
    <row r="605" spans="2:27" ht="12.75" customHeight="1" x14ac:dyDescent="0.25">
      <c r="B605" s="17"/>
      <c r="C605" s="900"/>
      <c r="D605" s="193" t="s">
        <v>220</v>
      </c>
      <c r="E605" s="1525"/>
      <c r="F605" s="1525"/>
      <c r="G605" s="1525"/>
      <c r="H605" s="950" t="str">
        <f>IF(E605&lt;&gt;"",INDEX(EUconst_BMlistUnits,MATCH(E605,EUconst_BMlistNames,0)),EUconst_Tons)</f>
        <v>tonnes</v>
      </c>
      <c r="I605" s="954"/>
      <c r="J605" s="954"/>
      <c r="K605" s="954"/>
      <c r="L605" s="954"/>
      <c r="M605" s="954"/>
      <c r="N605" s="903"/>
      <c r="O605" s="17"/>
      <c r="P605" s="63" t="str">
        <f>EUconst_CNTR_IntermediateExport &amp; R605 &amp; "_" &amp; I433</f>
        <v>IntExp_2_</v>
      </c>
      <c r="R605" s="63">
        <v>2</v>
      </c>
      <c r="U605" s="955"/>
      <c r="V605" s="955"/>
      <c r="AA605" s="285" t="b">
        <f>AA600</f>
        <v>0</v>
      </c>
    </row>
    <row r="606" spans="2:27" ht="5.0999999999999996" customHeight="1" x14ac:dyDescent="0.25">
      <c r="B606" s="17"/>
      <c r="C606" s="900"/>
      <c r="D606" s="193"/>
      <c r="E606" s="193"/>
      <c r="F606" s="193"/>
      <c r="G606" s="193"/>
      <c r="H606" s="193"/>
      <c r="I606" s="193"/>
      <c r="J606" s="193"/>
      <c r="K606" s="193"/>
      <c r="L606" s="193"/>
      <c r="M606" s="193"/>
      <c r="N606" s="903"/>
      <c r="O606" s="17"/>
      <c r="U606" s="955"/>
      <c r="V606" s="955"/>
      <c r="AA606" s="815"/>
    </row>
    <row r="607" spans="2:27" ht="12.75" customHeight="1" x14ac:dyDescent="0.25">
      <c r="B607" s="17"/>
      <c r="C607" s="900"/>
      <c r="D607" s="193" t="s">
        <v>221</v>
      </c>
      <c r="E607" s="1514" t="str">
        <f>Translations!$B$816</f>
        <v>Description of the intermediate products imported or exported</v>
      </c>
      <c r="F607" s="1514"/>
      <c r="G607" s="1514"/>
      <c r="H607" s="1514"/>
      <c r="I607" s="1514"/>
      <c r="J607" s="1514"/>
      <c r="K607" s="1514"/>
      <c r="L607" s="1514"/>
      <c r="M607" s="1514"/>
      <c r="N607" s="903"/>
      <c r="O607" s="17"/>
      <c r="U607" s="955"/>
      <c r="V607" s="955"/>
      <c r="AA607" s="815"/>
    </row>
    <row r="608" spans="2:27" ht="12.75" customHeight="1" x14ac:dyDescent="0.25">
      <c r="B608" s="17"/>
      <c r="C608" s="900"/>
      <c r="D608" s="193"/>
      <c r="E608" s="1516"/>
      <c r="F608" s="1517"/>
      <c r="G608" s="1517"/>
      <c r="H608" s="1517"/>
      <c r="I608" s="1517"/>
      <c r="J608" s="1517"/>
      <c r="K608" s="1517"/>
      <c r="L608" s="1517"/>
      <c r="M608" s="1518"/>
      <c r="N608" s="903"/>
      <c r="O608" s="17"/>
      <c r="U608" s="955"/>
      <c r="V608" s="955"/>
      <c r="AA608" s="285" t="b">
        <f>AA600</f>
        <v>0</v>
      </c>
    </row>
    <row r="609" spans="2:27" ht="12.75" customHeight="1" thickBot="1" x14ac:dyDescent="0.3">
      <c r="B609" s="17"/>
      <c r="C609" s="900"/>
      <c r="D609" s="193"/>
      <c r="E609" s="1519"/>
      <c r="F609" s="1520"/>
      <c r="G609" s="1520"/>
      <c r="H609" s="1520"/>
      <c r="I609" s="1520"/>
      <c r="J609" s="1520"/>
      <c r="K609" s="1520"/>
      <c r="L609" s="1520"/>
      <c r="M609" s="1521"/>
      <c r="N609" s="903"/>
      <c r="O609" s="17"/>
      <c r="U609" s="955"/>
      <c r="V609" s="955"/>
      <c r="AA609" s="286" t="b">
        <f>AA600</f>
        <v>0</v>
      </c>
    </row>
    <row r="610" spans="2:27" ht="12.75" customHeight="1" thickBot="1" x14ac:dyDescent="0.3">
      <c r="B610" s="17"/>
      <c r="C610" s="956"/>
      <c r="D610" s="465"/>
      <c r="E610" s="465"/>
      <c r="F610" s="465"/>
      <c r="G610" s="465"/>
      <c r="H610" s="465"/>
      <c r="I610" s="465"/>
      <c r="J610" s="465"/>
      <c r="K610" s="465"/>
      <c r="L610" s="465"/>
      <c r="M610" s="465"/>
      <c r="N610" s="466"/>
      <c r="O610" s="17"/>
    </row>
    <row r="611" spans="2:27" ht="13.8" thickBot="1" x14ac:dyDescent="0.3">
      <c r="B611" s="17"/>
      <c r="C611" s="17"/>
      <c r="D611" s="17"/>
      <c r="E611" s="17"/>
      <c r="F611" s="17"/>
      <c r="G611" s="17"/>
      <c r="H611" s="17"/>
      <c r="I611" s="17"/>
      <c r="J611" s="17"/>
      <c r="K611" s="17"/>
      <c r="L611" s="17"/>
      <c r="M611" s="17"/>
      <c r="N611" s="17"/>
      <c r="O611" s="17"/>
      <c r="P611" s="372" t="str">
        <f>IF(OR(AND(CNTR_ExistProductSubEntries=FALSE,P433=1),AND(I433&lt;&gt;"",COUNTIF(P612:$P$1876,"PRINT")=0)),"PRINT","")</f>
        <v/>
      </c>
      <c r="Q611" s="145" t="s">
        <v>442</v>
      </c>
    </row>
    <row r="612" spans="2:27" ht="5.0999999999999996" customHeight="1" thickBot="1" x14ac:dyDescent="0.3">
      <c r="B612" s="17"/>
      <c r="C612" s="957"/>
      <c r="D612" s="957"/>
      <c r="E612" s="957"/>
      <c r="F612" s="957"/>
      <c r="G612" s="957"/>
      <c r="H612" s="957"/>
      <c r="I612" s="957"/>
      <c r="J612" s="957"/>
      <c r="K612" s="957"/>
      <c r="L612" s="957"/>
      <c r="M612" s="957"/>
      <c r="N612" s="957"/>
      <c r="O612" s="17"/>
    </row>
    <row r="613" spans="2:27" ht="14.4" thickBot="1" x14ac:dyDescent="0.3">
      <c r="B613" s="17"/>
      <c r="C613" s="456">
        <f>C433+1</f>
        <v>4</v>
      </c>
      <c r="D613" s="1234" t="str">
        <f>EUconst_BMSubinst &amp; ":"</f>
        <v>Sub-installation with product benchmark:</v>
      </c>
      <c r="E613" s="1176"/>
      <c r="F613" s="1176"/>
      <c r="G613" s="1176"/>
      <c r="H613" s="1260"/>
      <c r="I613" s="1550" t="str">
        <f>IF(INDEX(CNTR_SubInstListIsProdBM,$C613),INDEX(CNTR_SubInstListNames,$C613),"")</f>
        <v/>
      </c>
      <c r="J613" s="1509"/>
      <c r="K613" s="1509"/>
      <c r="L613" s="1509"/>
      <c r="M613" s="1509"/>
      <c r="N613" s="1189"/>
      <c r="O613" s="17"/>
      <c r="P613" s="372">
        <f>C613</f>
        <v>4</v>
      </c>
      <c r="Q613" s="288" t="s">
        <v>296</v>
      </c>
      <c r="R613" s="457" t="str">
        <f>IF(I613="","",INDEX(CNTR_SubInstStartDate,MATCH($I613,CNTR_SubInstListNames,0)))</f>
        <v/>
      </c>
      <c r="S613" s="458" t="b">
        <f>IF($I613="",FALSE,AND(I$1885, IF($R613&lt;DATE($L$1882,1,1),YEAR($R613)&lt;=I$1882,YEAR($R613-1)&lt;I$1882) ) )</f>
        <v>0</v>
      </c>
      <c r="T613" s="458" t="b">
        <f>IF($I613="",FALSE,AND(J$1885, IF($R613&lt;DATE($L$1882,1,1),YEAR($R613)&lt;=J$1882,YEAR($R613-1)&lt;J$1882) ) )</f>
        <v>0</v>
      </c>
      <c r="U613" s="458" t="b">
        <f>IF($I613="",FALSE,AND(K$1885, IF($R613&lt;DATE($L$1882,1,1),YEAR($R613)&lt;=K$1882,YEAR($R613-1)&lt;K$1882) ) )</f>
        <v>0</v>
      </c>
      <c r="V613" s="458" t="b">
        <f>IF($I613="",FALSE,AND(L$1885, IF($R613&lt;DATE($L$1882,1,1),YEAR($R613)&lt;=L$1882,YEAR($R613-1)&lt;L$1882) ) )</f>
        <v>0</v>
      </c>
      <c r="W613" s="458" t="b">
        <f>IF($I613="",FALSE,AND(M$1885, IF($R613&lt;DATE($L$1882,1,1),YEAR($R613)&lt;=M$1882,YEAR($R613-1)&lt;M$1882) ) )</f>
        <v>0</v>
      </c>
      <c r="Z613" s="288" t="s">
        <v>390</v>
      </c>
      <c r="AA613" s="410" t="b">
        <f>AND(CNTR_ExistSubInstEntries,I613="")</f>
        <v>0</v>
      </c>
    </row>
    <row r="614" spans="2:27" ht="5.0999999999999996" customHeight="1" x14ac:dyDescent="0.25">
      <c r="B614" s="17"/>
      <c r="C614" s="17"/>
      <c r="D614" s="17"/>
      <c r="E614" s="17"/>
      <c r="F614" s="17"/>
      <c r="G614" s="17"/>
      <c r="H614" s="17"/>
      <c r="I614" s="17"/>
      <c r="J614" s="17"/>
      <c r="K614" s="17"/>
      <c r="L614" s="17"/>
      <c r="M614" s="17"/>
      <c r="N614" s="17"/>
      <c r="O614" s="17"/>
    </row>
    <row r="615" spans="2:27" ht="12.75" customHeight="1" x14ac:dyDescent="0.25">
      <c r="B615" s="17"/>
      <c r="C615" s="17"/>
      <c r="D615" s="17"/>
      <c r="E615" s="1413" t="str">
        <f>CONCATENATE(EUconst_MsgSeeFirst," (F.I.1)")</f>
        <v>Detailed instructions for data entries in this tool can be found at the first copy of this tool.  (F.I.1)</v>
      </c>
      <c r="F615" s="1413"/>
      <c r="G615" s="1413"/>
      <c r="H615" s="1413"/>
      <c r="I615" s="1413"/>
      <c r="J615" s="1413"/>
      <c r="K615" s="1413"/>
      <c r="L615" s="1413"/>
      <c r="M615" s="1413"/>
      <c r="N615" s="1413"/>
      <c r="O615" s="17"/>
    </row>
    <row r="616" spans="2:27" ht="5.0999999999999996" customHeight="1" x14ac:dyDescent="0.25">
      <c r="B616" s="17"/>
      <c r="C616" s="17"/>
      <c r="D616" s="17"/>
      <c r="E616" s="17"/>
      <c r="F616" s="17"/>
      <c r="G616" s="17"/>
      <c r="H616" s="17"/>
      <c r="I616" s="17"/>
      <c r="J616" s="17"/>
      <c r="K616" s="17"/>
      <c r="L616" s="17"/>
      <c r="M616" s="17"/>
      <c r="N616" s="17"/>
      <c r="O616" s="17"/>
    </row>
    <row r="617" spans="2:27" ht="13.8" thickBot="1" x14ac:dyDescent="0.3">
      <c r="B617" s="17"/>
      <c r="C617" s="17"/>
      <c r="D617" s="15" t="s">
        <v>190</v>
      </c>
      <c r="E617" s="1165" t="str">
        <f>Translations!$B$670</f>
        <v>Historic activity levels</v>
      </c>
      <c r="F617" s="1176"/>
      <c r="G617" s="1176"/>
      <c r="H617" s="1176"/>
      <c r="I617" s="1176"/>
      <c r="J617" s="1176"/>
      <c r="K617" s="1176"/>
      <c r="L617" s="1176"/>
      <c r="M617" s="1176"/>
      <c r="N617" s="1176"/>
      <c r="O617" s="17"/>
    </row>
    <row r="618" spans="2:27" ht="13.5" customHeight="1" thickBot="1" x14ac:dyDescent="0.3">
      <c r="B618" s="17"/>
      <c r="C618" s="17"/>
      <c r="D618" s="15"/>
      <c r="E618" s="1259" t="str">
        <f>Translations!$B$676</f>
        <v>Annual activity levels:</v>
      </c>
      <c r="F618" s="1259"/>
      <c r="G618" s="1259"/>
      <c r="H618" s="23" t="str">
        <f>EUconst_Unit</f>
        <v>Unit</v>
      </c>
      <c r="I618" s="128">
        <f>I$1882</f>
        <v>2019</v>
      </c>
      <c r="J618" s="128">
        <f>J$1882</f>
        <v>2020</v>
      </c>
      <c r="K618" s="128">
        <f>K$1882</f>
        <v>2021</v>
      </c>
      <c r="L618" s="128">
        <f>L$1882</f>
        <v>2022</v>
      </c>
      <c r="M618" s="144">
        <f>M$1882</f>
        <v>2023</v>
      </c>
      <c r="N618" s="376" t="str">
        <f>IF(I613="","",IF(S623,YEAR(R613)+1,""))</f>
        <v/>
      </c>
      <c r="O618" s="17"/>
      <c r="Q618" s="147" t="s">
        <v>395</v>
      </c>
      <c r="R618" s="920"/>
      <c r="S618" s="920"/>
      <c r="T618" s="920"/>
      <c r="U618" s="920"/>
      <c r="V618" s="920"/>
      <c r="W618" s="921"/>
      <c r="Y618" s="316" t="b">
        <f>IF(CNTR_ExistSubInstEntries,IF(I613&lt;&gt;"",NOT(S623),TRUE),FALSE)</f>
        <v>0</v>
      </c>
      <c r="AA618" s="145" t="s">
        <v>396</v>
      </c>
    </row>
    <row r="619" spans="2:27" ht="13.8" thickBot="1" x14ac:dyDescent="0.3">
      <c r="B619" s="17"/>
      <c r="C619" s="17"/>
      <c r="D619" s="113" t="s">
        <v>206</v>
      </c>
      <c r="E619" s="1560" t="str">
        <f>I613</f>
        <v/>
      </c>
      <c r="F619" s="1560"/>
      <c r="G619" s="1560"/>
      <c r="H619" s="820" t="str">
        <f>IF(INDEX(CNTR_SubInstListIsProdBM,$C613),INDEX(CNTR_SubInstListHALUnit,$C613),EUconst_Tons)</f>
        <v>tonnes</v>
      </c>
      <c r="I619" s="231"/>
      <c r="J619" s="231"/>
      <c r="K619" s="231"/>
      <c r="L619" s="231"/>
      <c r="M619" s="375"/>
      <c r="N619" s="922"/>
      <c r="O619" s="17"/>
      <c r="P619" s="392" t="s">
        <v>397</v>
      </c>
      <c r="Q619" s="581" t="s">
        <v>398</v>
      </c>
      <c r="R619" s="65" t="s">
        <v>399</v>
      </c>
      <c r="S619" s="808">
        <f>I618</f>
        <v>2019</v>
      </c>
      <c r="T619" s="809">
        <f>J618</f>
        <v>2020</v>
      </c>
      <c r="U619" s="809">
        <f>K618</f>
        <v>2021</v>
      </c>
      <c r="V619" s="809">
        <f>L618</f>
        <v>2022</v>
      </c>
      <c r="W619" s="810">
        <f>M618</f>
        <v>2023</v>
      </c>
      <c r="Y619" s="406" t="b">
        <f>IF(CNTR_ExistSubInstEntries,IF(AND(I613&lt;&gt;"",N620=""),NOT(S623),TRUE),FALSE)</f>
        <v>0</v>
      </c>
      <c r="AA619" s="316" t="b">
        <f>IF(CNTR_ExistSubInstEntries,AND(I613&lt;&gt;"",Q623),FALSE)</f>
        <v>0</v>
      </c>
    </row>
    <row r="620" spans="2:27" ht="13.8" thickBot="1" x14ac:dyDescent="0.3">
      <c r="B620" s="17"/>
      <c r="C620" s="17"/>
      <c r="D620" s="113" t="s">
        <v>208</v>
      </c>
      <c r="E620" s="1560" t="str">
        <f>Translations!$B$677</f>
        <v>From sheet "H_SpecialBM":</v>
      </c>
      <c r="F620" s="1560"/>
      <c r="G620" s="1560"/>
      <c r="H620" s="820" t="str">
        <f>H619</f>
        <v>tonnes</v>
      </c>
      <c r="I620" s="148" t="str">
        <f>IF($I613="","",IF($Q623,SUMIF(H_SpecialBM!$P$9:$P$384,$P620,H_SpecialBM!I$9:I$384),""))</f>
        <v/>
      </c>
      <c r="J620" s="148" t="str">
        <f>IF($I613="","",IF($Q623,SUMIF(H_SpecialBM!$P$9:$P$384,$P620,H_SpecialBM!J$9:J$384),""))</f>
        <v/>
      </c>
      <c r="K620" s="148" t="str">
        <f>IF($I613="","",IF($Q623,SUMIF(H_SpecialBM!$P$9:$P$384,$P620,H_SpecialBM!K$9:K$384),""))</f>
        <v/>
      </c>
      <c r="L620" s="148" t="str">
        <f>IF($I613="","",IF($Q623,SUMIF(H_SpecialBM!$P$9:$P$384,$P620,H_SpecialBM!L$9:L$384),""))</f>
        <v/>
      </c>
      <c r="M620" s="923" t="str">
        <f>IF($I613="","",IF($Q623,SUMIF(H_SpecialBM!$P$9:$P$384,$P620,H_SpecialBM!M$9:M$384),""))</f>
        <v/>
      </c>
      <c r="N620" s="924" t="str">
        <f>IF($I613="","",IF(AND($Q623,$S623),SUMIF(H_SpecialBM!$P$9:$P$384,$P620,H_SpecialBM!N$9:N$384),""))</f>
        <v/>
      </c>
      <c r="O620" s="17"/>
      <c r="P620" s="392" t="str">
        <f>EUconst_CNTR_HALspecial&amp;I613</f>
        <v>HALspecial_</v>
      </c>
      <c r="Q620" s="391" t="str">
        <f>IF(COUNT($U620:$V620)&gt;0,SUM($U620:$V620),"")</f>
        <v/>
      </c>
      <c r="R620" s="925" t="str">
        <f>IF(COUNT(S620:W620)&gt;0,AVERAGE(S620:W620),"")</f>
        <v/>
      </c>
      <c r="S620" s="385" t="str">
        <f>IF(S613,IF(ISNUMBER(I620),I620,""),"")</f>
        <v/>
      </c>
      <c r="T620" s="926" t="str">
        <f>IF(T613,IF(ISNUMBER(J620),J620,""),"")</f>
        <v/>
      </c>
      <c r="U620" s="926" t="str">
        <f>IF(U613,IF(ISNUMBER(K620),K620,""),"")</f>
        <v/>
      </c>
      <c r="V620" s="926" t="str">
        <f>IF(V613,IF(ISNUMBER(L620),L620,""),"")</f>
        <v/>
      </c>
      <c r="W620" s="925" t="str">
        <f>IF(W613,IF(ISNUMBER(M620),M620,""),"")</f>
        <v/>
      </c>
      <c r="Y620" s="406" t="b">
        <f>OR(Y618,AA620)</f>
        <v>0</v>
      </c>
      <c r="AA620" s="317" t="b">
        <f>Q623=FALSE</f>
        <v>0</v>
      </c>
    </row>
    <row r="621" spans="2:27" ht="13.8" thickBot="1" x14ac:dyDescent="0.3">
      <c r="B621" s="17"/>
      <c r="C621" s="17"/>
      <c r="D621" s="113" t="s">
        <v>209</v>
      </c>
      <c r="E621" s="1560" t="str">
        <f>Translations!$B$678</f>
        <v>Values used for calculation:</v>
      </c>
      <c r="F621" s="1560"/>
      <c r="G621" s="1560"/>
      <c r="H621" s="820" t="str">
        <f>H620</f>
        <v>tonnes</v>
      </c>
      <c r="I621" s="148" t="str">
        <f>IF($I613="","",IF($Q623=TRUE,IF(ISNUMBER(I620),I620,0),IF(ISNUMBER(I619),I619,0)))</f>
        <v/>
      </c>
      <c r="J621" s="148" t="str">
        <f>IF($I613="","",IF($Q623=TRUE,IF(ISNUMBER(J620),J620,0),IF(ISNUMBER(J619),J619,0)))</f>
        <v/>
      </c>
      <c r="K621" s="148" t="str">
        <f>IF($I613="","",IF($Q623=TRUE,IF(ISNUMBER(K620),K620,0),IF(ISNUMBER(K619),K619,0)))</f>
        <v/>
      </c>
      <c r="L621" s="148" t="str">
        <f>IF($I613="","",IF($Q623=TRUE,IF(ISNUMBER(L620),L620,0),IF(ISNUMBER(L619),L619,0)))</f>
        <v/>
      </c>
      <c r="M621" s="923" t="str">
        <f>IF($I613="","",IF($Q623=TRUE,IF(ISNUMBER(M620),M620,0),IF(ISNUMBER(M619),M619,0)))</f>
        <v/>
      </c>
      <c r="N621" s="924" t="str">
        <f>IF($I613="","",IF(S623,IF($Q623=TRUE,IF(ISNUMBER(N620),N620,0),IF(ISNUMBER(N619),N619,0)),""))</f>
        <v/>
      </c>
      <c r="O621" s="17"/>
      <c r="P621" s="392" t="str">
        <f>EUconst_CNTR_HAL&amp;I613</f>
        <v>HAL_</v>
      </c>
      <c r="Q621" s="286" t="str">
        <f>IF(COUNT($U621:$V621)&gt;0,SUM($U621:$V621),"")</f>
        <v/>
      </c>
      <c r="R621" s="390" t="str">
        <f>IF(COUNT(S621:W621)&gt;0,AVERAGE(S621:W621),"")</f>
        <v/>
      </c>
      <c r="S621" s="388" t="str">
        <f>IF(S613,IF(ISNUMBER(I621),I621,""),"")</f>
        <v/>
      </c>
      <c r="T621" s="389" t="str">
        <f>IF(T613,IF(ISNUMBER(J621),J621,""),"")</f>
        <v/>
      </c>
      <c r="U621" s="389" t="str">
        <f>IF(U613,IF(ISNUMBER(K621),K621,""),"")</f>
        <v/>
      </c>
      <c r="V621" s="389" t="str">
        <f>IF(V613,IF(ISNUMBER(L621),L621,""),"")</f>
        <v/>
      </c>
      <c r="W621" s="390" t="str">
        <f>IF(W613,IF(ISNUMBER(M621),M621,""),"")</f>
        <v/>
      </c>
      <c r="Y621" s="286" t="b">
        <f>Y618</f>
        <v>0</v>
      </c>
    </row>
    <row r="622" spans="2:27" ht="5.0999999999999996" customHeight="1" x14ac:dyDescent="0.25">
      <c r="B622" s="17"/>
      <c r="C622" s="17"/>
      <c r="D622" s="17"/>
      <c r="E622" s="17"/>
      <c r="F622" s="17"/>
      <c r="G622" s="17"/>
      <c r="H622" s="17"/>
      <c r="I622" s="17"/>
      <c r="J622" s="17"/>
      <c r="K622" s="17"/>
      <c r="L622" s="17"/>
      <c r="M622" s="17"/>
      <c r="N622" s="17"/>
      <c r="O622" s="17"/>
    </row>
    <row r="623" spans="2:27" x14ac:dyDescent="0.25">
      <c r="B623" s="17"/>
      <c r="C623" s="17"/>
      <c r="D623" s="15" t="s">
        <v>192</v>
      </c>
      <c r="E623" s="1165" t="str">
        <f>Translations!$B$679</f>
        <v>Special reporting requirements:</v>
      </c>
      <c r="F623" s="1165"/>
      <c r="G623" s="1425"/>
      <c r="H623" s="1561" t="str">
        <f>IF(I613="","",HYPERLINK(INDEX(EUconst_BMlistSpecialJumpTable,MATCH(I613,EUconst_BMlistNames,0)),INDEX(EUconst_BMlistSpecialReporting,MATCH(I613,EUconst_BMlistNames,0))))</f>
        <v/>
      </c>
      <c r="I623" s="1562"/>
      <c r="J623" s="1562"/>
      <c r="K623" s="1562"/>
      <c r="L623" s="1562"/>
      <c r="M623" s="1562"/>
      <c r="N623" s="1563"/>
      <c r="O623" s="17"/>
      <c r="P623" s="288" t="s">
        <v>400</v>
      </c>
      <c r="Q623" s="63" t="str">
        <f>IF(I613="","",IF(AND(INDEX(EUconst_BMlistSpecialJumpTable,MATCH(I613,EUconst_BMlistNames,0))&lt;&gt;"",MATCH(I613,EUconst_BMlistNames,0)&lt;&gt;47),TRUE,FALSE))</f>
        <v/>
      </c>
      <c r="R623" s="288" t="s">
        <v>304</v>
      </c>
      <c r="S623" s="63" t="b">
        <f>IF(I613="",FALSE,INDEX(CNTR_SubInstLess1Year,MATCH(I613,CNTR_SubInstListNames,0)))</f>
        <v>0</v>
      </c>
    </row>
    <row r="624" spans="2:27" ht="12.75" customHeight="1" x14ac:dyDescent="0.25">
      <c r="B624" s="17"/>
      <c r="C624" s="17"/>
      <c r="D624" s="17"/>
      <c r="E624" s="17"/>
      <c r="F624" s="17"/>
      <c r="G624" s="17"/>
      <c r="H624" s="17"/>
      <c r="I624" s="17"/>
      <c r="J624" s="17"/>
      <c r="K624" s="17"/>
      <c r="L624" s="17"/>
      <c r="M624" s="17"/>
      <c r="N624" s="17"/>
      <c r="O624" s="17"/>
    </row>
    <row r="625" spans="2:27" ht="15" customHeight="1" x14ac:dyDescent="0.25">
      <c r="B625" s="17"/>
      <c r="C625" s="17"/>
      <c r="D625" s="1234" t="str">
        <f>Translations!$B$681</f>
        <v>Further correction factors</v>
      </c>
      <c r="E625" s="1176"/>
      <c r="F625" s="1176"/>
      <c r="G625" s="1176"/>
      <c r="H625" s="1176"/>
      <c r="I625" s="1176"/>
      <c r="J625" s="1176"/>
      <c r="K625" s="1176"/>
      <c r="L625" s="1176"/>
      <c r="M625" s="1176"/>
      <c r="N625" s="1176"/>
      <c r="O625" s="17"/>
    </row>
    <row r="626" spans="2:27" ht="5.0999999999999996" customHeight="1" x14ac:dyDescent="0.25">
      <c r="B626" s="17"/>
      <c r="C626" s="17"/>
      <c r="D626" s="17"/>
      <c r="E626" s="17"/>
      <c r="F626" s="17"/>
      <c r="G626" s="17"/>
      <c r="H626" s="17"/>
      <c r="I626" s="17"/>
      <c r="J626" s="17"/>
      <c r="K626" s="17"/>
      <c r="L626" s="17"/>
      <c r="M626" s="17"/>
      <c r="N626" s="17"/>
      <c r="O626" s="17"/>
    </row>
    <row r="627" spans="2:27" ht="13.8" thickBot="1" x14ac:dyDescent="0.3">
      <c r="B627" s="17"/>
      <c r="C627" s="17"/>
      <c r="D627" s="15" t="s">
        <v>195</v>
      </c>
      <c r="E627" s="1165" t="str">
        <f>Translations!$B$682</f>
        <v>Exchangeability of fuel and electricity:</v>
      </c>
      <c r="F627" s="1176"/>
      <c r="G627" s="1176"/>
      <c r="H627" s="1176"/>
      <c r="I627" s="1260"/>
      <c r="J627" s="1561" t="str">
        <f>IF(I613="","",IF(INDEX(EUconst_BMlistElExchangability,MATCH(I613,EUconst_BMlistNames,0))=TRUE,"",HYPERLINK(Q627,EUconst_MsgGoOn)))</f>
        <v/>
      </c>
      <c r="K627" s="1564"/>
      <c r="L627" s="1564"/>
      <c r="M627" s="1564"/>
      <c r="N627" s="1205"/>
      <c r="O627" s="17"/>
      <c r="P627" s="145" t="s">
        <v>334</v>
      </c>
      <c r="Q627" s="372" t="str">
        <f>"#"&amp;ADDRESS(ROW(D635),COLUMN(D635))</f>
        <v>#$D$635</v>
      </c>
    </row>
    <row r="628" spans="2:27" ht="13.8" thickBot="1" x14ac:dyDescent="0.3">
      <c r="B628" s="17"/>
      <c r="C628" s="17"/>
      <c r="D628" s="15"/>
      <c r="E628" s="1259" t="str">
        <f>Translations!$B$686</f>
        <v>Parameter</v>
      </c>
      <c r="F628" s="1212"/>
      <c r="G628" s="1212"/>
      <c r="H628" s="23" t="str">
        <f>EUconst_Unit</f>
        <v>Unit</v>
      </c>
      <c r="I628" s="128">
        <f>I$66</f>
        <v>2019</v>
      </c>
      <c r="J628" s="128">
        <f>J$66</f>
        <v>2020</v>
      </c>
      <c r="K628" s="128">
        <f>K$66</f>
        <v>2021</v>
      </c>
      <c r="L628" s="128">
        <f>L$66</f>
        <v>2022</v>
      </c>
      <c r="M628" s="144">
        <f>M$66</f>
        <v>2023</v>
      </c>
      <c r="N628" s="376" t="str">
        <f>IF(AA629=FALSE,N618,"")</f>
        <v/>
      </c>
      <c r="O628" s="17"/>
      <c r="Y628" s="316" t="b">
        <f>OR(Y618,AA629)</f>
        <v>0</v>
      </c>
      <c r="AA628" s="145" t="s">
        <v>402</v>
      </c>
    </row>
    <row r="629" spans="2:27" ht="13.8" thickBot="1" x14ac:dyDescent="0.3">
      <c r="B629" s="17"/>
      <c r="C629" s="17"/>
      <c r="D629" s="113" t="s">
        <v>206</v>
      </c>
      <c r="E629" s="1248" t="str">
        <f>Translations!$B$687</f>
        <v>Direct emissions</v>
      </c>
      <c r="F629" s="1248"/>
      <c r="G629" s="1248"/>
      <c r="H629" s="222" t="str">
        <f>EUconst_tCO2pa</f>
        <v>t CO2 / year</v>
      </c>
      <c r="I629" s="331"/>
      <c r="J629" s="331"/>
      <c r="K629" s="332"/>
      <c r="L629" s="331"/>
      <c r="M629" s="377"/>
      <c r="N629" s="383"/>
      <c r="O629" s="17"/>
      <c r="Y629" s="285" t="b">
        <f>Y628</f>
        <v>0</v>
      </c>
      <c r="AA629" s="316" t="b">
        <f>IF(CNTR_ExistSubInstEntries,IF(I613&lt;&gt;"",IF(INDEX(EUconst_BMlistElExchangability,MATCH(I613,EUconst_BMlistNames,0)),FALSE,TRUE),TRUE),FALSE)</f>
        <v>0</v>
      </c>
    </row>
    <row r="630" spans="2:27" x14ac:dyDescent="0.25">
      <c r="B630" s="17"/>
      <c r="C630" s="17"/>
      <c r="D630" s="113" t="s">
        <v>208</v>
      </c>
      <c r="E630" s="1251" t="str">
        <f>Translations!$B$688</f>
        <v>Net imported heat</v>
      </c>
      <c r="F630" s="1251"/>
      <c r="G630" s="1251"/>
      <c r="H630" s="225" t="str">
        <f>EUconst_TJpa</f>
        <v>TJ / year</v>
      </c>
      <c r="I630" s="226" t="str">
        <f>IF($I613&lt;&gt;"",IF(INDEX(EUconst_BMlistElExchangability,MATCH($I613,EUconst_BMlistNames,0)),SUM(I714),""),"")</f>
        <v/>
      </c>
      <c r="J630" s="226" t="str">
        <f>IF($I613&lt;&gt;"",IF(INDEX(EUconst_BMlistElExchangability,MATCH($I613,EUconst_BMlistNames,0)),SUM(J714),""),"")</f>
        <v/>
      </c>
      <c r="K630" s="226" t="str">
        <f>IF($I613&lt;&gt;"",IF(INDEX(EUconst_BMlistElExchangability,MATCH($I613,EUconst_BMlistNames,0)),SUM(K714),""),"")</f>
        <v/>
      </c>
      <c r="L630" s="226" t="str">
        <f>IF($I613&lt;&gt;"",IF(INDEX(EUconst_BMlistElExchangability,MATCH($I613,EUconst_BMlistNames,0)),SUM(L714),""),"")</f>
        <v/>
      </c>
      <c r="M630" s="378" t="str">
        <f>IF($I613&lt;&gt;"",IF(INDEX(EUconst_BMlistElExchangability,MATCH($I613,EUconst_BMlistNames,0)),SUM(M714),""),"")</f>
        <v/>
      </c>
      <c r="N630" s="384"/>
      <c r="O630" s="17"/>
      <c r="R630" s="459"/>
      <c r="S630" s="326">
        <f>I628</f>
        <v>2019</v>
      </c>
      <c r="T630" s="326">
        <f>J628</f>
        <v>2020</v>
      </c>
      <c r="U630" s="326">
        <f>K628</f>
        <v>2021</v>
      </c>
      <c r="V630" s="326">
        <f>L628</f>
        <v>2022</v>
      </c>
      <c r="W630" s="327">
        <f>M628</f>
        <v>2023</v>
      </c>
      <c r="Y630" s="285" t="b">
        <f>Y629</f>
        <v>0</v>
      </c>
      <c r="AA630" s="285" t="b">
        <f>AA629</f>
        <v>0</v>
      </c>
    </row>
    <row r="631" spans="2:27" ht="12.75" customHeight="1" thickBot="1" x14ac:dyDescent="0.3">
      <c r="B631" s="17"/>
      <c r="C631" s="17"/>
      <c r="D631" s="113" t="s">
        <v>209</v>
      </c>
      <c r="E631" s="1565" t="str">
        <f>Translations!$B$689</f>
        <v>Relevant electricity consumption</v>
      </c>
      <c r="F631" s="1565"/>
      <c r="G631" s="1565"/>
      <c r="H631" s="927" t="str">
        <f>EUconst_MWhpa</f>
        <v>MWh / year</v>
      </c>
      <c r="I631" s="928"/>
      <c r="J631" s="928"/>
      <c r="K631" s="928"/>
      <c r="L631" s="928"/>
      <c r="M631" s="929"/>
      <c r="N631" s="930"/>
      <c r="O631" s="17"/>
      <c r="P631" s="63" t="str">
        <f>EUconst_CNTR_HAL&amp;EUconst_CNTR_ELEXCH</f>
        <v>HAL_ELEXCH_</v>
      </c>
      <c r="Q631" s="63" t="str">
        <f>EUconst_CNTR_HAL&amp;EUconst_CNTR_ELEXCH &amp; I613</f>
        <v>HAL_ELEXCH_</v>
      </c>
      <c r="R631" s="460" t="str">
        <f>EUconst_CNTR_AttributedEmissions &amp; I613</f>
        <v>AttrEmissions_</v>
      </c>
      <c r="S631" s="389" t="str">
        <f>IF(S613,SUM(I631)*EUconst_ElBM,"")</f>
        <v/>
      </c>
      <c r="T631" s="389" t="str">
        <f>IF(T613,SUM(J631)*EUconst_ElBM,"")</f>
        <v/>
      </c>
      <c r="U631" s="389" t="str">
        <f>IF(U613,SUM(K631)*EUconst_ElBM,"")</f>
        <v/>
      </c>
      <c r="V631" s="389" t="str">
        <f>IF(V613,SUM(L631)*EUconst_ElBM,"")</f>
        <v/>
      </c>
      <c r="W631" s="390" t="str">
        <f>IF(W613,SUM(M631)*EUconst_ElBM,"")</f>
        <v/>
      </c>
      <c r="X631" s="145" t="str">
        <f>N628</f>
        <v/>
      </c>
      <c r="Y631" s="285" t="b">
        <f>Y630</f>
        <v>0</v>
      </c>
      <c r="AA631" s="285" t="b">
        <f>AA630</f>
        <v>0</v>
      </c>
    </row>
    <row r="632" spans="2:27" ht="13.8" thickBot="1" x14ac:dyDescent="0.3">
      <c r="B632" s="17"/>
      <c r="C632" s="17"/>
      <c r="D632" s="113" t="s">
        <v>210</v>
      </c>
      <c r="E632" s="1248" t="str">
        <f>Translations!$B$690</f>
        <v>Total direct emissions</v>
      </c>
      <c r="F632" s="1248"/>
      <c r="G632" s="1248"/>
      <c r="H632" s="222" t="str">
        <f>EUconst_tCO2pa</f>
        <v>t CO2 / year</v>
      </c>
      <c r="I632" s="223" t="str">
        <f>IF(ISNUMBER(I629),I629+SUM(I630)*EUconst_HeatBMvalue,"")</f>
        <v/>
      </c>
      <c r="J632" s="223" t="str">
        <f>IF(ISNUMBER(J629),J629+SUM(J630)*EUconst_HeatBMvalue,"")</f>
        <v/>
      </c>
      <c r="K632" s="224" t="str">
        <f>IF(ISNUMBER(K629),K629+SUM(K630)*EUconst_HeatBMvalue,"")</f>
        <v/>
      </c>
      <c r="L632" s="223" t="str">
        <f>IF(ISNUMBER(L629),L629+SUM(L630)*EUconst_HeatBMvalue,"")</f>
        <v/>
      </c>
      <c r="M632" s="379" t="str">
        <f>IF(ISNUMBER(M629),M629+SUM(M630)*EUconst_HeatBMvalue,"")</f>
        <v/>
      </c>
      <c r="N632" s="381" t="str">
        <f>IF(AND(S623,ISNUMBER(N629)),N629+SUM(N630)*EUconst_HeatBMvalue,"")</f>
        <v/>
      </c>
      <c r="O632" s="17"/>
      <c r="R632" s="288" t="s">
        <v>403</v>
      </c>
      <c r="S632" s="385" t="str">
        <f>IF(S613,IF(ISNUMBER(I632),I632,0),"")</f>
        <v/>
      </c>
      <c r="T632" s="386" t="str">
        <f>IF(T613,IF(ISNUMBER(J632),J632,0),"")</f>
        <v/>
      </c>
      <c r="U632" s="386" t="str">
        <f>IF(U613,IF(ISNUMBER(K632),K632,0),"")</f>
        <v/>
      </c>
      <c r="V632" s="386" t="str">
        <f>IF(V613,IF(ISNUMBER(L632),L632,0),"")</f>
        <v/>
      </c>
      <c r="W632" s="387" t="str">
        <f>IF(W613,IF(ISNUMBER(M632),M632,0),"")</f>
        <v/>
      </c>
      <c r="X632" s="391" t="str">
        <f>IF(S623,IF(ISNUMBER(N632),N632,0),"")</f>
        <v/>
      </c>
      <c r="Y632" s="285" t="b">
        <f>Y631</f>
        <v>0</v>
      </c>
      <c r="AA632" s="285" t="b">
        <f>AA631</f>
        <v>0</v>
      </c>
    </row>
    <row r="633" spans="2:27" ht="13.8" thickBot="1" x14ac:dyDescent="0.3">
      <c r="B633" s="17"/>
      <c r="C633" s="17"/>
      <c r="D633" s="113" t="s">
        <v>220</v>
      </c>
      <c r="E633" s="1254" t="str">
        <f>Translations!$B$691</f>
        <v>Indirect emissions</v>
      </c>
      <c r="F633" s="1254"/>
      <c r="G633" s="1254"/>
      <c r="H633" s="227" t="str">
        <f>EUconst_tCO2pa</f>
        <v>t CO2 / year</v>
      </c>
      <c r="I633" s="228" t="str">
        <f t="shared" ref="I633:N633" si="12">IF(ISNUMBER(I631),I631*EUconst_ElBM,"")</f>
        <v/>
      </c>
      <c r="J633" s="228" t="str">
        <f t="shared" si="12"/>
        <v/>
      </c>
      <c r="K633" s="229" t="str">
        <f t="shared" si="12"/>
        <v/>
      </c>
      <c r="L633" s="228" t="str">
        <f t="shared" si="12"/>
        <v/>
      </c>
      <c r="M633" s="380" t="str">
        <f t="shared" si="12"/>
        <v/>
      </c>
      <c r="N633" s="382" t="str">
        <f t="shared" si="12"/>
        <v/>
      </c>
      <c r="O633" s="17"/>
      <c r="P633" s="392" t="str">
        <f>EUconst_CNTR_ELEXCH &amp; I613</f>
        <v>ELEXCH_</v>
      </c>
      <c r="Q633" s="393" t="str">
        <f>IF(SUM(S633:X633)&lt;&gt;0,SUM(S632:X632)/SUM(S633:X633),EUconst_NA)</f>
        <v>N.A.</v>
      </c>
      <c r="R633" s="288" t="s">
        <v>323</v>
      </c>
      <c r="S633" s="388" t="str">
        <f>IF(S613,IF(COUNT(I632:I633)&gt;0,SUM(I632:I633),0),"")</f>
        <v/>
      </c>
      <c r="T633" s="389" t="str">
        <f>IF(T613,IF(COUNT(J632:J633)&gt;0,SUM(J632:J633),0),"")</f>
        <v/>
      </c>
      <c r="U633" s="389" t="str">
        <f>IF(U613,IF(COUNT(K632:K633)&gt;0,SUM(K632:K633),0),"")</f>
        <v/>
      </c>
      <c r="V633" s="389" t="str">
        <f>IF(V613,IF(COUNT(L632:L633)&gt;0,SUM(L632:L633),0),"")</f>
        <v/>
      </c>
      <c r="W633" s="390" t="str">
        <f>IF(W613,IF(COUNT(M632:M633)&gt;0,SUM(M632:M633),0),"")</f>
        <v/>
      </c>
      <c r="X633" s="286" t="str">
        <f>IF(S623,IF(COUNT(N632:N633)&gt;0,SUM(N632:N633),0),"")</f>
        <v/>
      </c>
      <c r="Y633" s="286" t="b">
        <f>Y632</f>
        <v>0</v>
      </c>
      <c r="AA633" s="286" t="b">
        <f>AA632</f>
        <v>0</v>
      </c>
    </row>
    <row r="634" spans="2:27" ht="5.0999999999999996" customHeight="1" x14ac:dyDescent="0.25">
      <c r="B634" s="17"/>
      <c r="C634" s="17"/>
      <c r="D634" s="17"/>
      <c r="E634" s="17"/>
      <c r="F634" s="17"/>
      <c r="G634" s="17"/>
      <c r="H634" s="17"/>
      <c r="I634" s="17"/>
      <c r="J634" s="17"/>
      <c r="K634" s="17"/>
      <c r="L634" s="17"/>
      <c r="M634" s="17"/>
      <c r="N634" s="17"/>
      <c r="O634" s="17"/>
    </row>
    <row r="635" spans="2:27" x14ac:dyDescent="0.25">
      <c r="B635" s="17"/>
      <c r="C635" s="17"/>
      <c r="D635" s="15" t="s">
        <v>197</v>
      </c>
      <c r="E635" s="1165" t="str">
        <f>Translations!$B$692</f>
        <v>Heat imported from non-ETS installations or entities:</v>
      </c>
      <c r="F635" s="1165"/>
      <c r="G635" s="1165"/>
      <c r="H635" s="1165"/>
      <c r="I635" s="1425"/>
      <c r="J635" s="1561" t="str">
        <f>IF(I613="","",HYPERLINK(Q635,EUconst_MsgGoOnIfNotRelevant))</f>
        <v/>
      </c>
      <c r="K635" s="1564"/>
      <c r="L635" s="1564"/>
      <c r="M635" s="1564"/>
      <c r="N635" s="1205"/>
      <c r="O635" s="17"/>
      <c r="P635" s="145" t="s">
        <v>334</v>
      </c>
      <c r="Q635" s="372" t="str">
        <f>"#"&amp;ADDRESS(ROW(D642),COLUMN(D642))</f>
        <v>#$D$642</v>
      </c>
    </row>
    <row r="636" spans="2:27" ht="13.5" customHeight="1" thickBot="1" x14ac:dyDescent="0.3">
      <c r="B636" s="17"/>
      <c r="C636" s="17"/>
      <c r="D636" s="17"/>
      <c r="E636" s="1223"/>
      <c r="F636" s="1223"/>
      <c r="G636" s="1223"/>
      <c r="H636" s="1223"/>
      <c r="I636" s="1223"/>
      <c r="J636" s="1223"/>
      <c r="K636" s="1223"/>
      <c r="L636" s="1223"/>
      <c r="M636" s="1223"/>
      <c r="N636" s="1223"/>
      <c r="O636" s="17"/>
      <c r="Y636" s="145" t="s">
        <v>394</v>
      </c>
    </row>
    <row r="637" spans="2:27" ht="13.8" thickBot="1" x14ac:dyDescent="0.3">
      <c r="B637" s="17"/>
      <c r="C637" s="17"/>
      <c r="D637" s="15"/>
      <c r="E637" s="1259" t="str">
        <f>Translations!$B$686</f>
        <v>Parameter</v>
      </c>
      <c r="F637" s="1212"/>
      <c r="G637" s="1212"/>
      <c r="H637" s="23" t="str">
        <f>EUconst_Unit</f>
        <v>Unit</v>
      </c>
      <c r="I637" s="128">
        <f>I$66</f>
        <v>2019</v>
      </c>
      <c r="J637" s="128">
        <f>J$66</f>
        <v>2020</v>
      </c>
      <c r="K637" s="128">
        <f>K$66</f>
        <v>2021</v>
      </c>
      <c r="L637" s="128">
        <f>L$66</f>
        <v>2022</v>
      </c>
      <c r="M637" s="144">
        <f>M$66</f>
        <v>2023</v>
      </c>
      <c r="N637" s="376" t="str">
        <f>N628</f>
        <v/>
      </c>
      <c r="O637" s="17"/>
      <c r="Q637" s="28"/>
      <c r="S637" s="28">
        <f t="shared" ref="S637:X637" si="13">I637</f>
        <v>2019</v>
      </c>
      <c r="T637" s="28">
        <f t="shared" si="13"/>
        <v>2020</v>
      </c>
      <c r="U637" s="28">
        <f t="shared" si="13"/>
        <v>2021</v>
      </c>
      <c r="V637" s="28">
        <f t="shared" si="13"/>
        <v>2022</v>
      </c>
      <c r="W637" s="28">
        <f t="shared" si="13"/>
        <v>2023</v>
      </c>
      <c r="X637" s="145" t="str">
        <f t="shared" si="13"/>
        <v/>
      </c>
      <c r="Y637" s="295" t="b">
        <f>Y618</f>
        <v>0</v>
      </c>
      <c r="Z637" s="28"/>
      <c r="AA637" s="145" t="s">
        <v>396</v>
      </c>
    </row>
    <row r="638" spans="2:27" ht="13.8" thickBot="1" x14ac:dyDescent="0.3">
      <c r="B638" s="17"/>
      <c r="C638" s="17"/>
      <c r="D638" s="113" t="s">
        <v>206</v>
      </c>
      <c r="E638" s="1412" t="str">
        <f>Translations!$B$697</f>
        <v>Measurable heat imported from non-ETS:</v>
      </c>
      <c r="F638" s="1412"/>
      <c r="G638" s="1412"/>
      <c r="H638" s="43" t="str">
        <f>EUconst_TJpa</f>
        <v>TJ / year</v>
      </c>
      <c r="I638" s="293"/>
      <c r="J638" s="293"/>
      <c r="K638" s="293"/>
      <c r="L638" s="293"/>
      <c r="M638" s="931"/>
      <c r="N638" s="397"/>
      <c r="O638" s="17"/>
      <c r="P638" s="63" t="str">
        <f>EUconst_CNTR_HAL&amp;EUconst_CNTR_nonETSMeasHeat</f>
        <v>HAL_non-ETS measurable heat</v>
      </c>
      <c r="S638" s="808" t="str">
        <f>IF(S613,IF(ISNUMBER(I638),I638,0),"")</f>
        <v/>
      </c>
      <c r="T638" s="809" t="str">
        <f>IF(T613,IF(ISNUMBER(J638),J638,0),"")</f>
        <v/>
      </c>
      <c r="U638" s="809" t="str">
        <f>IF(U613,IF(ISNUMBER(K638),K638,0),"")</f>
        <v/>
      </c>
      <c r="V638" s="809" t="str">
        <f>IF(V613,IF(ISNUMBER(L638),L638,0),"")</f>
        <v/>
      </c>
      <c r="W638" s="810" t="str">
        <f>IF(W613,IF(ISNUMBER(M638),M638,0),"")</f>
        <v/>
      </c>
      <c r="X638" s="215" t="str">
        <f>IF(S623,IF(ISNUMBER(N638),N638,0),"")</f>
        <v/>
      </c>
      <c r="Y638" s="286" t="b">
        <f>Y637</f>
        <v>0</v>
      </c>
      <c r="AA638" s="316" t="b">
        <f>AND(CNTR_ExistSubInstEntries,I613="")</f>
        <v>0</v>
      </c>
    </row>
    <row r="639" spans="2:27" ht="25.5" customHeight="1" thickBot="1" x14ac:dyDescent="0.3">
      <c r="B639" s="17"/>
      <c r="C639" s="17"/>
      <c r="D639" s="113" t="s">
        <v>208</v>
      </c>
      <c r="E639" s="1248" t="str">
        <f>Translations!$B$698</f>
        <v>Consistency check with sheet "E_Energy flows":</v>
      </c>
      <c r="F639" s="1248"/>
      <c r="G639" s="1248"/>
      <c r="H639" s="856" t="s">
        <v>354</v>
      </c>
      <c r="I639" s="932" t="str">
        <f>IF(AND(ISNUMBER(I638),ISNUMBER(E_EnergyFlows!I$102)), I638/E_EnergyFlows!I$102*100,"")</f>
        <v/>
      </c>
      <c r="J639" s="932" t="str">
        <f>IF(AND(ISNUMBER(J638),ISNUMBER(E_EnergyFlows!J$102)), J638/E_EnergyFlows!J$102*100,"")</f>
        <v/>
      </c>
      <c r="K639" s="932" t="str">
        <f>IF(AND(ISNUMBER(K638),ISNUMBER(E_EnergyFlows!K$102)), K638/E_EnergyFlows!K$102*100,"")</f>
        <v/>
      </c>
      <c r="L639" s="932" t="str">
        <f>IF(AND(ISNUMBER(L638),ISNUMBER(E_EnergyFlows!L$102)), L638/E_EnergyFlows!L$102*100,"")</f>
        <v/>
      </c>
      <c r="M639" s="933" t="str">
        <f>IF(AND(ISNUMBER(M638),ISNUMBER(E_EnergyFlows!M$102)), M638/E_EnergyFlows!M$102*100,"")</f>
        <v/>
      </c>
      <c r="N639" s="646"/>
      <c r="O639" s="17"/>
      <c r="P639" s="392" t="str">
        <f>EUconst_CNTR_HEAT &amp; I613</f>
        <v>HEAT_</v>
      </c>
      <c r="Q639" s="109" t="str">
        <f>IF(COUNT(S638:X638)&gt;0,AVERAGE(S638:X638)*EUconst_HeatBMvalue,EUconst_NA)</f>
        <v>N.A.</v>
      </c>
      <c r="AA639" s="815"/>
    </row>
    <row r="640" spans="2:27" ht="12.75" customHeight="1" x14ac:dyDescent="0.25">
      <c r="B640" s="17"/>
      <c r="C640" s="17"/>
      <c r="D640" s="113" t="s">
        <v>209</v>
      </c>
      <c r="E640" s="1254" t="str">
        <f>Translations!$B$699</f>
        <v>Consistency check with point (k)(i):</v>
      </c>
      <c r="F640" s="1254"/>
      <c r="G640" s="1254"/>
      <c r="H640" s="860" t="s">
        <v>354</v>
      </c>
      <c r="I640" s="934" t="str">
        <f>IF(AND(I714&gt;0,ISNUMBER(I638)), I638/I714*100,"")</f>
        <v/>
      </c>
      <c r="J640" s="934" t="str">
        <f>IF(AND(J714&gt;0,ISNUMBER(J638)), J638/J714*100,"")</f>
        <v/>
      </c>
      <c r="K640" s="934" t="str">
        <f>IF(AND(K714&gt;0,ISNUMBER(K638)), K638/K714*100,"")</f>
        <v/>
      </c>
      <c r="L640" s="934" t="str">
        <f>IF(AND(L714&gt;0,ISNUMBER(L638)), L638/L714*100,"")</f>
        <v/>
      </c>
      <c r="M640" s="935" t="str">
        <f>IF(AND(M714&gt;0,ISNUMBER(M638)), M638/M714*100,"")</f>
        <v/>
      </c>
      <c r="N640" s="646"/>
      <c r="O640" s="17"/>
      <c r="AA640" s="815"/>
    </row>
    <row r="641" spans="2:27" ht="12.75" customHeight="1" x14ac:dyDescent="0.25">
      <c r="B641" s="17"/>
      <c r="C641" s="17"/>
      <c r="D641" s="17"/>
      <c r="E641" s="17"/>
      <c r="F641" s="17"/>
      <c r="G641" s="17"/>
      <c r="H641" s="17"/>
      <c r="I641" s="31"/>
      <c r="J641" s="17"/>
      <c r="K641" s="17"/>
      <c r="L641" s="17"/>
      <c r="M641" s="17"/>
      <c r="N641" s="17"/>
      <c r="O641" s="17"/>
      <c r="P641" s="44"/>
      <c r="AA641" s="815"/>
    </row>
    <row r="642" spans="2:27" ht="13.8" x14ac:dyDescent="0.25">
      <c r="B642" s="17"/>
      <c r="C642" s="338"/>
      <c r="D642" s="1234" t="str">
        <f>Translations!$B$700</f>
        <v>Production details</v>
      </c>
      <c r="E642" s="1176"/>
      <c r="F642" s="1176"/>
      <c r="G642" s="1176"/>
      <c r="H642" s="1176"/>
      <c r="I642" s="1176"/>
      <c r="J642" s="1176"/>
      <c r="K642" s="1176"/>
      <c r="L642" s="1176"/>
      <c r="M642" s="1176"/>
      <c r="N642" s="1176"/>
      <c r="O642" s="17"/>
      <c r="AA642" s="815"/>
    </row>
    <row r="643" spans="2:27" ht="5.0999999999999996" customHeight="1" x14ac:dyDescent="0.25">
      <c r="B643" s="17"/>
      <c r="C643" s="17"/>
      <c r="D643" s="17"/>
      <c r="E643" s="17"/>
      <c r="F643" s="17"/>
      <c r="G643" s="17"/>
      <c r="H643" s="17"/>
      <c r="I643" s="17"/>
      <c r="J643" s="17"/>
      <c r="K643" s="17"/>
      <c r="L643" s="17"/>
      <c r="M643" s="17"/>
      <c r="N643" s="17"/>
      <c r="O643" s="17"/>
      <c r="AA643" s="815"/>
    </row>
    <row r="644" spans="2:27" x14ac:dyDescent="0.25">
      <c r="B644" s="17"/>
      <c r="C644" s="15"/>
      <c r="D644" s="15" t="s">
        <v>202</v>
      </c>
      <c r="E644" s="1165" t="str">
        <f>Translations!$B$701</f>
        <v>Identification of products included in this product benchmark sub-installation</v>
      </c>
      <c r="F644" s="1176"/>
      <c r="G644" s="1176"/>
      <c r="H644" s="1176"/>
      <c r="I644" s="1176"/>
      <c r="J644" s="1176"/>
      <c r="K644" s="1176"/>
      <c r="L644" s="1176"/>
      <c r="M644" s="1176"/>
      <c r="N644" s="1176"/>
      <c r="O644" s="17"/>
      <c r="AA644" s="815"/>
    </row>
    <row r="645" spans="2:27" ht="13.2" customHeight="1" x14ac:dyDescent="0.25">
      <c r="B645" s="17"/>
      <c r="C645" s="17"/>
      <c r="D645" s="17"/>
      <c r="E645" s="1223" t="s">
        <v>443</v>
      </c>
      <c r="F645" s="1176"/>
      <c r="G645" s="1176"/>
      <c r="H645" s="1176"/>
      <c r="I645" s="1176"/>
      <c r="J645" s="1176"/>
      <c r="K645" s="1176"/>
      <c r="L645" s="1176"/>
      <c r="M645" s="1176"/>
      <c r="N645" s="1176"/>
      <c r="O645" s="17"/>
      <c r="AA645" s="815"/>
    </row>
    <row r="646" spans="2:27" x14ac:dyDescent="0.25">
      <c r="B646" s="17"/>
      <c r="C646" s="17"/>
      <c r="D646" s="17"/>
      <c r="E646" s="1554" t="s">
        <v>408</v>
      </c>
      <c r="F646" s="1555"/>
      <c r="G646" s="1555"/>
      <c r="H646" s="1555"/>
      <c r="I646" s="1555"/>
      <c r="J646" s="1555"/>
      <c r="K646" s="1555"/>
      <c r="L646" s="1555"/>
      <c r="M646" s="1555"/>
      <c r="N646" s="1555"/>
      <c r="O646" s="17"/>
      <c r="AA646" s="815"/>
    </row>
    <row r="647" spans="2:27" ht="5.0999999999999996" customHeight="1" x14ac:dyDescent="0.25">
      <c r="B647" s="17"/>
      <c r="C647" s="17"/>
      <c r="D647" s="17"/>
      <c r="E647" s="17"/>
      <c r="F647" s="17"/>
      <c r="G647" s="17"/>
      <c r="H647" s="17"/>
      <c r="I647" s="17"/>
      <c r="J647" s="17"/>
      <c r="K647" s="17"/>
      <c r="L647" s="17"/>
      <c r="M647" s="17"/>
      <c r="N647" s="17"/>
      <c r="O647" s="17"/>
      <c r="AA647" s="815"/>
    </row>
    <row r="648" spans="2:27" x14ac:dyDescent="0.25">
      <c r="B648" s="17"/>
      <c r="C648" s="15"/>
      <c r="D648" s="15" t="s">
        <v>199</v>
      </c>
      <c r="E648" s="1165" t="str">
        <f>Translations!$B$706</f>
        <v>Individual production levels of products included in this product benchmark sub-installation</v>
      </c>
      <c r="F648" s="1176"/>
      <c r="G648" s="1176"/>
      <c r="H648" s="1176"/>
      <c r="I648" s="1176"/>
      <c r="J648" s="1176"/>
      <c r="K648" s="1176"/>
      <c r="L648" s="1176"/>
      <c r="M648" s="1176"/>
      <c r="N648" s="1176"/>
      <c r="O648" s="17"/>
      <c r="AA648" s="815"/>
    </row>
    <row r="649" spans="2:27" ht="5.0999999999999996" customHeight="1" x14ac:dyDescent="0.25">
      <c r="B649" s="17"/>
      <c r="C649" s="17"/>
      <c r="D649" s="17"/>
      <c r="E649" s="884"/>
      <c r="F649" s="884"/>
      <c r="G649" s="884"/>
      <c r="H649" s="884"/>
      <c r="I649" s="884"/>
      <c r="J649" s="77"/>
      <c r="K649" s="77"/>
      <c r="L649" s="77"/>
      <c r="M649" s="17"/>
      <c r="N649" s="17"/>
      <c r="O649" s="17"/>
      <c r="AA649" s="815"/>
    </row>
    <row r="650" spans="2:27" ht="25.5" customHeight="1" x14ac:dyDescent="0.25">
      <c r="B650" s="17"/>
      <c r="C650" s="17"/>
      <c r="D650" s="26"/>
      <c r="E650" s="129" t="s">
        <v>409</v>
      </c>
      <c r="F650" s="1556" t="str">
        <f>Translations!$B$707</f>
        <v>Name of product or group of products</v>
      </c>
      <c r="G650" s="1557"/>
      <c r="H650" s="461" t="str">
        <f>EUconst_Unit</f>
        <v>Unit</v>
      </c>
      <c r="I650" s="128">
        <f>I$1882</f>
        <v>2019</v>
      </c>
      <c r="J650" s="128">
        <f>J$1882</f>
        <v>2020</v>
      </c>
      <c r="K650" s="128">
        <f>K$1882</f>
        <v>2021</v>
      </c>
      <c r="L650" s="128">
        <f>L$1882</f>
        <v>2022</v>
      </c>
      <c r="M650" s="128">
        <f>M$1882</f>
        <v>2023</v>
      </c>
      <c r="N650" s="17"/>
      <c r="O650" s="17"/>
      <c r="AA650" s="815"/>
    </row>
    <row r="651" spans="2:27" x14ac:dyDescent="0.25">
      <c r="B651" s="17"/>
      <c r="C651" s="17"/>
      <c r="D651" s="222">
        <v>1</v>
      </c>
      <c r="E651" s="602"/>
      <c r="F651" s="1558"/>
      <c r="G651" s="1559"/>
      <c r="H651" s="322"/>
      <c r="I651" s="889"/>
      <c r="J651" s="889"/>
      <c r="K651" s="889"/>
      <c r="L651" s="889"/>
      <c r="M651" s="889"/>
      <c r="N651" s="17"/>
      <c r="O651" s="17"/>
      <c r="AA651" s="285" t="b">
        <f>AA638</f>
        <v>0</v>
      </c>
    </row>
    <row r="652" spans="2:27" x14ac:dyDescent="0.25">
      <c r="B652" s="17"/>
      <c r="C652" s="17"/>
      <c r="D652" s="225">
        <f>D651+1</f>
        <v>2</v>
      </c>
      <c r="E652" s="760"/>
      <c r="F652" s="1542"/>
      <c r="G652" s="1543"/>
      <c r="H652" s="936"/>
      <c r="I652" s="892"/>
      <c r="J652" s="892"/>
      <c r="K652" s="892"/>
      <c r="L652" s="892"/>
      <c r="M652" s="892"/>
      <c r="N652" s="17"/>
      <c r="O652" s="17"/>
      <c r="AA652" s="285" t="b">
        <f>AA651</f>
        <v>0</v>
      </c>
    </row>
    <row r="653" spans="2:27" x14ac:dyDescent="0.25">
      <c r="B653" s="17"/>
      <c r="C653" s="17"/>
      <c r="D653" s="225">
        <f t="shared" ref="D653:D660" si="14">D652+1</f>
        <v>3</v>
      </c>
      <c r="E653" s="760"/>
      <c r="F653" s="1542"/>
      <c r="G653" s="1543"/>
      <c r="H653" s="936"/>
      <c r="I653" s="892"/>
      <c r="J653" s="892"/>
      <c r="K653" s="892"/>
      <c r="L653" s="892"/>
      <c r="M653" s="892"/>
      <c r="N653" s="17"/>
      <c r="O653" s="17"/>
      <c r="AA653" s="285" t="b">
        <f t="shared" ref="AA653:AA661" si="15">AA652</f>
        <v>0</v>
      </c>
    </row>
    <row r="654" spans="2:27" x14ac:dyDescent="0.25">
      <c r="B654" s="17"/>
      <c r="C654" s="17"/>
      <c r="D654" s="225">
        <f t="shared" si="14"/>
        <v>4</v>
      </c>
      <c r="E654" s="760"/>
      <c r="F654" s="1542"/>
      <c r="G654" s="1543"/>
      <c r="H654" s="936"/>
      <c r="I654" s="892"/>
      <c r="J654" s="892"/>
      <c r="K654" s="892"/>
      <c r="L654" s="892"/>
      <c r="M654" s="892"/>
      <c r="N654" s="17"/>
      <c r="O654" s="17"/>
      <c r="AA654" s="285" t="b">
        <f t="shared" si="15"/>
        <v>0</v>
      </c>
    </row>
    <row r="655" spans="2:27" x14ac:dyDescent="0.25">
      <c r="B655" s="17"/>
      <c r="C655" s="17"/>
      <c r="D655" s="225">
        <f t="shared" si="14"/>
        <v>5</v>
      </c>
      <c r="E655" s="760"/>
      <c r="F655" s="1542"/>
      <c r="G655" s="1543"/>
      <c r="H655" s="936"/>
      <c r="I655" s="892"/>
      <c r="J655" s="892"/>
      <c r="K655" s="892"/>
      <c r="L655" s="892"/>
      <c r="M655" s="892"/>
      <c r="N655" s="17"/>
      <c r="O655" s="17"/>
      <c r="AA655" s="285" t="b">
        <f t="shared" si="15"/>
        <v>0</v>
      </c>
    </row>
    <row r="656" spans="2:27" x14ac:dyDescent="0.25">
      <c r="B656" s="17"/>
      <c r="C656" s="17"/>
      <c r="D656" s="225">
        <f t="shared" si="14"/>
        <v>6</v>
      </c>
      <c r="E656" s="760"/>
      <c r="F656" s="1542"/>
      <c r="G656" s="1543"/>
      <c r="H656" s="936"/>
      <c r="I656" s="892"/>
      <c r="J656" s="892"/>
      <c r="K656" s="892"/>
      <c r="L656" s="892"/>
      <c r="M656" s="892"/>
      <c r="N656" s="17"/>
      <c r="O656" s="17"/>
      <c r="AA656" s="285" t="b">
        <f t="shared" si="15"/>
        <v>0</v>
      </c>
    </row>
    <row r="657" spans="2:27" x14ac:dyDescent="0.25">
      <c r="B657" s="17"/>
      <c r="C657" s="17"/>
      <c r="D657" s="225">
        <f t="shared" si="14"/>
        <v>7</v>
      </c>
      <c r="E657" s="760"/>
      <c r="F657" s="1542"/>
      <c r="G657" s="1543"/>
      <c r="H657" s="936"/>
      <c r="I657" s="892"/>
      <c r="J657" s="892"/>
      <c r="K657" s="892"/>
      <c r="L657" s="892"/>
      <c r="M657" s="892"/>
      <c r="N657" s="17"/>
      <c r="O657" s="17"/>
      <c r="AA657" s="285" t="b">
        <f t="shared" si="15"/>
        <v>0</v>
      </c>
    </row>
    <row r="658" spans="2:27" x14ac:dyDescent="0.25">
      <c r="B658" s="17"/>
      <c r="C658" s="17"/>
      <c r="D658" s="225">
        <f t="shared" si="14"/>
        <v>8</v>
      </c>
      <c r="E658" s="760"/>
      <c r="F658" s="1542"/>
      <c r="G658" s="1543"/>
      <c r="H658" s="936"/>
      <c r="I658" s="892"/>
      <c r="J658" s="892"/>
      <c r="K658" s="892"/>
      <c r="L658" s="892"/>
      <c r="M658" s="892"/>
      <c r="N658" s="17"/>
      <c r="O658" s="17"/>
      <c r="AA658" s="285" t="b">
        <f t="shared" si="15"/>
        <v>0</v>
      </c>
    </row>
    <row r="659" spans="2:27" x14ac:dyDescent="0.25">
      <c r="B659" s="17"/>
      <c r="C659" s="17"/>
      <c r="D659" s="225">
        <f t="shared" si="14"/>
        <v>9</v>
      </c>
      <c r="E659" s="760"/>
      <c r="F659" s="1542"/>
      <c r="G659" s="1543"/>
      <c r="H659" s="936"/>
      <c r="I659" s="892"/>
      <c r="J659" s="892"/>
      <c r="K659" s="892"/>
      <c r="L659" s="892"/>
      <c r="M659" s="892"/>
      <c r="N659" s="17"/>
      <c r="O659" s="17"/>
      <c r="AA659" s="285" t="b">
        <f t="shared" si="15"/>
        <v>0</v>
      </c>
    </row>
    <row r="660" spans="2:27" x14ac:dyDescent="0.25">
      <c r="B660" s="17"/>
      <c r="C660" s="17"/>
      <c r="D660" s="227">
        <f t="shared" si="14"/>
        <v>10</v>
      </c>
      <c r="E660" s="761"/>
      <c r="F660" s="1544"/>
      <c r="G660" s="1545"/>
      <c r="H660" s="937"/>
      <c r="I660" s="895"/>
      <c r="J660" s="895"/>
      <c r="K660" s="895"/>
      <c r="L660" s="895"/>
      <c r="M660" s="895"/>
      <c r="N660" s="17"/>
      <c r="O660" s="17"/>
      <c r="AA660" s="285" t="b">
        <f t="shared" si="15"/>
        <v>0</v>
      </c>
    </row>
    <row r="661" spans="2:27" ht="12.75" customHeight="1" thickBot="1" x14ac:dyDescent="0.3">
      <c r="B661" s="17"/>
      <c r="C661" s="17"/>
      <c r="D661" s="262"/>
      <c r="E661" s="1546" t="str">
        <f>Translations!$B$708</f>
        <v>Sum of production levels</v>
      </c>
      <c r="F661" s="1546"/>
      <c r="G661" s="1546"/>
      <c r="H661" s="1067"/>
      <c r="I661" s="841" t="str">
        <f>IF(COUNT(I651:I660)&gt;0,SUM(I651:I660),"")</f>
        <v/>
      </c>
      <c r="J661" s="841" t="str">
        <f>IF(COUNT(J651:J660)&gt;0,SUM(J651:J660),"")</f>
        <v/>
      </c>
      <c r="K661" s="841" t="str">
        <f>IF(COUNT(K651:K660)&gt;0,SUM(K651:K660),"")</f>
        <v/>
      </c>
      <c r="L661" s="841" t="str">
        <f>IF(COUNT(L651:L660)&gt;0,SUM(L651:L660),"")</f>
        <v/>
      </c>
      <c r="M661" s="841" t="str">
        <f>IF(COUNT(M651:M660)&gt;0,SUM(M651:M660),"")</f>
        <v/>
      </c>
      <c r="N661" s="17"/>
      <c r="O661" s="17"/>
      <c r="AA661" s="286" t="b">
        <f t="shared" si="15"/>
        <v>0</v>
      </c>
    </row>
    <row r="662" spans="2:27" ht="12.75" customHeight="1" thickBot="1" x14ac:dyDescent="0.3">
      <c r="B662" s="17"/>
      <c r="C662" s="17"/>
      <c r="D662" s="17"/>
      <c r="E662" s="17"/>
      <c r="F662" s="17"/>
      <c r="G662" s="17"/>
      <c r="H662" s="17"/>
      <c r="I662" s="17"/>
      <c r="J662" s="17"/>
      <c r="K662" s="17"/>
      <c r="L662" s="17"/>
      <c r="M662" s="17"/>
      <c r="N662" s="17"/>
      <c r="O662" s="17"/>
    </row>
    <row r="663" spans="2:27" ht="5.0999999999999996" customHeight="1" x14ac:dyDescent="0.25">
      <c r="B663" s="17"/>
      <c r="C663" s="938"/>
      <c r="D663" s="462"/>
      <c r="E663" s="462"/>
      <c r="F663" s="462"/>
      <c r="G663" s="462"/>
      <c r="H663" s="462"/>
      <c r="I663" s="462"/>
      <c r="J663" s="462"/>
      <c r="K663" s="462"/>
      <c r="L663" s="462"/>
      <c r="M663" s="462"/>
      <c r="N663" s="463"/>
      <c r="O663" s="17"/>
    </row>
    <row r="664" spans="2:27" ht="15" customHeight="1" x14ac:dyDescent="0.25">
      <c r="B664" s="17"/>
      <c r="C664" s="900"/>
      <c r="D664" s="1547" t="s">
        <v>410</v>
      </c>
      <c r="E664" s="1512"/>
      <c r="F664" s="1512"/>
      <c r="G664" s="1512"/>
      <c r="H664" s="1512"/>
      <c r="I664" s="1512"/>
      <c r="J664" s="1512"/>
      <c r="K664" s="1512"/>
      <c r="L664" s="1512"/>
      <c r="M664" s="1512"/>
      <c r="N664" s="1513"/>
      <c r="O664" s="17"/>
    </row>
    <row r="665" spans="2:27" ht="5.0999999999999996" customHeight="1" x14ac:dyDescent="0.25">
      <c r="B665" s="17"/>
      <c r="C665" s="900"/>
      <c r="D665" s="342"/>
      <c r="E665" s="342"/>
      <c r="F665" s="342"/>
      <c r="G665" s="342"/>
      <c r="H665" s="342"/>
      <c r="I665" s="342"/>
      <c r="J665" s="342"/>
      <c r="K665" s="342"/>
      <c r="L665" s="342"/>
      <c r="M665" s="342"/>
      <c r="N665" s="266"/>
      <c r="O665" s="17"/>
    </row>
    <row r="666" spans="2:27" ht="15" customHeight="1" x14ac:dyDescent="0.25">
      <c r="B666" s="17"/>
      <c r="C666" s="900"/>
      <c r="D666" s="1548" t="str">
        <f>EUconst_BMSubinst &amp; ":"</f>
        <v>Sub-installation with product benchmark:</v>
      </c>
      <c r="E666" s="1512"/>
      <c r="F666" s="1512"/>
      <c r="G666" s="1512"/>
      <c r="H666" s="1549"/>
      <c r="I666" s="1550" t="str">
        <f>I613</f>
        <v/>
      </c>
      <c r="J666" s="1509"/>
      <c r="K666" s="1509"/>
      <c r="L666" s="1509"/>
      <c r="M666" s="1509"/>
      <c r="N666" s="1551"/>
      <c r="O666" s="17"/>
    </row>
    <row r="667" spans="2:27" ht="5.0999999999999996" customHeight="1" x14ac:dyDescent="0.25">
      <c r="B667" s="17"/>
      <c r="C667" s="900"/>
      <c r="D667" s="342"/>
      <c r="E667" s="342"/>
      <c r="F667" s="342"/>
      <c r="G667" s="342"/>
      <c r="H667" s="342"/>
      <c r="I667" s="342"/>
      <c r="J667" s="342"/>
      <c r="K667" s="342"/>
      <c r="L667" s="342"/>
      <c r="M667" s="342"/>
      <c r="N667" s="266"/>
      <c r="O667" s="17"/>
    </row>
    <row r="668" spans="2:27" ht="15" customHeight="1" x14ac:dyDescent="0.25">
      <c r="B668" s="17"/>
      <c r="C668" s="900"/>
      <c r="D668" s="342"/>
      <c r="E668" s="1439" t="str">
        <f>Translations!$B$714</f>
        <v>Upon entries made below, the attributable emissions are calculated in section K.III.2 of the summary sheet.</v>
      </c>
      <c r="F668" s="1439"/>
      <c r="G668" s="1439"/>
      <c r="H668" s="1439"/>
      <c r="I668" s="1439"/>
      <c r="J668" s="1439"/>
      <c r="K668" s="1439"/>
      <c r="L668" s="1439"/>
      <c r="M668" s="1439"/>
      <c r="N668" s="277"/>
      <c r="O668" s="17"/>
    </row>
    <row r="669" spans="2:27" ht="5.0999999999999996" customHeight="1" x14ac:dyDescent="0.25">
      <c r="B669" s="17"/>
      <c r="C669" s="900"/>
      <c r="D669" s="342"/>
      <c r="E669" s="342"/>
      <c r="F669" s="342"/>
      <c r="G669" s="342"/>
      <c r="H669" s="342"/>
      <c r="I669" s="342"/>
      <c r="J669" s="342"/>
      <c r="K669" s="342"/>
      <c r="L669" s="342"/>
      <c r="M669" s="342"/>
      <c r="N669" s="266"/>
      <c r="O669" s="17"/>
    </row>
    <row r="670" spans="2:27" ht="12.75" customHeight="1" x14ac:dyDescent="0.25">
      <c r="B670" s="17"/>
      <c r="C670" s="900"/>
      <c r="D670" s="157" t="s">
        <v>212</v>
      </c>
      <c r="E670" s="1511" t="str">
        <f>Translations!$B$715</f>
        <v>Directly attributable emissions (DirEm* (MP source streams)) to this sub-installation</v>
      </c>
      <c r="F670" s="1512"/>
      <c r="G670" s="1512"/>
      <c r="H670" s="1512"/>
      <c r="I670" s="1512"/>
      <c r="J670" s="1512"/>
      <c r="K670" s="1512"/>
      <c r="L670" s="1512"/>
      <c r="M670" s="1512"/>
      <c r="N670" s="1513"/>
      <c r="O670" s="17"/>
    </row>
    <row r="671" spans="2:27" ht="12.75" customHeight="1" thickBot="1" x14ac:dyDescent="0.3">
      <c r="B671" s="17"/>
      <c r="C671" s="900"/>
      <c r="D671" s="342"/>
      <c r="E671" s="1552"/>
      <c r="F671" s="1552"/>
      <c r="G671" s="1552"/>
      <c r="H671" s="1552"/>
      <c r="I671" s="1552"/>
      <c r="J671" s="1552"/>
      <c r="K671" s="1552"/>
      <c r="L671" s="1552"/>
      <c r="M671" s="1552"/>
      <c r="N671" s="1553"/>
      <c r="O671" s="17"/>
    </row>
    <row r="672" spans="2:27" ht="12.75" customHeight="1" x14ac:dyDescent="0.25">
      <c r="B672" s="17"/>
      <c r="C672" s="900"/>
      <c r="D672" s="157"/>
      <c r="E672" s="1522" t="str">
        <f>Translations!$B$725</f>
        <v>Directly attributable emissions (DirEm*)</v>
      </c>
      <c r="F672" s="1523"/>
      <c r="G672" s="1523"/>
      <c r="H672" s="152" t="str">
        <f>EUconst_Unit</f>
        <v>Unit</v>
      </c>
      <c r="I672" s="153">
        <f>I$1882</f>
        <v>2019</v>
      </c>
      <c r="J672" s="153">
        <f>J$1882</f>
        <v>2020</v>
      </c>
      <c r="K672" s="153">
        <f>K$1882</f>
        <v>2021</v>
      </c>
      <c r="L672" s="153">
        <f>L$1882</f>
        <v>2022</v>
      </c>
      <c r="M672" s="153">
        <f>M$1882</f>
        <v>2023</v>
      </c>
      <c r="N672" s="266"/>
      <c r="O672" s="17"/>
      <c r="R672" s="459"/>
      <c r="S672" s="326">
        <f>I672</f>
        <v>2019</v>
      </c>
      <c r="T672" s="326">
        <f>J672</f>
        <v>2020</v>
      </c>
      <c r="U672" s="326">
        <f>K672</f>
        <v>2021</v>
      </c>
      <c r="V672" s="326">
        <f>L672</f>
        <v>2022</v>
      </c>
      <c r="W672" s="327">
        <f>M672</f>
        <v>2023</v>
      </c>
    </row>
    <row r="673" spans="2:27" ht="12.75" customHeight="1" thickBot="1" x14ac:dyDescent="0.3">
      <c r="B673" s="17"/>
      <c r="C673" s="900"/>
      <c r="D673" s="342"/>
      <c r="E673" s="1510" t="str">
        <f>I613</f>
        <v/>
      </c>
      <c r="F673" s="1510"/>
      <c r="G673" s="1510"/>
      <c r="H673" s="154" t="str">
        <f>EUconst_tCO2epa</f>
        <v>t CO2e/year</v>
      </c>
      <c r="I673" s="293"/>
      <c r="J673" s="293"/>
      <c r="K673" s="293"/>
      <c r="L673" s="293"/>
      <c r="M673" s="293"/>
      <c r="N673" s="266"/>
      <c r="O673" s="17"/>
      <c r="P673" s="63" t="str">
        <f>EUconst_CNTR_Emissions &amp; I613</f>
        <v>DirEmissions_</v>
      </c>
      <c r="R673" s="460" t="str">
        <f>EUconst_CNTR_AttributedEmissions &amp; I613</f>
        <v>AttrEmissions_</v>
      </c>
      <c r="S673" s="389" t="str">
        <f>IF(S613,SUM(I673),"")</f>
        <v/>
      </c>
      <c r="T673" s="389" t="str">
        <f>IF(T613,SUM(J673),"")</f>
        <v/>
      </c>
      <c r="U673" s="389" t="str">
        <f>IF(U613,SUM(K673),"")</f>
        <v/>
      </c>
      <c r="V673" s="389" t="str">
        <f>IF(V613,SUM(L673),"")</f>
        <v/>
      </c>
      <c r="W673" s="390" t="str">
        <f>IF(W613,SUM(M673),"")</f>
        <v/>
      </c>
    </row>
    <row r="674" spans="2:27" ht="12.75" customHeight="1" x14ac:dyDescent="0.25">
      <c r="B674" s="17"/>
      <c r="C674" s="900"/>
      <c r="D674" s="342"/>
      <c r="E674" s="342"/>
      <c r="F674" s="342"/>
      <c r="G674" s="342"/>
      <c r="H674" s="342"/>
      <c r="I674" s="342"/>
      <c r="J674" s="342"/>
      <c r="K674" s="342"/>
      <c r="L674" s="342"/>
      <c r="M674" s="342"/>
      <c r="N674" s="266"/>
      <c r="O674" s="17"/>
    </row>
    <row r="675" spans="2:27" ht="12.75" customHeight="1" x14ac:dyDescent="0.25">
      <c r="B675" s="17"/>
      <c r="C675" s="900"/>
      <c r="D675" s="157" t="s">
        <v>218</v>
      </c>
      <c r="E675" s="1529" t="str">
        <f>Translations!$B$726</f>
        <v>Fuel input to this sub-installation and relevant emission factor</v>
      </c>
      <c r="F675" s="1529"/>
      <c r="G675" s="1529"/>
      <c r="H675" s="1529"/>
      <c r="I675" s="1529"/>
      <c r="J675" s="1529"/>
      <c r="K675" s="1529"/>
      <c r="L675" s="1529"/>
      <c r="M675" s="1529"/>
      <c r="N675" s="1534"/>
      <c r="O675" s="17"/>
    </row>
    <row r="676" spans="2:27" ht="12.75" customHeight="1" x14ac:dyDescent="0.25">
      <c r="B676" s="17"/>
      <c r="C676" s="900"/>
      <c r="D676" s="157"/>
      <c r="E676" s="1522"/>
      <c r="F676" s="1523"/>
      <c r="G676" s="1523"/>
      <c r="H676" s="152" t="str">
        <f>EUconst_Unit</f>
        <v>Unit</v>
      </c>
      <c r="I676" s="153">
        <f>I$1882</f>
        <v>2019</v>
      </c>
      <c r="J676" s="153">
        <f>J$1882</f>
        <v>2020</v>
      </c>
      <c r="K676" s="153">
        <f>K$1882</f>
        <v>2021</v>
      </c>
      <c r="L676" s="153">
        <f>L$1882</f>
        <v>2022</v>
      </c>
      <c r="M676" s="153">
        <f>M$1882</f>
        <v>2023</v>
      </c>
      <c r="N676" s="266"/>
      <c r="O676" s="17"/>
    </row>
    <row r="677" spans="2:27" ht="12.75" customHeight="1" x14ac:dyDescent="0.25">
      <c r="B677" s="17"/>
      <c r="C677" s="900"/>
      <c r="D677" s="193" t="s">
        <v>206</v>
      </c>
      <c r="E677" s="1528" t="str">
        <f>Translations!$B$731</f>
        <v>Fuel input</v>
      </c>
      <c r="F677" s="1528"/>
      <c r="G677" s="1528"/>
      <c r="H677" s="154" t="str">
        <f>EUconst_TJpa</f>
        <v>TJ / year</v>
      </c>
      <c r="I677" s="293"/>
      <c r="J677" s="293"/>
      <c r="K677" s="293"/>
      <c r="L677" s="293"/>
      <c r="M677" s="293"/>
      <c r="N677" s="277"/>
      <c r="O677" s="17"/>
      <c r="P677" s="63" t="str">
        <f>EUconst_CNTR_FuelInput &amp; I613</f>
        <v>FuelInput_</v>
      </c>
    </row>
    <row r="678" spans="2:27" ht="12.75" customHeight="1" x14ac:dyDescent="0.25">
      <c r="B678" s="17"/>
      <c r="C678" s="900"/>
      <c r="D678" s="193" t="s">
        <v>208</v>
      </c>
      <c r="E678" s="1523" t="str">
        <f>Translations!$B$732</f>
        <v>Weighted emission factor</v>
      </c>
      <c r="F678" s="1523"/>
      <c r="G678" s="1523"/>
      <c r="H678" s="904" t="str">
        <f>EUconst_tCO2pTJ</f>
        <v>t CO2 / TJ</v>
      </c>
      <c r="I678" s="865"/>
      <c r="J678" s="865"/>
      <c r="K678" s="865"/>
      <c r="L678" s="865"/>
      <c r="M678" s="865"/>
      <c r="N678" s="266"/>
      <c r="O678" s="17"/>
      <c r="P678" s="63" t="str">
        <f>EUconst_CNTR_FuelEF &amp; I613</f>
        <v>FuelEF_</v>
      </c>
    </row>
    <row r="679" spans="2:27" ht="12.75" customHeight="1" x14ac:dyDescent="0.25">
      <c r="B679" s="17"/>
      <c r="C679" s="900"/>
      <c r="D679" s="342"/>
      <c r="E679" s="342"/>
      <c r="F679" s="342"/>
      <c r="G679" s="342"/>
      <c r="H679" s="342"/>
      <c r="I679" s="342"/>
      <c r="J679" s="342"/>
      <c r="K679" s="342"/>
      <c r="L679" s="342"/>
      <c r="M679" s="342"/>
      <c r="N679" s="266"/>
      <c r="O679" s="17"/>
    </row>
    <row r="680" spans="2:27" ht="12.75" customHeight="1" thickBot="1" x14ac:dyDescent="0.3">
      <c r="B680" s="17"/>
      <c r="C680" s="900"/>
      <c r="D680" s="157" t="s">
        <v>225</v>
      </c>
      <c r="E680" s="1529" t="str">
        <f>Translations!$B$733</f>
        <v>Further internal source streams imported to or exported from this sub-installation</v>
      </c>
      <c r="F680" s="1529"/>
      <c r="G680" s="1529"/>
      <c r="H680" s="1529"/>
      <c r="I680" s="1529"/>
      <c r="J680" s="1529"/>
      <c r="K680" s="1529"/>
      <c r="L680" s="1529"/>
      <c r="M680" s="1529"/>
      <c r="N680" s="1534"/>
      <c r="O680" s="17"/>
    </row>
    <row r="681" spans="2:27" ht="12.75" customHeight="1" thickBot="1" x14ac:dyDescent="0.3">
      <c r="B681" s="17"/>
      <c r="C681" s="900"/>
      <c r="D681" s="193" t="s">
        <v>206</v>
      </c>
      <c r="E681" s="1514" t="str">
        <f>Translations!$B$739</f>
        <v>Are further imported or exported internal source streams relevant for this sub-installation?</v>
      </c>
      <c r="F681" s="1514"/>
      <c r="G681" s="1514"/>
      <c r="H681" s="1514"/>
      <c r="I681" s="1514"/>
      <c r="J681" s="1514"/>
      <c r="K681" s="1515"/>
      <c r="L681" s="194"/>
      <c r="M681" s="762"/>
      <c r="N681" s="763"/>
      <c r="O681" s="17"/>
      <c r="W681" s="288" t="s">
        <v>418</v>
      </c>
      <c r="X681" s="215" t="b">
        <f>IF(AND(I613&lt;&gt;"",ISBLANK(L681)),EUconst_Error&amp;"BM"&amp;C613,FALSE)</f>
        <v>0</v>
      </c>
    </row>
    <row r="682" spans="2:27" ht="5.0999999999999996" customHeight="1" thickBot="1" x14ac:dyDescent="0.3">
      <c r="B682" s="17"/>
      <c r="C682" s="900"/>
      <c r="D682" s="342"/>
      <c r="E682" s="1533"/>
      <c r="F682" s="1512"/>
      <c r="G682" s="1512"/>
      <c r="H682" s="1512"/>
      <c r="I682" s="1512"/>
      <c r="J682" s="1512"/>
      <c r="K682" s="1512"/>
      <c r="L682" s="1512"/>
      <c r="M682" s="1512"/>
      <c r="N682" s="1513"/>
      <c r="O682" s="17"/>
      <c r="AA682" s="145" t="s">
        <v>396</v>
      </c>
    </row>
    <row r="683" spans="2:27" ht="12.75" customHeight="1" x14ac:dyDescent="0.25">
      <c r="B683" s="17"/>
      <c r="C683" s="900"/>
      <c r="D683" s="193" t="s">
        <v>208</v>
      </c>
      <c r="E683" s="1529" t="str">
        <f>Translations!$B$741</f>
        <v>Name of further source streams - 1:</v>
      </c>
      <c r="F683" s="1529"/>
      <c r="G683" s="1529"/>
      <c r="H683" s="1529"/>
      <c r="I683" s="1530"/>
      <c r="J683" s="1531"/>
      <c r="K683" s="1531"/>
      <c r="L683" s="1531"/>
      <c r="M683" s="1532"/>
      <c r="N683" s="266"/>
      <c r="O683" s="17"/>
      <c r="AA683" s="316" t="b">
        <f>IF(I613&lt;&gt;"",AND(L681&lt;&gt;"",L681=FALSE),FALSE)</f>
        <v>0</v>
      </c>
    </row>
    <row r="684" spans="2:27" ht="5.0999999999999996" customHeight="1" x14ac:dyDescent="0.25">
      <c r="B684" s="17"/>
      <c r="C684" s="900"/>
      <c r="D684" s="342"/>
      <c r="E684" s="902"/>
      <c r="F684" s="762"/>
      <c r="G684" s="762"/>
      <c r="H684" s="762"/>
      <c r="I684" s="762"/>
      <c r="J684" s="762"/>
      <c r="K684" s="762"/>
      <c r="L684" s="762"/>
      <c r="M684" s="762"/>
      <c r="N684" s="763"/>
      <c r="O684" s="17"/>
      <c r="AA684" s="815"/>
    </row>
    <row r="685" spans="2:27" ht="12.75" customHeight="1" x14ac:dyDescent="0.25">
      <c r="B685" s="17"/>
      <c r="C685" s="900"/>
      <c r="D685" s="342"/>
      <c r="E685" s="1522" t="str">
        <f>Translations!$B$742</f>
        <v>Further source streams - 1</v>
      </c>
      <c r="F685" s="1523"/>
      <c r="G685" s="1523"/>
      <c r="H685" s="152" t="str">
        <f>EUconst_Unit</f>
        <v>Unit</v>
      </c>
      <c r="I685" s="153">
        <f>I$1882</f>
        <v>2019</v>
      </c>
      <c r="J685" s="153">
        <f>J$1882</f>
        <v>2020</v>
      </c>
      <c r="K685" s="153">
        <f>K$1882</f>
        <v>2021</v>
      </c>
      <c r="L685" s="153">
        <f>L$1882</f>
        <v>2022</v>
      </c>
      <c r="M685" s="153">
        <f>M$1882</f>
        <v>2023</v>
      </c>
      <c r="N685" s="266"/>
      <c r="O685" s="17"/>
      <c r="AA685" s="815"/>
    </row>
    <row r="686" spans="2:27" ht="12.75" customHeight="1" x14ac:dyDescent="0.25">
      <c r="B686" s="17"/>
      <c r="C686" s="900"/>
      <c r="D686" s="193" t="s">
        <v>209</v>
      </c>
      <c r="E686" s="1526" t="str">
        <f>Translations!$B$743</f>
        <v>Amount imported or exported</v>
      </c>
      <c r="F686" s="1526"/>
      <c r="G686" s="1526"/>
      <c r="H686" s="939" t="str">
        <f>EUconst_tpa</f>
        <v>t / year</v>
      </c>
      <c r="I686" s="825"/>
      <c r="J686" s="825"/>
      <c r="K686" s="825"/>
      <c r="L686" s="825"/>
      <c r="M686" s="825"/>
      <c r="N686" s="266"/>
      <c r="O686" s="17"/>
      <c r="AA686" s="285" t="b">
        <f>AA683</f>
        <v>0</v>
      </c>
    </row>
    <row r="687" spans="2:27" ht="12.75" customHeight="1" x14ac:dyDescent="0.25">
      <c r="B687" s="17"/>
      <c r="C687" s="900"/>
      <c r="D687" s="193" t="s">
        <v>210</v>
      </c>
      <c r="E687" s="1540" t="str">
        <f>Translations!$B$744</f>
        <v>Net calorific value (NCV), if applicable</v>
      </c>
      <c r="F687" s="1540"/>
      <c r="G687" s="1540"/>
      <c r="H687" s="940" t="str">
        <f>EUconst_GJpt</f>
        <v>GJ / t</v>
      </c>
      <c r="I687" s="296"/>
      <c r="J687" s="296"/>
      <c r="K687" s="296"/>
      <c r="L687" s="296"/>
      <c r="M687" s="296"/>
      <c r="N687" s="266"/>
      <c r="O687" s="17"/>
      <c r="AA687" s="285" t="b">
        <f>AA686</f>
        <v>0</v>
      </c>
    </row>
    <row r="688" spans="2:27" ht="12.75" customHeight="1" thickBot="1" x14ac:dyDescent="0.3">
      <c r="B688" s="17"/>
      <c r="C688" s="900"/>
      <c r="D688" s="193" t="s">
        <v>220</v>
      </c>
      <c r="E688" s="1540" t="str">
        <f>Translations!$B$745</f>
        <v>Carbon content (mass %)</v>
      </c>
      <c r="F688" s="1540"/>
      <c r="G688" s="1540"/>
      <c r="H688" s="941" t="s">
        <v>419</v>
      </c>
      <c r="I688" s="296"/>
      <c r="J688" s="296"/>
      <c r="K688" s="296"/>
      <c r="L688" s="296"/>
      <c r="M688" s="296"/>
      <c r="N688" s="266"/>
      <c r="O688" s="17"/>
      <c r="AA688" s="285" t="b">
        <f>AA687</f>
        <v>0</v>
      </c>
    </row>
    <row r="689" spans="2:27" ht="12.75" customHeight="1" x14ac:dyDescent="0.25">
      <c r="B689" s="17"/>
      <c r="C689" s="900"/>
      <c r="D689" s="193" t="s">
        <v>221</v>
      </c>
      <c r="E689" s="1527" t="str">
        <f>Translations!$B$746</f>
        <v>Biomass content (as fraction of carbon)</v>
      </c>
      <c r="F689" s="1527"/>
      <c r="G689" s="1527"/>
      <c r="H689" s="343" t="s">
        <v>419</v>
      </c>
      <c r="I689" s="826"/>
      <c r="J689" s="826"/>
      <c r="K689" s="826"/>
      <c r="L689" s="826"/>
      <c r="M689" s="826"/>
      <c r="N689" s="266"/>
      <c r="O689" s="17"/>
      <c r="R689" s="459"/>
      <c r="S689" s="326">
        <f>I685</f>
        <v>2019</v>
      </c>
      <c r="T689" s="326">
        <f>J685</f>
        <v>2020</v>
      </c>
      <c r="U689" s="326">
        <f>K685</f>
        <v>2021</v>
      </c>
      <c r="V689" s="326">
        <f>L685</f>
        <v>2022</v>
      </c>
      <c r="W689" s="327">
        <f>M685</f>
        <v>2023</v>
      </c>
      <c r="AA689" s="285" t="b">
        <f>AA688</f>
        <v>0</v>
      </c>
    </row>
    <row r="690" spans="2:27" ht="12.75" customHeight="1" thickBot="1" x14ac:dyDescent="0.3">
      <c r="B690" s="17"/>
      <c r="C690" s="900"/>
      <c r="D690" s="193" t="s">
        <v>222</v>
      </c>
      <c r="E690" s="1526" t="str">
        <f>Translations!$B$747</f>
        <v>Emissions (fossil, calculated)</v>
      </c>
      <c r="F690" s="1526"/>
      <c r="G690" s="1526"/>
      <c r="H690" s="942" t="str">
        <f>EUconst_tCO2pa</f>
        <v>t CO2 / year</v>
      </c>
      <c r="I690" s="943" t="str">
        <f>IF(AND(COUNT(I686:I689)&gt;0,I693=""),3.664*I686*(I688/100)*(1-I689/100),"")</f>
        <v/>
      </c>
      <c r="J690" s="943" t="str">
        <f>IF(AND(COUNT(J686:J689)&gt;0,J693=""),3.664*J686*(J688/100)*(1-J689/100),"")</f>
        <v/>
      </c>
      <c r="K690" s="943" t="str">
        <f>IF(AND(COUNT(K686:K689)&gt;0,K693=""),3.664*K686*(K688/100)*(1-K689/100),"")</f>
        <v/>
      </c>
      <c r="L690" s="943" t="str">
        <f>IF(AND(COUNT(L686:L689)&gt;0,L693=""),3.664*L686*(L688/100)*(1-L689/100),"")</f>
        <v/>
      </c>
      <c r="M690" s="943" t="str">
        <f>IF(AND(COUNT(M686:M689)&gt;0,M693=""),3.664*M686*(M688/100)*(1-M689/100),"")</f>
        <v/>
      </c>
      <c r="N690" s="266"/>
      <c r="O690" s="17"/>
      <c r="P690" s="63" t="str">
        <f>EUconst_CNTR_EmissionsIntSource1 &amp; I613</f>
        <v>EmInternalSource1_</v>
      </c>
      <c r="R690" s="460" t="str">
        <f>EUconst_CNTR_AttributedEmissions &amp; I613</f>
        <v>AttrEmissions_</v>
      </c>
      <c r="S690" s="389" t="str">
        <f>IF(S613,SUM(I690),"")</f>
        <v/>
      </c>
      <c r="T690" s="389" t="str">
        <f>IF(T613,SUM(J690),"")</f>
        <v/>
      </c>
      <c r="U690" s="389" t="str">
        <f>IF(U613,SUM(K690),"")</f>
        <v/>
      </c>
      <c r="V690" s="389" t="str">
        <f>IF(V613,SUM(L690),"")</f>
        <v/>
      </c>
      <c r="W690" s="390" t="str">
        <f>IF(W613,SUM(M690),"")</f>
        <v/>
      </c>
      <c r="AA690" s="815"/>
    </row>
    <row r="691" spans="2:27" ht="12.75" customHeight="1" x14ac:dyDescent="0.25">
      <c r="B691" s="17"/>
      <c r="C691" s="900"/>
      <c r="D691" s="193" t="s">
        <v>223</v>
      </c>
      <c r="E691" s="1540" t="str">
        <f>Translations!$B$748</f>
        <v>Memo-Item: Biomass emissions</v>
      </c>
      <c r="F691" s="1540"/>
      <c r="G691" s="1540"/>
      <c r="H691" s="944" t="str">
        <f>EUconst_tCO2pa</f>
        <v>t CO2 / year</v>
      </c>
      <c r="I691" s="945" t="str">
        <f>IF(ISNUMBER(I690),3.664*I686*(I688/100)*(I689/100),"")</f>
        <v/>
      </c>
      <c r="J691" s="945" t="str">
        <f>IF(ISNUMBER(J690),3.664*J686*(J688/100)*(J689/100),"")</f>
        <v/>
      </c>
      <c r="K691" s="945" t="str">
        <f>IF(ISNUMBER(K690),3.664*K686*(K688/100)*(K689/100),"")</f>
        <v/>
      </c>
      <c r="L691" s="945" t="str">
        <f>IF(ISNUMBER(L690),3.664*L686*(L688/100)*(L689/100),"")</f>
        <v/>
      </c>
      <c r="M691" s="945" t="str">
        <f>IF(ISNUMBER(M690),3.664*M686*(M688/100)*(M689/100),"")</f>
        <v/>
      </c>
      <c r="N691" s="266"/>
      <c r="O691" s="17"/>
      <c r="AA691" s="815"/>
    </row>
    <row r="692" spans="2:27" ht="12.75" customHeight="1" x14ac:dyDescent="0.25">
      <c r="B692" s="17"/>
      <c r="C692" s="900"/>
      <c r="D692" s="193" t="s">
        <v>224</v>
      </c>
      <c r="E692" s="1527" t="str">
        <f>Translations!$B$749</f>
        <v>Energy content (calculated)</v>
      </c>
      <c r="F692" s="1527"/>
      <c r="G692" s="1527"/>
      <c r="H692" s="946" t="str">
        <f>EUconst_TJpa</f>
        <v>TJ / year</v>
      </c>
      <c r="I692" s="841" t="str">
        <f>IF(COUNT(I686:I687)=2,I686*I687/1000,"")</f>
        <v/>
      </c>
      <c r="J692" s="841" t="str">
        <f>IF(COUNT(J686:J687)=2,J686*J687/1000,"")</f>
        <v/>
      </c>
      <c r="K692" s="841" t="str">
        <f>IF(COUNT(K686:K687)=2,K686*K687/1000,"")</f>
        <v/>
      </c>
      <c r="L692" s="841" t="str">
        <f>IF(COUNT(L686:L687)=2,L686*L687/1000,"")</f>
        <v/>
      </c>
      <c r="M692" s="841" t="str">
        <f>IF(COUNT(M686:M687)=2,M686*M687/1000,"")</f>
        <v/>
      </c>
      <c r="N692" s="266"/>
      <c r="O692" s="17"/>
      <c r="AA692" s="815"/>
    </row>
    <row r="693" spans="2:27" ht="12.75" customHeight="1" x14ac:dyDescent="0.25">
      <c r="B693" s="17"/>
      <c r="C693" s="900"/>
      <c r="D693" s="193" t="s">
        <v>345</v>
      </c>
      <c r="E693" s="1541" t="str">
        <f>Translations!$B$750</f>
        <v>Error messages (emissions)</v>
      </c>
      <c r="F693" s="1541"/>
      <c r="G693" s="1541"/>
      <c r="H693" s="947"/>
      <c r="I693" s="267" t="str">
        <f>IF(COUNT(I686,I688:I689)&gt;0,IF(COUNTIF(I687:I689,"&lt;0")&gt;0,EUconst_Negative,IF(COUNT(I686,I688:I689)&lt;3,EUconst_Incomplete,"")),"")</f>
        <v/>
      </c>
      <c r="J693" s="267" t="str">
        <f>IF(COUNT(J686,J688:J689)&gt;0,IF(COUNTIF(J687:J689,"&lt;0")&gt;0,EUconst_Negative,IF(COUNT(J686,J688:J689)&lt;3,EUconst_Incomplete,"")),"")</f>
        <v/>
      </c>
      <c r="K693" s="267" t="str">
        <f>IF(COUNT(K686,K688:K689)&gt;0,IF(COUNTIF(K687:K689,"&lt;0")&gt;0,EUconst_Negative,IF(COUNT(K686,K688:K689)&lt;3,EUconst_Incomplete,"")),"")</f>
        <v/>
      </c>
      <c r="L693" s="267" t="str">
        <f>IF(COUNT(L686,L688:L689)&gt;0,IF(COUNTIF(L687:L689,"&lt;0")&gt;0,EUconst_Negative,IF(COUNT(L686,L688:L689)&lt;3,EUconst_Incomplete,"")),"")</f>
        <v/>
      </c>
      <c r="M693" s="267" t="str">
        <f>IF(COUNT(M686,M688:M689)&gt;0,IF(COUNTIF(M687:M689,"&lt;0")&gt;0,EUconst_Negative,IF(COUNT(M686,M688:M689)&lt;3,EUconst_Incomplete,"")),"")</f>
        <v/>
      </c>
      <c r="N693" s="266"/>
      <c r="O693" s="17"/>
      <c r="AA693" s="815"/>
    </row>
    <row r="694" spans="2:27" ht="12.75" customHeight="1" x14ac:dyDescent="0.25">
      <c r="B694" s="17"/>
      <c r="C694" s="900"/>
      <c r="D694" s="193"/>
      <c r="E694" s="342"/>
      <c r="F694" s="342"/>
      <c r="G694" s="342"/>
      <c r="H694" s="342"/>
      <c r="I694" s="342"/>
      <c r="J694" s="342"/>
      <c r="K694" s="342"/>
      <c r="L694" s="342"/>
      <c r="M694" s="342"/>
      <c r="N694" s="266"/>
      <c r="O694" s="17"/>
      <c r="AA694" s="815"/>
    </row>
    <row r="695" spans="2:27" ht="12.75" customHeight="1" x14ac:dyDescent="0.25">
      <c r="B695" s="17"/>
      <c r="C695" s="900"/>
      <c r="D695" s="193" t="s">
        <v>346</v>
      </c>
      <c r="E695" s="1529" t="str">
        <f>Translations!$B$751</f>
        <v>Name of further source streams - 2:</v>
      </c>
      <c r="F695" s="1529"/>
      <c r="G695" s="1529"/>
      <c r="H695" s="1529"/>
      <c r="I695" s="1530"/>
      <c r="J695" s="1531"/>
      <c r="K695" s="1531"/>
      <c r="L695" s="1531"/>
      <c r="M695" s="1532"/>
      <c r="N695" s="763"/>
      <c r="O695" s="17"/>
      <c r="AA695" s="285" t="b">
        <f>AA683</f>
        <v>0</v>
      </c>
    </row>
    <row r="696" spans="2:27" ht="5.0999999999999996" customHeight="1" x14ac:dyDescent="0.25">
      <c r="B696" s="17"/>
      <c r="C696" s="900"/>
      <c r="D696" s="342"/>
      <c r="E696" s="902"/>
      <c r="F696" s="762"/>
      <c r="G696" s="762"/>
      <c r="H696" s="762"/>
      <c r="I696" s="762"/>
      <c r="J696" s="762"/>
      <c r="K696" s="762"/>
      <c r="L696" s="762"/>
      <c r="M696" s="762"/>
      <c r="N696" s="763"/>
      <c r="O696" s="17"/>
      <c r="AA696" s="815"/>
    </row>
    <row r="697" spans="2:27" ht="12.75" customHeight="1" x14ac:dyDescent="0.25">
      <c r="B697" s="17"/>
      <c r="C697" s="900"/>
      <c r="D697" s="193"/>
      <c r="E697" s="1522" t="str">
        <f>Translations!$B$752</f>
        <v>Further source streams - 2</v>
      </c>
      <c r="F697" s="1523"/>
      <c r="G697" s="1523"/>
      <c r="H697" s="152" t="str">
        <f>EUconst_Unit</f>
        <v>Unit</v>
      </c>
      <c r="I697" s="153">
        <f>I$1882</f>
        <v>2019</v>
      </c>
      <c r="J697" s="153">
        <f>J$1882</f>
        <v>2020</v>
      </c>
      <c r="K697" s="153">
        <f>K$1882</f>
        <v>2021</v>
      </c>
      <c r="L697" s="153">
        <f>L$1882</f>
        <v>2022</v>
      </c>
      <c r="M697" s="153">
        <f>M$1882</f>
        <v>2023</v>
      </c>
      <c r="N697" s="266"/>
      <c r="O697" s="17"/>
      <c r="AA697" s="815"/>
    </row>
    <row r="698" spans="2:27" ht="12.75" customHeight="1" x14ac:dyDescent="0.25">
      <c r="B698" s="17"/>
      <c r="C698" s="900"/>
      <c r="D698" s="193" t="s">
        <v>347</v>
      </c>
      <c r="E698" s="1526" t="str">
        <f>Translations!$B$743</f>
        <v>Amount imported or exported</v>
      </c>
      <c r="F698" s="1526"/>
      <c r="G698" s="1526"/>
      <c r="H698" s="939" t="str">
        <f>EUconst_tpa</f>
        <v>t / year</v>
      </c>
      <c r="I698" s="825"/>
      <c r="J698" s="825"/>
      <c r="K698" s="825"/>
      <c r="L698" s="825"/>
      <c r="M698" s="825"/>
      <c r="N698" s="266"/>
      <c r="O698" s="17"/>
      <c r="AA698" s="285" t="b">
        <f>AA695</f>
        <v>0</v>
      </c>
    </row>
    <row r="699" spans="2:27" ht="12.75" customHeight="1" x14ac:dyDescent="0.25">
      <c r="B699" s="17"/>
      <c r="C699" s="900"/>
      <c r="D699" s="193" t="s">
        <v>355</v>
      </c>
      <c r="E699" s="1540" t="str">
        <f>Translations!$B$744</f>
        <v>Net calorific value (NCV), if applicable</v>
      </c>
      <c r="F699" s="1540"/>
      <c r="G699" s="1540"/>
      <c r="H699" s="940" t="str">
        <f>EUconst_GJpt</f>
        <v>GJ / t</v>
      </c>
      <c r="I699" s="296"/>
      <c r="J699" s="296"/>
      <c r="K699" s="296"/>
      <c r="L699" s="296"/>
      <c r="M699" s="296"/>
      <c r="N699" s="266"/>
      <c r="O699" s="17"/>
      <c r="AA699" s="285" t="b">
        <f>AA698</f>
        <v>0</v>
      </c>
    </row>
    <row r="700" spans="2:27" ht="12.75" customHeight="1" thickBot="1" x14ac:dyDescent="0.3">
      <c r="B700" s="17"/>
      <c r="C700" s="900"/>
      <c r="D700" s="193" t="s">
        <v>356</v>
      </c>
      <c r="E700" s="1540" t="str">
        <f>Translations!$B$745</f>
        <v>Carbon content (mass %)</v>
      </c>
      <c r="F700" s="1540"/>
      <c r="G700" s="1540"/>
      <c r="H700" s="941" t="s">
        <v>419</v>
      </c>
      <c r="I700" s="296"/>
      <c r="J700" s="296"/>
      <c r="K700" s="296"/>
      <c r="L700" s="296"/>
      <c r="M700" s="296"/>
      <c r="N700" s="266"/>
      <c r="O700" s="17"/>
      <c r="AA700" s="285" t="b">
        <f>AA699</f>
        <v>0</v>
      </c>
    </row>
    <row r="701" spans="2:27" ht="12.75" customHeight="1" thickBot="1" x14ac:dyDescent="0.3">
      <c r="B701" s="17"/>
      <c r="C701" s="900"/>
      <c r="D701" s="193" t="s">
        <v>420</v>
      </c>
      <c r="E701" s="1527" t="str">
        <f>Translations!$B$746</f>
        <v>Biomass content (as fraction of carbon)</v>
      </c>
      <c r="F701" s="1527"/>
      <c r="G701" s="1527"/>
      <c r="H701" s="343" t="s">
        <v>419</v>
      </c>
      <c r="I701" s="826"/>
      <c r="J701" s="826"/>
      <c r="K701" s="826"/>
      <c r="L701" s="826"/>
      <c r="M701" s="826"/>
      <c r="N701" s="266"/>
      <c r="O701" s="17"/>
      <c r="R701" s="459"/>
      <c r="S701" s="326">
        <f>I697</f>
        <v>2019</v>
      </c>
      <c r="T701" s="326">
        <f>J697</f>
        <v>2020</v>
      </c>
      <c r="U701" s="326">
        <f>K697</f>
        <v>2021</v>
      </c>
      <c r="V701" s="326">
        <f>L697</f>
        <v>2022</v>
      </c>
      <c r="W701" s="327">
        <f>M697</f>
        <v>2023</v>
      </c>
      <c r="AA701" s="286" t="b">
        <f>AA700</f>
        <v>0</v>
      </c>
    </row>
    <row r="702" spans="2:27" ht="12.75" customHeight="1" thickBot="1" x14ac:dyDescent="0.3">
      <c r="B702" s="17"/>
      <c r="C702" s="900"/>
      <c r="D702" s="193" t="s">
        <v>421</v>
      </c>
      <c r="E702" s="1526" t="str">
        <f>Translations!$B$747</f>
        <v>Emissions (fossil, calculated)</v>
      </c>
      <c r="F702" s="1526"/>
      <c r="G702" s="1526"/>
      <c r="H702" s="942" t="str">
        <f>EUconst_tCO2pa</f>
        <v>t CO2 / year</v>
      </c>
      <c r="I702" s="943" t="str">
        <f>IF(AND(COUNT(I698:I701)&gt;0,I705=""),3.664*I698*(I700/100)*(1-I701/100),"")</f>
        <v/>
      </c>
      <c r="J702" s="943" t="str">
        <f>IF(AND(COUNT(J698:J701)&gt;0,J705=""),3.664*J698*(J700/100)*(1-J701/100),"")</f>
        <v/>
      </c>
      <c r="K702" s="943" t="str">
        <f>IF(AND(COUNT(K698:K701)&gt;0,K705=""),3.664*K698*(K700/100)*(1-K701/100),"")</f>
        <v/>
      </c>
      <c r="L702" s="943" t="str">
        <f>IF(AND(COUNT(L698:L701)&gt;0,L705=""),3.664*L698*(L700/100)*(1-L701/100),"")</f>
        <v/>
      </c>
      <c r="M702" s="943" t="str">
        <f>IF(AND(COUNT(M698:M701)&gt;0,M705=""),3.664*M698*(M700/100)*(1-M701/100),"")</f>
        <v/>
      </c>
      <c r="N702" s="266"/>
      <c r="O702" s="17"/>
      <c r="P702" s="63" t="str">
        <f>EUconst_CNTR_EmissionsIntSource2 &amp; I613</f>
        <v>EmInternalSource2_</v>
      </c>
      <c r="R702" s="460" t="str">
        <f>EUconst_CNTR_AttributedEmissions &amp; I613</f>
        <v>AttrEmissions_</v>
      </c>
      <c r="S702" s="389" t="str">
        <f>IF(S613,SUM(I702),"")</f>
        <v/>
      </c>
      <c r="T702" s="389" t="str">
        <f>IF(T613,SUM(J702),"")</f>
        <v/>
      </c>
      <c r="U702" s="389" t="str">
        <f>IF(U613,SUM(K702),"")</f>
        <v/>
      </c>
      <c r="V702" s="389" t="str">
        <f>IF(V613,SUM(L702),"")</f>
        <v/>
      </c>
      <c r="W702" s="390" t="str">
        <f>IF(W613,SUM(M702),"")</f>
        <v/>
      </c>
    </row>
    <row r="703" spans="2:27" ht="12.75" customHeight="1" x14ac:dyDescent="0.25">
      <c r="B703" s="17"/>
      <c r="C703" s="900"/>
      <c r="D703" s="193" t="s">
        <v>422</v>
      </c>
      <c r="E703" s="1540" t="str">
        <f>Translations!$B$748</f>
        <v>Memo-Item: Biomass emissions</v>
      </c>
      <c r="F703" s="1540"/>
      <c r="G703" s="1540"/>
      <c r="H703" s="944" t="str">
        <f>EUconst_tCO2pa</f>
        <v>t CO2 / year</v>
      </c>
      <c r="I703" s="945" t="str">
        <f>IF(ISNUMBER(I702),3.664*I698*(I700/100)*(I701/100),"")</f>
        <v/>
      </c>
      <c r="J703" s="945" t="str">
        <f>IF(ISNUMBER(J702),3.664*J698*(J700/100)*(J701/100),"")</f>
        <v/>
      </c>
      <c r="K703" s="945" t="str">
        <f>IF(ISNUMBER(K702),3.664*K698*(K700/100)*(K701/100),"")</f>
        <v/>
      </c>
      <c r="L703" s="945" t="str">
        <f>IF(ISNUMBER(L702),3.664*L698*(L700/100)*(L701/100),"")</f>
        <v/>
      </c>
      <c r="M703" s="945" t="str">
        <f>IF(ISNUMBER(M702),3.664*M698*(M700/100)*(M701/100),"")</f>
        <v/>
      </c>
      <c r="N703" s="266"/>
      <c r="O703" s="17"/>
    </row>
    <row r="704" spans="2:27" ht="12.75" customHeight="1" x14ac:dyDescent="0.25">
      <c r="B704" s="17"/>
      <c r="C704" s="900"/>
      <c r="D704" s="193" t="s">
        <v>423</v>
      </c>
      <c r="E704" s="1527" t="str">
        <f>Translations!$B$749</f>
        <v>Energy content (calculated)</v>
      </c>
      <c r="F704" s="1527"/>
      <c r="G704" s="1527"/>
      <c r="H704" s="946" t="str">
        <f>EUconst_TJpa</f>
        <v>TJ / year</v>
      </c>
      <c r="I704" s="841" t="str">
        <f>IF(COUNT(I698:I699)=2,I698*I699/1000,"")</f>
        <v/>
      </c>
      <c r="J704" s="841" t="str">
        <f>IF(COUNT(J698:J699)=2,J698*J699/1000,"")</f>
        <v/>
      </c>
      <c r="K704" s="841" t="str">
        <f>IF(COUNT(K698:K699)=2,K698*K699/1000,"")</f>
        <v/>
      </c>
      <c r="L704" s="841" t="str">
        <f>IF(COUNT(L698:L699)=2,L698*L699/1000,"")</f>
        <v/>
      </c>
      <c r="M704" s="841" t="str">
        <f>IF(COUNT(M698:M699)=2,M698*M699/1000,"")</f>
        <v/>
      </c>
      <c r="N704" s="266"/>
      <c r="O704" s="17"/>
    </row>
    <row r="705" spans="2:24" ht="12.75" customHeight="1" x14ac:dyDescent="0.25">
      <c r="B705" s="17"/>
      <c r="C705" s="900"/>
      <c r="D705" s="193" t="s">
        <v>356</v>
      </c>
      <c r="E705" s="1541" t="str">
        <f>Translations!$B$750</f>
        <v>Error messages (emissions)</v>
      </c>
      <c r="F705" s="1541"/>
      <c r="G705" s="1541"/>
      <c r="H705" s="947"/>
      <c r="I705" s="267" t="str">
        <f>IF(COUNT(I698,I700:I701)&gt;0,IF(COUNTIF(I699:I701,"&lt;0")&gt;0,EUconst_Negative,IF(COUNT(I698,I700:I701)&lt;3,EUconst_Incomplete,"")),"")</f>
        <v/>
      </c>
      <c r="J705" s="267" t="str">
        <f>IF(COUNT(J698,J700:J701)&gt;0,IF(COUNTIF(J699:J701,"&lt;0")&gt;0,EUconst_Negative,IF(COUNT(J698,J700:J701)&lt;3,EUconst_Incomplete,"")),"")</f>
        <v/>
      </c>
      <c r="K705" s="267" t="str">
        <f>IF(COUNT(K698,K700:K701)&gt;0,IF(COUNTIF(K699:K701,"&lt;0")&gt;0,EUconst_Negative,IF(COUNT(K698,K700:K701)&lt;3,EUconst_Incomplete,"")),"")</f>
        <v/>
      </c>
      <c r="L705" s="267" t="str">
        <f>IF(COUNT(L698,L700:L701)&gt;0,IF(COUNTIF(L699:L701,"&lt;0")&gt;0,EUconst_Negative,IF(COUNT(L698,L700:L701)&lt;3,EUconst_Incomplete,"")),"")</f>
        <v/>
      </c>
      <c r="M705" s="267" t="str">
        <f>IF(COUNT(M698,M700:M701)&gt;0,IF(COUNTIF(M699:M701,"&lt;0")&gt;0,EUconst_Negative,IF(COUNT(M698,M700:M701)&lt;3,EUconst_Incomplete,"")),"")</f>
        <v/>
      </c>
      <c r="N705" s="266"/>
      <c r="O705" s="17"/>
    </row>
    <row r="706" spans="2:24" ht="12.75" customHeight="1" x14ac:dyDescent="0.25">
      <c r="B706" s="17"/>
      <c r="C706" s="900"/>
      <c r="D706" s="342"/>
      <c r="E706" s="342"/>
      <c r="F706" s="342"/>
      <c r="G706" s="342"/>
      <c r="H706" s="342"/>
      <c r="I706" s="342"/>
      <c r="J706" s="342"/>
      <c r="K706" s="342"/>
      <c r="L706" s="342"/>
      <c r="M706" s="342"/>
      <c r="N706" s="266"/>
      <c r="O706" s="17"/>
    </row>
    <row r="707" spans="2:24" ht="12.75" customHeight="1" thickBot="1" x14ac:dyDescent="0.3">
      <c r="B707" s="17"/>
      <c r="C707" s="900"/>
      <c r="D707" s="157" t="s">
        <v>339</v>
      </c>
      <c r="E707" s="1511" t="str">
        <f>Translations!$B$753</f>
        <v>Amount of GHG imported or exported as feedstock</v>
      </c>
      <c r="F707" s="1512"/>
      <c r="G707" s="1512"/>
      <c r="H707" s="1512"/>
      <c r="I707" s="1512"/>
      <c r="J707" s="1512"/>
      <c r="K707" s="1512"/>
      <c r="L707" s="1512"/>
      <c r="M707" s="1512"/>
      <c r="N707" s="1513"/>
      <c r="O707" s="17"/>
    </row>
    <row r="708" spans="2:24" ht="12.75" customHeight="1" x14ac:dyDescent="0.25">
      <c r="B708" s="17"/>
      <c r="C708" s="900"/>
      <c r="D708" s="157"/>
      <c r="E708" s="1522"/>
      <c r="F708" s="1523"/>
      <c r="G708" s="1523"/>
      <c r="H708" s="152" t="str">
        <f>EUconst_Unit</f>
        <v>Unit</v>
      </c>
      <c r="I708" s="153">
        <f>I$1882</f>
        <v>2019</v>
      </c>
      <c r="J708" s="153">
        <f>J$1882</f>
        <v>2020</v>
      </c>
      <c r="K708" s="153">
        <f>K$1882</f>
        <v>2021</v>
      </c>
      <c r="L708" s="153">
        <f>L$1882</f>
        <v>2022</v>
      </c>
      <c r="M708" s="153">
        <f>M$1882</f>
        <v>2023</v>
      </c>
      <c r="N708" s="266"/>
      <c r="O708" s="17"/>
      <c r="R708" s="459"/>
      <c r="S708" s="326">
        <f>I708</f>
        <v>2019</v>
      </c>
      <c r="T708" s="326">
        <f>J708</f>
        <v>2020</v>
      </c>
      <c r="U708" s="326">
        <f>K708</f>
        <v>2021</v>
      </c>
      <c r="V708" s="326">
        <f>L708</f>
        <v>2022</v>
      </c>
      <c r="W708" s="327">
        <f>M708</f>
        <v>2023</v>
      </c>
    </row>
    <row r="709" spans="2:24" ht="12.75" customHeight="1" thickBot="1" x14ac:dyDescent="0.3">
      <c r="B709" s="17"/>
      <c r="C709" s="900"/>
      <c r="D709" s="193"/>
      <c r="E709" s="1528" t="str">
        <f>Translations!$B$756</f>
        <v>GHG imported or exported</v>
      </c>
      <c r="F709" s="1528"/>
      <c r="G709" s="1528"/>
      <c r="H709" s="154" t="str">
        <f>EUconst_tCO2epa</f>
        <v>t CO2e/year</v>
      </c>
      <c r="I709" s="311"/>
      <c r="J709" s="311"/>
      <c r="K709" s="311"/>
      <c r="L709" s="311"/>
      <c r="M709" s="311"/>
      <c r="N709" s="903"/>
      <c r="O709" s="17"/>
      <c r="P709" s="63" t="str">
        <f>EUconst_CNTR_CO2Feedstock &amp; I613</f>
        <v>EmCO2Feedstock_</v>
      </c>
      <c r="R709" s="460" t="str">
        <f>EUconst_CNTR_AttributedEmissions &amp; I613</f>
        <v>AttrEmissions_</v>
      </c>
      <c r="S709" s="389" t="str">
        <f>IF(S613,SUM(I709),"")</f>
        <v/>
      </c>
      <c r="T709" s="389" t="str">
        <f>IF(T613,SUM(J709),"")</f>
        <v/>
      </c>
      <c r="U709" s="389" t="str">
        <f>IF(U613,SUM(K709),"")</f>
        <v/>
      </c>
      <c r="V709" s="389" t="str">
        <f>IF(V613,SUM(L709),"")</f>
        <v/>
      </c>
      <c r="W709" s="390" t="str">
        <f>IF(W613,SUM(M709),"")</f>
        <v/>
      </c>
    </row>
    <row r="710" spans="2:24" ht="12.75" customHeight="1" x14ac:dyDescent="0.25">
      <c r="B710" s="17"/>
      <c r="C710" s="900"/>
      <c r="D710" s="342"/>
      <c r="E710" s="342"/>
      <c r="F710" s="342"/>
      <c r="G710" s="342"/>
      <c r="H710" s="342"/>
      <c r="I710" s="342"/>
      <c r="J710" s="342"/>
      <c r="K710" s="342"/>
      <c r="L710" s="342"/>
      <c r="M710" s="342"/>
      <c r="N710" s="266"/>
      <c r="O710" s="17"/>
    </row>
    <row r="711" spans="2:24" ht="12.75" customHeight="1" x14ac:dyDescent="0.25">
      <c r="B711" s="17"/>
      <c r="C711" s="900"/>
      <c r="D711" s="157" t="s">
        <v>357</v>
      </c>
      <c r="E711" s="1511" t="str">
        <f>Translations!$B$757</f>
        <v>Measurable heat import to and export from this sub-installation</v>
      </c>
      <c r="F711" s="1512"/>
      <c r="G711" s="1512"/>
      <c r="H711" s="1512"/>
      <c r="I711" s="1512"/>
      <c r="J711" s="1512"/>
      <c r="K711" s="1512"/>
      <c r="L711" s="1512"/>
      <c r="M711" s="1512"/>
      <c r="N711" s="1513"/>
      <c r="O711" s="17"/>
    </row>
    <row r="712" spans="2:24" ht="12.75" customHeight="1" thickBot="1" x14ac:dyDescent="0.3">
      <c r="B712" s="17"/>
      <c r="C712" s="900"/>
      <c r="D712" s="342"/>
      <c r="E712" s="1477" t="str">
        <f>Translations!$B$762</f>
        <v>For attributing emissions from cogeneration (CHP) to production of heat, the "CHP tool" in section D.III. of this template has to be used.</v>
      </c>
      <c r="F712" s="1477"/>
      <c r="G712" s="1477"/>
      <c r="H712" s="1477"/>
      <c r="I712" s="1477"/>
      <c r="J712" s="1477"/>
      <c r="K712" s="1477"/>
      <c r="L712" s="1477"/>
      <c r="M712" s="1477"/>
      <c r="N712" s="903"/>
      <c r="O712" s="17"/>
    </row>
    <row r="713" spans="2:24" ht="12.75" customHeight="1" x14ac:dyDescent="0.25">
      <c r="B713" s="17"/>
      <c r="C713" s="900"/>
      <c r="D713" s="342"/>
      <c r="E713" s="1522" t="str">
        <f>Translations!$B$763</f>
        <v>Total heat imported</v>
      </c>
      <c r="F713" s="1523"/>
      <c r="G713" s="1523"/>
      <c r="H713" s="152" t="str">
        <f>EUconst_Unit</f>
        <v>Unit</v>
      </c>
      <c r="I713" s="153">
        <f>I$1882</f>
        <v>2019</v>
      </c>
      <c r="J713" s="153">
        <f>J$1882</f>
        <v>2020</v>
      </c>
      <c r="K713" s="153">
        <f>K$1882</f>
        <v>2021</v>
      </c>
      <c r="L713" s="153">
        <f>L$1882</f>
        <v>2022</v>
      </c>
      <c r="M713" s="153">
        <f>M$1882</f>
        <v>2023</v>
      </c>
      <c r="N713" s="903"/>
      <c r="O713" s="17"/>
      <c r="R713" s="459"/>
      <c r="S713" s="326">
        <f>I713</f>
        <v>2019</v>
      </c>
      <c r="T713" s="326">
        <f>J713</f>
        <v>2020</v>
      </c>
      <c r="U713" s="326">
        <f>K713</f>
        <v>2021</v>
      </c>
      <c r="V713" s="326">
        <f>L713</f>
        <v>2022</v>
      </c>
      <c r="W713" s="327">
        <f>M713</f>
        <v>2023</v>
      </c>
    </row>
    <row r="714" spans="2:24" ht="12.75" customHeight="1" x14ac:dyDescent="0.25">
      <c r="B714" s="17"/>
      <c r="C714" s="900"/>
      <c r="D714" s="193" t="s">
        <v>206</v>
      </c>
      <c r="E714" s="1528" t="str">
        <f>Translations!$B$764</f>
        <v>Net heat imported</v>
      </c>
      <c r="F714" s="1528"/>
      <c r="G714" s="1528"/>
      <c r="H714" s="154" t="str">
        <f>EUconst_TJpa</f>
        <v>TJ / year</v>
      </c>
      <c r="I714" s="311"/>
      <c r="J714" s="311"/>
      <c r="K714" s="311"/>
      <c r="L714" s="311"/>
      <c r="M714" s="311"/>
      <c r="N714" s="277"/>
      <c r="O714" s="17"/>
      <c r="P714" s="63" t="str">
        <f>EUconst_CNTR_HeatImport &amp; I613</f>
        <v>HeatIm_</v>
      </c>
      <c r="R714" s="464" t="str">
        <f>EUconst_ERR_AttrEmBMapplied &amp; I613</f>
        <v>ERR_AttrEmBM_</v>
      </c>
      <c r="S714" s="63">
        <f>IF(AND(I714&lt;&gt;0,I715="",EUconst_StatusOfDataCollection=FALSE),1,0)</f>
        <v>0</v>
      </c>
      <c r="T714" s="63">
        <f>IF(AND(J714&lt;&gt;0,J715="",EUconst_StatusOfDataCollection=FALSE),1,0)</f>
        <v>0</v>
      </c>
      <c r="U714" s="63">
        <f>IF(AND(K714&lt;&gt;0,K715="",EUconst_StatusOfDataCollection=FALSE),1,0)</f>
        <v>0</v>
      </c>
      <c r="V714" s="63">
        <f>IF(AND(L714&lt;&gt;0,L715="",EUconst_StatusOfDataCollection=FALSE),1,0)</f>
        <v>0</v>
      </c>
      <c r="W714" s="803">
        <f>IF(AND(M714&lt;&gt;0,M715="",EUconst_StatusOfDataCollection=FALSE),1,0)</f>
        <v>0</v>
      </c>
      <c r="X714" s="28"/>
    </row>
    <row r="715" spans="2:24" ht="12.75" customHeight="1" thickBot="1" x14ac:dyDescent="0.3">
      <c r="B715" s="17"/>
      <c r="C715" s="900"/>
      <c r="D715" s="193" t="s">
        <v>208</v>
      </c>
      <c r="E715" s="1528" t="str">
        <f>Translations!$B$765</f>
        <v>Specific EF (imported heat)</v>
      </c>
      <c r="F715" s="1528"/>
      <c r="G715" s="1528"/>
      <c r="H715" s="154" t="str">
        <f>EUconst_tCO2pTJ</f>
        <v>t CO2 / TJ</v>
      </c>
      <c r="I715" s="1065"/>
      <c r="J715" s="1065"/>
      <c r="K715" s="1065"/>
      <c r="L715" s="1065"/>
      <c r="M715" s="1065"/>
      <c r="N715" s="266"/>
      <c r="O715" s="17"/>
      <c r="P715" s="63" t="str">
        <f>EUconst_CNTR_HeatImportEF &amp; I613</f>
        <v>HeatImEF_</v>
      </c>
      <c r="R715" s="460" t="str">
        <f>EUconst_CNTR_AttributedEmissions &amp; I613</f>
        <v>AttrEmissions_</v>
      </c>
      <c r="S715" s="389" t="str">
        <f>IF(S613,SUM(I714)*IF(ISNUMBER(I715),I715,EUconst_HeatBMvalueForBM),"")</f>
        <v/>
      </c>
      <c r="T715" s="389" t="str">
        <f>IF(T613,SUM(J714)*IF(ISNUMBER(J715),J715,EUconst_HeatBMvalueForBM),"")</f>
        <v/>
      </c>
      <c r="U715" s="389" t="str">
        <f>IF(U613,SUM(K714)*IF(ISNUMBER(K715),K715,EUconst_HeatBMvalueForBM),"")</f>
        <v/>
      </c>
      <c r="V715" s="389" t="str">
        <f>IF(V613,SUM(L714)*IF(ISNUMBER(L715),L715,EUconst_HeatBMvalueForBM),"")</f>
        <v/>
      </c>
      <c r="W715" s="390" t="str">
        <f>IF(W613,SUM(M714)*IF(ISNUMBER(M715),M715,EUconst_HeatBMvalueForBM),"")</f>
        <v/>
      </c>
    </row>
    <row r="716" spans="2:24" ht="5.0999999999999996" customHeight="1" x14ac:dyDescent="0.25">
      <c r="B716" s="17"/>
      <c r="C716" s="900"/>
      <c r="D716" s="342"/>
      <c r="E716" s="342"/>
      <c r="F716" s="342"/>
      <c r="G716" s="342"/>
      <c r="H716" s="342"/>
      <c r="I716" s="342"/>
      <c r="J716" s="342"/>
      <c r="K716" s="342"/>
      <c r="L716" s="342"/>
      <c r="M716" s="342"/>
      <c r="N716" s="266"/>
      <c r="O716" s="17"/>
    </row>
    <row r="717" spans="2:24" ht="12.75" customHeight="1" x14ac:dyDescent="0.25">
      <c r="B717" s="17"/>
      <c r="C717" s="900"/>
      <c r="D717" s="342"/>
      <c r="E717" s="1522" t="str">
        <f>Translations!$B$766</f>
        <v>Special heat import</v>
      </c>
      <c r="F717" s="1522"/>
      <c r="G717" s="1522"/>
      <c r="H717" s="152" t="str">
        <f>EUconst_Unit</f>
        <v>Unit</v>
      </c>
      <c r="I717" s="153">
        <f>I$1882</f>
        <v>2019</v>
      </c>
      <c r="J717" s="153">
        <f>J$1882</f>
        <v>2020</v>
      </c>
      <c r="K717" s="153">
        <f>K$1882</f>
        <v>2021</v>
      </c>
      <c r="L717" s="153">
        <f>L$1882</f>
        <v>2022</v>
      </c>
      <c r="M717" s="153">
        <f>M$1882</f>
        <v>2023</v>
      </c>
      <c r="N717" s="903"/>
      <c r="O717" s="17"/>
    </row>
    <row r="718" spans="2:24" ht="12.75" customHeight="1" x14ac:dyDescent="0.25">
      <c r="B718" s="17"/>
      <c r="C718" s="900"/>
      <c r="D718" s="193" t="s">
        <v>209</v>
      </c>
      <c r="E718" s="1528" t="str">
        <f>Translations!$B$820</f>
        <v>Net heat imported from pulp</v>
      </c>
      <c r="F718" s="1528"/>
      <c r="G718" s="1528"/>
      <c r="H718" s="154" t="str">
        <f>EUconst_TJpa</f>
        <v>TJ / year</v>
      </c>
      <c r="I718" s="948"/>
      <c r="J718" s="948"/>
      <c r="K718" s="948"/>
      <c r="L718" s="948"/>
      <c r="M718" s="948"/>
      <c r="N718" s="277"/>
      <c r="O718" s="17"/>
      <c r="P718" s="63" t="str">
        <f>EUconst_CNTR_HeatImportPulp &amp; I613</f>
        <v>HeatImPulp_</v>
      </c>
    </row>
    <row r="719" spans="2:24" ht="12.75" customHeight="1" x14ac:dyDescent="0.25">
      <c r="B719" s="17"/>
      <c r="C719" s="900"/>
      <c r="D719" s="193" t="s">
        <v>210</v>
      </c>
      <c r="E719" s="1528" t="str">
        <f>Translations!$B$768</f>
        <v>Net heat imported from nitric acid sub-installation</v>
      </c>
      <c r="F719" s="1528"/>
      <c r="G719" s="1528"/>
      <c r="H719" s="154" t="str">
        <f>EUconst_TJpa</f>
        <v>TJ / year</v>
      </c>
      <c r="I719" s="311"/>
      <c r="J719" s="311"/>
      <c r="K719" s="311"/>
      <c r="L719" s="311"/>
      <c r="M719" s="311"/>
      <c r="N719" s="277"/>
      <c r="O719" s="17"/>
      <c r="P719" s="63" t="str">
        <f>EUconst_CNTR_HeatImportNitric &amp; I613</f>
        <v>HeatImNitric_</v>
      </c>
    </row>
    <row r="720" spans="2:24" ht="5.0999999999999996" customHeight="1" thickBot="1" x14ac:dyDescent="0.3">
      <c r="B720" s="17"/>
      <c r="C720" s="900"/>
      <c r="D720" s="342"/>
      <c r="E720" s="342"/>
      <c r="F720" s="342"/>
      <c r="G720" s="342"/>
      <c r="H720" s="342"/>
      <c r="I720" s="342"/>
      <c r="J720" s="342"/>
      <c r="K720" s="342"/>
      <c r="L720" s="342"/>
      <c r="M720" s="342"/>
      <c r="N720" s="266"/>
      <c r="O720" s="17"/>
    </row>
    <row r="721" spans="2:27" ht="12.75" customHeight="1" x14ac:dyDescent="0.25">
      <c r="B721" s="17"/>
      <c r="C721" s="900"/>
      <c r="D721" s="342"/>
      <c r="E721" s="1522" t="str">
        <f>Translations!$B$769</f>
        <v>Total heat exported</v>
      </c>
      <c r="F721" s="1522"/>
      <c r="G721" s="1522"/>
      <c r="H721" s="152" t="str">
        <f>EUconst_Unit</f>
        <v>Unit</v>
      </c>
      <c r="I721" s="153">
        <f>I$1882</f>
        <v>2019</v>
      </c>
      <c r="J721" s="153">
        <f>J$1882</f>
        <v>2020</v>
      </c>
      <c r="K721" s="153">
        <f>K$1882</f>
        <v>2021</v>
      </c>
      <c r="L721" s="153">
        <f>L$1882</f>
        <v>2022</v>
      </c>
      <c r="M721" s="153">
        <f>M$1882</f>
        <v>2023</v>
      </c>
      <c r="N721" s="903"/>
      <c r="O721" s="17"/>
      <c r="R721" s="459"/>
      <c r="S721" s="326">
        <f>I721</f>
        <v>2019</v>
      </c>
      <c r="T721" s="326">
        <f>J721</f>
        <v>2020</v>
      </c>
      <c r="U721" s="326">
        <f>K721</f>
        <v>2021</v>
      </c>
      <c r="V721" s="326">
        <f>L721</f>
        <v>2022</v>
      </c>
      <c r="W721" s="327">
        <f>M721</f>
        <v>2023</v>
      </c>
    </row>
    <row r="722" spans="2:27" ht="12.75" customHeight="1" x14ac:dyDescent="0.25">
      <c r="B722" s="17"/>
      <c r="C722" s="900"/>
      <c r="D722" s="193" t="s">
        <v>220</v>
      </c>
      <c r="E722" s="1528" t="str">
        <f>Translations!$B$770</f>
        <v>Net heat exported</v>
      </c>
      <c r="F722" s="1528"/>
      <c r="G722" s="1528"/>
      <c r="H722" s="154" t="str">
        <f>EUconst_TJpa</f>
        <v>TJ / year</v>
      </c>
      <c r="I722" s="311"/>
      <c r="J722" s="311"/>
      <c r="K722" s="311"/>
      <c r="L722" s="311"/>
      <c r="M722" s="311"/>
      <c r="N722" s="277"/>
      <c r="O722" s="17"/>
      <c r="P722" s="63" t="str">
        <f>EUconst_CNTR_HeatExport &amp; I613</f>
        <v>HeatEx_</v>
      </c>
      <c r="R722" s="464" t="str">
        <f>EUconst_ERR_AttrEmBMapplied &amp; I613</f>
        <v>ERR_AttrEmBM_</v>
      </c>
      <c r="S722" s="63">
        <f>IF(AND(I722&lt;&gt;0,I723="",EUconst_StatusOfDataCollection=FALSE),1,0)</f>
        <v>0</v>
      </c>
      <c r="T722" s="63">
        <f>IF(AND(J722&lt;&gt;0,J723="",EUconst_StatusOfDataCollection=FALSE),1,0)</f>
        <v>0</v>
      </c>
      <c r="U722" s="63">
        <f>IF(AND(K722&lt;&gt;0,K723="",EUconst_StatusOfDataCollection=FALSE),1,0)</f>
        <v>0</v>
      </c>
      <c r="V722" s="63">
        <f>IF(AND(L722&lt;&gt;0,L723="",EUconst_StatusOfDataCollection=FALSE),1,0)</f>
        <v>0</v>
      </c>
      <c r="W722" s="803">
        <f>IF(AND(M722&lt;&gt;0,M723="",EUconst_StatusOfDataCollection=FALSE),1,0)</f>
        <v>0</v>
      </c>
    </row>
    <row r="723" spans="2:27" ht="12.75" customHeight="1" thickBot="1" x14ac:dyDescent="0.3">
      <c r="B723" s="17"/>
      <c r="C723" s="900"/>
      <c r="D723" s="193" t="s">
        <v>221</v>
      </c>
      <c r="E723" s="1528" t="str">
        <f>Translations!$B$771</f>
        <v>Specific EF (exported heat)</v>
      </c>
      <c r="F723" s="1528"/>
      <c r="G723" s="1528"/>
      <c r="H723" s="154" t="str">
        <f>EUconst_tCO2pTJ</f>
        <v>t CO2 / TJ</v>
      </c>
      <c r="I723" s="1065"/>
      <c r="J723" s="1065"/>
      <c r="K723" s="1065"/>
      <c r="L723" s="1065"/>
      <c r="M723" s="1065"/>
      <c r="N723" s="266"/>
      <c r="O723" s="17"/>
      <c r="P723" s="63" t="str">
        <f>EUconst_CNTR_HeatExportEF &amp; I613</f>
        <v>HeatExEF_</v>
      </c>
      <c r="R723" s="460" t="str">
        <f>EUconst_CNTR_AttributedEmissions &amp; I613</f>
        <v>AttrEmissions_</v>
      </c>
      <c r="S723" s="389" t="str">
        <f>IF(S613,-SUM(I722)*IF(INDEX(EUconst_BMlistNumberOfBM,MATCH($I613,EUconst_BMlistNames,0))=39,0,IF(ISNUMBER(I723),I723,EUconst_HeatBMvalueForBM)),"")</f>
        <v/>
      </c>
      <c r="T723" s="389" t="str">
        <f>IF(T613,-SUM(J722)*IF(INDEX(EUconst_BMlistNumberOfBM,MATCH($I613,EUconst_BMlistNames,0))=39,0,IF(ISNUMBER(J723),J723,EUconst_HeatBMvalueForBM)),"")</f>
        <v/>
      </c>
      <c r="U723" s="389" t="str">
        <f>IF(U613,-SUM(K722)*IF(INDEX(EUconst_BMlistNumberOfBM,MATCH($I613,EUconst_BMlistNames,0))=39,0,IF(ISNUMBER(K723),K723,EUconst_HeatBMvalueForBM)),"")</f>
        <v/>
      </c>
      <c r="V723" s="389" t="str">
        <f>IF(V613,-SUM(L722)*IF(INDEX(EUconst_BMlistNumberOfBM,MATCH($I613,EUconst_BMlistNames,0))=39,0,IF(ISNUMBER(L723),L723,EUconst_HeatBMvalueForBM)),"")</f>
        <v/>
      </c>
      <c r="W723" s="390" t="str">
        <f>IF(W613,-SUM(M722)*IF(INDEX(EUconst_BMlistNumberOfBM,MATCH($I613,EUconst_BMlistNames,0))=39,0,IF(ISNUMBER(M723),M723,EUconst_HeatBMvalueForBM)),"")</f>
        <v/>
      </c>
    </row>
    <row r="724" spans="2:27" ht="12.75" customHeight="1" x14ac:dyDescent="0.25">
      <c r="B724" s="17"/>
      <c r="C724" s="900"/>
      <c r="D724" s="342"/>
      <c r="E724" s="342"/>
      <c r="F724" s="342"/>
      <c r="G724" s="342"/>
      <c r="H724" s="342"/>
      <c r="I724" s="342"/>
      <c r="J724" s="342"/>
      <c r="K724" s="342"/>
      <c r="L724" s="342"/>
      <c r="M724" s="342"/>
      <c r="N724" s="266"/>
      <c r="O724" s="17"/>
    </row>
    <row r="725" spans="2:27" ht="12.75" customHeight="1" x14ac:dyDescent="0.25">
      <c r="B725" s="17"/>
      <c r="C725" s="900"/>
      <c r="D725" s="157" t="s">
        <v>358</v>
      </c>
      <c r="E725" s="1511" t="str">
        <f>Translations!$B$772</f>
        <v>Waste gas balance for this sub-installation</v>
      </c>
      <c r="F725" s="1512"/>
      <c r="G725" s="1512"/>
      <c r="H725" s="1512"/>
      <c r="I725" s="1512"/>
      <c r="J725" s="1512"/>
      <c r="K725" s="1512"/>
      <c r="L725" s="1512"/>
      <c r="M725" s="1512"/>
      <c r="N725" s="1513"/>
      <c r="O725" s="17"/>
    </row>
    <row r="726" spans="2:27" ht="5.0999999999999996" customHeight="1" thickBot="1" x14ac:dyDescent="0.3">
      <c r="B726" s="17"/>
      <c r="C726" s="900"/>
      <c r="D726" s="342"/>
      <c r="E726" s="1533"/>
      <c r="F726" s="1533"/>
      <c r="G726" s="1533"/>
      <c r="H726" s="1533"/>
      <c r="I726" s="1533"/>
      <c r="J726" s="1533"/>
      <c r="K726" s="1533"/>
      <c r="L726" s="1533"/>
      <c r="M726" s="1533"/>
      <c r="N726" s="1537"/>
      <c r="O726" s="17"/>
    </row>
    <row r="727" spans="2:27" ht="12.75" customHeight="1" thickBot="1" x14ac:dyDescent="0.3">
      <c r="B727" s="17"/>
      <c r="C727" s="900"/>
      <c r="D727" s="193" t="s">
        <v>206</v>
      </c>
      <c r="E727" s="1538" t="str">
        <f>Translations!$B$773</f>
        <v>Are waste gases relevant for this sub-installation?</v>
      </c>
      <c r="F727" s="1538"/>
      <c r="G727" s="1538"/>
      <c r="H727" s="1538"/>
      <c r="I727" s="1538"/>
      <c r="J727" s="1538"/>
      <c r="K727" s="1539"/>
      <c r="L727" s="194"/>
      <c r="M727" s="762"/>
      <c r="N727" s="763"/>
      <c r="O727" s="17"/>
      <c r="W727" s="288" t="s">
        <v>418</v>
      </c>
      <c r="X727" s="215" t="b">
        <f>IF(AND(I613&lt;&gt;"",ISBLANK(L727)),EUconst_Error&amp;"BM"&amp;C613,FALSE)</f>
        <v>0</v>
      </c>
    </row>
    <row r="728" spans="2:27" ht="5.0999999999999996" customHeight="1" thickBot="1" x14ac:dyDescent="0.3">
      <c r="B728" s="17"/>
      <c r="C728" s="900"/>
      <c r="D728" s="342"/>
      <c r="E728" s="1533"/>
      <c r="F728" s="1512"/>
      <c r="G728" s="1512"/>
      <c r="H728" s="1512"/>
      <c r="I728" s="1512"/>
      <c r="J728" s="1512"/>
      <c r="K728" s="1512"/>
      <c r="L728" s="1512"/>
      <c r="M728" s="1512"/>
      <c r="N728" s="1513"/>
      <c r="O728" s="17"/>
      <c r="AA728" s="145" t="s">
        <v>396</v>
      </c>
    </row>
    <row r="729" spans="2:27" ht="12.75" customHeight="1" x14ac:dyDescent="0.25">
      <c r="B729" s="17"/>
      <c r="C729" s="900"/>
      <c r="D729" s="193" t="s">
        <v>208</v>
      </c>
      <c r="E729" s="1529" t="str">
        <f>Translations!$B$775</f>
        <v>Types of waste gases produced:</v>
      </c>
      <c r="F729" s="1529"/>
      <c r="G729" s="1529"/>
      <c r="H729" s="1529"/>
      <c r="I729" s="1530"/>
      <c r="J729" s="1531"/>
      <c r="K729" s="1531"/>
      <c r="L729" s="1531"/>
      <c r="M729" s="1532"/>
      <c r="N729" s="763"/>
      <c r="O729" s="17"/>
      <c r="AA729" s="316" t="b">
        <f>IF(I613&lt;&gt;"",AND(L727&lt;&gt;"",L727=FALSE),FALSE)</f>
        <v>0</v>
      </c>
    </row>
    <row r="730" spans="2:27" ht="5.0999999999999996" customHeight="1" x14ac:dyDescent="0.25">
      <c r="B730" s="17"/>
      <c r="C730" s="900"/>
      <c r="D730" s="342"/>
      <c r="E730" s="1533"/>
      <c r="F730" s="1512"/>
      <c r="G730" s="1512"/>
      <c r="H730" s="1512"/>
      <c r="I730" s="1512"/>
      <c r="J730" s="1512"/>
      <c r="K730" s="1512"/>
      <c r="L730" s="1512"/>
      <c r="M730" s="1512"/>
      <c r="N730" s="1513"/>
      <c r="O730" s="17"/>
      <c r="AA730" s="815"/>
    </row>
    <row r="731" spans="2:27" ht="12.75" customHeight="1" x14ac:dyDescent="0.25">
      <c r="B731" s="17"/>
      <c r="C731" s="900"/>
      <c r="D731" s="342"/>
      <c r="E731" s="1522"/>
      <c r="F731" s="1523"/>
      <c r="G731" s="1523"/>
      <c r="H731" s="152" t="str">
        <f>EUconst_Unit</f>
        <v>Unit</v>
      </c>
      <c r="I731" s="153">
        <f>I$1882</f>
        <v>2019</v>
      </c>
      <c r="J731" s="153">
        <f>J$1882</f>
        <v>2020</v>
      </c>
      <c r="K731" s="153">
        <f>K$1882</f>
        <v>2021</v>
      </c>
      <c r="L731" s="153">
        <f>L$1882</f>
        <v>2022</v>
      </c>
      <c r="M731" s="153">
        <f>M$1882</f>
        <v>2023</v>
      </c>
      <c r="N731" s="903"/>
      <c r="O731" s="17"/>
      <c r="AA731" s="815"/>
    </row>
    <row r="732" spans="2:27" ht="12.75" customHeight="1" x14ac:dyDescent="0.25">
      <c r="B732" s="17"/>
      <c r="C732" s="900"/>
      <c r="D732" s="193" t="s">
        <v>209</v>
      </c>
      <c r="E732" s="1526" t="str">
        <f>Translations!$B$777</f>
        <v>Amounts produced</v>
      </c>
      <c r="F732" s="1526"/>
      <c r="G732" s="1526"/>
      <c r="H732" s="949" t="s">
        <v>427</v>
      </c>
      <c r="I732" s="889"/>
      <c r="J732" s="889"/>
      <c r="K732" s="889"/>
      <c r="L732" s="889"/>
      <c r="M732" s="889"/>
      <c r="N732" s="903"/>
      <c r="O732" s="17"/>
      <c r="AA732" s="285" t="b">
        <f>AA729</f>
        <v>0</v>
      </c>
    </row>
    <row r="733" spans="2:27" ht="12.75" customHeight="1" x14ac:dyDescent="0.25">
      <c r="B733" s="17"/>
      <c r="C733" s="900"/>
      <c r="D733" s="193" t="s">
        <v>210</v>
      </c>
      <c r="E733" s="1527" t="str">
        <f>Translations!$B$470</f>
        <v>Net calorific value</v>
      </c>
      <c r="F733" s="1527"/>
      <c r="G733" s="1527"/>
      <c r="H733" s="950" t="str">
        <f>IF(ISBLANK(H732),EUconst_GJperUnit,INDEX(EUconst_GJperTorKNm3,MATCH(H732,EUconst_TonnesOrkNm3pa,0)))</f>
        <v>GJ/1000Nm3</v>
      </c>
      <c r="I733" s="895"/>
      <c r="J733" s="895"/>
      <c r="K733" s="895"/>
      <c r="L733" s="895"/>
      <c r="M733" s="895"/>
      <c r="N733" s="903"/>
      <c r="O733" s="17"/>
      <c r="AA733" s="285" t="b">
        <f>AA732</f>
        <v>0</v>
      </c>
    </row>
    <row r="734" spans="2:27" ht="12.75" customHeight="1" x14ac:dyDescent="0.25">
      <c r="B734" s="17"/>
      <c r="C734" s="900"/>
      <c r="D734" s="193" t="s">
        <v>220</v>
      </c>
      <c r="E734" s="1528" t="str">
        <f>Translations!$B$778</f>
        <v>Waste gas produced</v>
      </c>
      <c r="F734" s="1528"/>
      <c r="G734" s="1528"/>
      <c r="H734" s="154" t="str">
        <f>EUconst_TJpa</f>
        <v>TJ / year</v>
      </c>
      <c r="I734" s="951" t="str">
        <f>IF(COUNT(I732:I733)=2,I732*I733/1000,"")</f>
        <v/>
      </c>
      <c r="J734" s="951" t="str">
        <f>IF(COUNT(J732:J733)=2,J732*J733/1000,"")</f>
        <v/>
      </c>
      <c r="K734" s="951" t="str">
        <f>IF(COUNT(K732:K733)=2,K732*K733/1000,"")</f>
        <v/>
      </c>
      <c r="L734" s="951" t="str">
        <f>IF(COUNT(L732:L733)=2,L732*L733/1000,"")</f>
        <v/>
      </c>
      <c r="M734" s="951" t="str">
        <f>IF(COUNT(M732:M733)=2,M732*M733/1000,"")</f>
        <v/>
      </c>
      <c r="N734" s="903"/>
      <c r="O734" s="17"/>
      <c r="P734" s="63" t="str">
        <f>EUconst_CNTR_WGProduced &amp; I613</f>
        <v>WasteGasProd_</v>
      </c>
      <c r="AA734" s="815"/>
    </row>
    <row r="735" spans="2:27" ht="12.75" customHeight="1" x14ac:dyDescent="0.25">
      <c r="B735" s="17"/>
      <c r="C735" s="900"/>
      <c r="D735" s="193" t="s">
        <v>221</v>
      </c>
      <c r="E735" s="1528" t="str">
        <f>Translations!$B$779</f>
        <v>Specific EF (produced waste gas)</v>
      </c>
      <c r="F735" s="1528"/>
      <c r="G735" s="1528"/>
      <c r="H735" s="154" t="str">
        <f>EUconst_tCO2pTJ</f>
        <v>t CO2 / TJ</v>
      </c>
      <c r="I735" s="311"/>
      <c r="J735" s="311"/>
      <c r="K735" s="311"/>
      <c r="L735" s="311"/>
      <c r="M735" s="311"/>
      <c r="N735" s="266"/>
      <c r="O735" s="17"/>
      <c r="P735" s="63" t="str">
        <f>EUconst_CNTR_WGProducedEF &amp; I613</f>
        <v>WasteGasProdEF_</v>
      </c>
      <c r="AA735" s="285" t="b">
        <f>AA733</f>
        <v>0</v>
      </c>
    </row>
    <row r="736" spans="2:27" ht="12.75" customHeight="1" x14ac:dyDescent="0.25">
      <c r="B736" s="17"/>
      <c r="C736" s="900"/>
      <c r="D736" s="342"/>
      <c r="E736" s="342"/>
      <c r="F736" s="342"/>
      <c r="G736" s="342"/>
      <c r="H736" s="342"/>
      <c r="I736" s="342"/>
      <c r="J736" s="342"/>
      <c r="K736" s="342"/>
      <c r="L736" s="342"/>
      <c r="M736" s="342"/>
      <c r="N736" s="266"/>
      <c r="O736" s="17"/>
      <c r="AA736" s="815"/>
    </row>
    <row r="737" spans="2:27" ht="12.75" customHeight="1" x14ac:dyDescent="0.25">
      <c r="B737" s="17"/>
      <c r="C737" s="900"/>
      <c r="D737" s="193" t="s">
        <v>222</v>
      </c>
      <c r="E737" s="1529" t="str">
        <f>Translations!$B$780</f>
        <v>Types of waste gases consumed:</v>
      </c>
      <c r="F737" s="1529"/>
      <c r="G737" s="1529"/>
      <c r="H737" s="1529"/>
      <c r="I737" s="1530"/>
      <c r="J737" s="1531"/>
      <c r="K737" s="1531"/>
      <c r="L737" s="1531"/>
      <c r="M737" s="1532"/>
      <c r="N737" s="763"/>
      <c r="O737" s="17"/>
      <c r="AA737" s="285" t="b">
        <f>AA735</f>
        <v>0</v>
      </c>
    </row>
    <row r="738" spans="2:27" ht="5.0999999999999996" customHeight="1" x14ac:dyDescent="0.25">
      <c r="B738" s="17"/>
      <c r="C738" s="900"/>
      <c r="D738" s="193"/>
      <c r="E738" s="1533"/>
      <c r="F738" s="1512"/>
      <c r="G738" s="1512"/>
      <c r="H738" s="1512"/>
      <c r="I738" s="1512"/>
      <c r="J738" s="1512"/>
      <c r="K738" s="1512"/>
      <c r="L738" s="1512"/>
      <c r="M738" s="1512"/>
      <c r="N738" s="1513"/>
      <c r="O738" s="17"/>
      <c r="AA738" s="815"/>
    </row>
    <row r="739" spans="2:27" ht="12.75" customHeight="1" x14ac:dyDescent="0.25">
      <c r="B739" s="17"/>
      <c r="C739" s="900"/>
      <c r="D739" s="342"/>
      <c r="E739" s="1522"/>
      <c r="F739" s="1523"/>
      <c r="G739" s="1523"/>
      <c r="H739" s="152" t="str">
        <f>EUconst_Unit</f>
        <v>Unit</v>
      </c>
      <c r="I739" s="153">
        <f>I$1882</f>
        <v>2019</v>
      </c>
      <c r="J739" s="153">
        <f>J$1882</f>
        <v>2020</v>
      </c>
      <c r="K739" s="153">
        <f>K$1882</f>
        <v>2021</v>
      </c>
      <c r="L739" s="153">
        <f>L$1882</f>
        <v>2022</v>
      </c>
      <c r="M739" s="153">
        <f>M$1882</f>
        <v>2023</v>
      </c>
      <c r="N739" s="903"/>
      <c r="O739" s="17"/>
      <c r="AA739" s="815"/>
    </row>
    <row r="740" spans="2:27" ht="12.75" customHeight="1" x14ac:dyDescent="0.25">
      <c r="B740" s="17"/>
      <c r="C740" s="900"/>
      <c r="D740" s="193" t="s">
        <v>223</v>
      </c>
      <c r="E740" s="1526" t="str">
        <f>Translations!$B$782</f>
        <v>Amounts consumed</v>
      </c>
      <c r="F740" s="1526"/>
      <c r="G740" s="1526"/>
      <c r="H740" s="949" t="s">
        <v>427</v>
      </c>
      <c r="I740" s="889"/>
      <c r="J740" s="889"/>
      <c r="K740" s="889"/>
      <c r="L740" s="889"/>
      <c r="M740" s="889"/>
      <c r="N740" s="903"/>
      <c r="O740" s="17"/>
      <c r="AA740" s="285" t="b">
        <f>AA737</f>
        <v>0</v>
      </c>
    </row>
    <row r="741" spans="2:27" ht="12.75" customHeight="1" x14ac:dyDescent="0.25">
      <c r="B741" s="17"/>
      <c r="C741" s="900"/>
      <c r="D741" s="193" t="s">
        <v>224</v>
      </c>
      <c r="E741" s="1527" t="str">
        <f>Translations!$B$470</f>
        <v>Net calorific value</v>
      </c>
      <c r="F741" s="1527"/>
      <c r="G741" s="1527"/>
      <c r="H741" s="950" t="str">
        <f>IF(ISBLANK(H740),EUconst_GJperUnit,INDEX(EUconst_GJperTorKNm3,MATCH(H740,EUconst_TonnesOrkNm3pa,0)))</f>
        <v>GJ/1000Nm3</v>
      </c>
      <c r="I741" s="895"/>
      <c r="J741" s="895"/>
      <c r="K741" s="895"/>
      <c r="L741" s="895"/>
      <c r="M741" s="895"/>
      <c r="N741" s="903"/>
      <c r="O741" s="17"/>
      <c r="AA741" s="285" t="b">
        <f>AA740</f>
        <v>0</v>
      </c>
    </row>
    <row r="742" spans="2:27" ht="12.75" customHeight="1" x14ac:dyDescent="0.25">
      <c r="B742" s="17"/>
      <c r="C742" s="900"/>
      <c r="D742" s="193" t="s">
        <v>345</v>
      </c>
      <c r="E742" s="1528" t="str">
        <f>Translations!$B$783</f>
        <v>Waste gas consumed</v>
      </c>
      <c r="F742" s="1528"/>
      <c r="G742" s="1528"/>
      <c r="H742" s="154" t="str">
        <f>EUconst_TJpa</f>
        <v>TJ / year</v>
      </c>
      <c r="I742" s="951" t="str">
        <f>IF(COUNT(I740:I741)=2,I740*I741/1000,"")</f>
        <v/>
      </c>
      <c r="J742" s="951" t="str">
        <f>IF(COUNT(J740:J741)=2,J740*J741/1000,"")</f>
        <v/>
      </c>
      <c r="K742" s="951" t="str">
        <f>IF(COUNT(K740:K741)=2,K740*K741/1000,"")</f>
        <v/>
      </c>
      <c r="L742" s="951" t="str">
        <f>IF(COUNT(L740:L741)=2,L740*L741/1000,"")</f>
        <v/>
      </c>
      <c r="M742" s="951" t="str">
        <f>IF(COUNT(M740:M741)=2,M740*M741/1000,"")</f>
        <v/>
      </c>
      <c r="N742" s="903"/>
      <c r="O742" s="17"/>
      <c r="P742" s="63" t="str">
        <f>EUconst_CNTR_WGConsumed &amp; I613</f>
        <v>WasteGasCons_</v>
      </c>
      <c r="AA742" s="815"/>
    </row>
    <row r="743" spans="2:27" ht="12.75" customHeight="1" x14ac:dyDescent="0.25">
      <c r="B743" s="17"/>
      <c r="C743" s="900"/>
      <c r="D743" s="193" t="s">
        <v>346</v>
      </c>
      <c r="E743" s="1528" t="str">
        <f>Translations!$B$784</f>
        <v>Specific EF (consumed waste gas)</v>
      </c>
      <c r="F743" s="1528"/>
      <c r="G743" s="1528"/>
      <c r="H743" s="154" t="str">
        <f>EUconst_tCO2pTJ</f>
        <v>t CO2 / TJ</v>
      </c>
      <c r="I743" s="311"/>
      <c r="J743" s="311"/>
      <c r="K743" s="311"/>
      <c r="L743" s="311"/>
      <c r="M743" s="311"/>
      <c r="N743" s="266"/>
      <c r="O743" s="17"/>
      <c r="P743" s="63" t="str">
        <f>EUconst_CNTR_WGConsumedEF &amp; I613</f>
        <v>WasteGasConsEF_</v>
      </c>
      <c r="AA743" s="285" t="b">
        <f>AA741</f>
        <v>0</v>
      </c>
    </row>
    <row r="744" spans="2:27" ht="12.75" customHeight="1" x14ac:dyDescent="0.25">
      <c r="B744" s="17"/>
      <c r="C744" s="900"/>
      <c r="D744" s="342"/>
      <c r="E744" s="342"/>
      <c r="F744" s="342"/>
      <c r="G744" s="342"/>
      <c r="H744" s="342"/>
      <c r="I744" s="342"/>
      <c r="J744" s="342"/>
      <c r="K744" s="342"/>
      <c r="L744" s="342"/>
      <c r="M744" s="342"/>
      <c r="N744" s="266"/>
      <c r="O744" s="17"/>
      <c r="AA744" s="815"/>
    </row>
    <row r="745" spans="2:27" ht="12.75" customHeight="1" x14ac:dyDescent="0.25">
      <c r="B745" s="17"/>
      <c r="C745" s="900"/>
      <c r="D745" s="193" t="s">
        <v>347</v>
      </c>
      <c r="E745" s="1529" t="str">
        <f>Translations!$B$785</f>
        <v>Types of waste gases flared:</v>
      </c>
      <c r="F745" s="1529"/>
      <c r="G745" s="1529"/>
      <c r="H745" s="1529"/>
      <c r="I745" s="1530"/>
      <c r="J745" s="1531"/>
      <c r="K745" s="1531"/>
      <c r="L745" s="1531"/>
      <c r="M745" s="1532"/>
      <c r="N745" s="763"/>
      <c r="O745" s="17"/>
      <c r="AA745" s="285" t="b">
        <f>AA735</f>
        <v>0</v>
      </c>
    </row>
    <row r="746" spans="2:27" ht="5.0999999999999996" customHeight="1" x14ac:dyDescent="0.25">
      <c r="B746" s="17"/>
      <c r="C746" s="900"/>
      <c r="D746" s="193"/>
      <c r="E746" s="1533"/>
      <c r="F746" s="1512"/>
      <c r="G746" s="1512"/>
      <c r="H746" s="1512"/>
      <c r="I746" s="1512"/>
      <c r="J746" s="1512"/>
      <c r="K746" s="1512"/>
      <c r="L746" s="1512"/>
      <c r="M746" s="1512"/>
      <c r="N746" s="1513"/>
      <c r="O746" s="17"/>
      <c r="AA746" s="815"/>
    </row>
    <row r="747" spans="2:27" ht="12.75" customHeight="1" x14ac:dyDescent="0.25">
      <c r="B747" s="17"/>
      <c r="C747" s="900"/>
      <c r="D747" s="342"/>
      <c r="E747" s="1522"/>
      <c r="F747" s="1523"/>
      <c r="G747" s="1523"/>
      <c r="H747" s="152" t="str">
        <f>EUconst_Unit</f>
        <v>Unit</v>
      </c>
      <c r="I747" s="153">
        <f>I$1882</f>
        <v>2019</v>
      </c>
      <c r="J747" s="153">
        <f>J$1882</f>
        <v>2020</v>
      </c>
      <c r="K747" s="153">
        <f>K$1882</f>
        <v>2021</v>
      </c>
      <c r="L747" s="153">
        <f>L$1882</f>
        <v>2022</v>
      </c>
      <c r="M747" s="153">
        <f>M$1882</f>
        <v>2023</v>
      </c>
      <c r="N747" s="903"/>
      <c r="O747" s="17"/>
      <c r="AA747" s="815"/>
    </row>
    <row r="748" spans="2:27" ht="12.75" customHeight="1" thickBot="1" x14ac:dyDescent="0.3">
      <c r="B748" s="17"/>
      <c r="C748" s="900"/>
      <c r="D748" s="193" t="s">
        <v>355</v>
      </c>
      <c r="E748" s="1526" t="str">
        <f>Translations!$B$789</f>
        <v>Amounts flared</v>
      </c>
      <c r="F748" s="1526"/>
      <c r="G748" s="1526"/>
      <c r="H748" s="949" t="s">
        <v>427</v>
      </c>
      <c r="I748" s="889"/>
      <c r="J748" s="889"/>
      <c r="K748" s="889"/>
      <c r="L748" s="889"/>
      <c r="M748" s="889"/>
      <c r="N748" s="903"/>
      <c r="O748" s="17"/>
      <c r="R748" s="145" t="s">
        <v>428</v>
      </c>
      <c r="AA748" s="285" t="b">
        <f>AA745</f>
        <v>0</v>
      </c>
    </row>
    <row r="749" spans="2:27" ht="12.75" customHeight="1" thickBot="1" x14ac:dyDescent="0.3">
      <c r="B749" s="17"/>
      <c r="C749" s="900"/>
      <c r="D749" s="193" t="s">
        <v>356</v>
      </c>
      <c r="E749" s="1527" t="str">
        <f>Translations!$B$470</f>
        <v>Net calorific value</v>
      </c>
      <c r="F749" s="1527"/>
      <c r="G749" s="1527"/>
      <c r="H749" s="950" t="str">
        <f>IF(ISBLANK(H748),EUconst_GJperUnit,INDEX(EUconst_GJperTorKNm3,MATCH(H748,EUconst_TonnesOrkNm3pa,0)))</f>
        <v>GJ/1000Nm3</v>
      </c>
      <c r="I749" s="895"/>
      <c r="J749" s="895"/>
      <c r="K749" s="895"/>
      <c r="L749" s="895"/>
      <c r="M749" s="895"/>
      <c r="N749" s="903"/>
      <c r="O749" s="17"/>
      <c r="R749" s="283" t="s">
        <v>399</v>
      </c>
      <c r="S749" s="280">
        <f>I747</f>
        <v>2019</v>
      </c>
      <c r="T749" s="281">
        <f>J747</f>
        <v>2020</v>
      </c>
      <c r="U749" s="281">
        <f>K747</f>
        <v>2021</v>
      </c>
      <c r="V749" s="281">
        <f>L747</f>
        <v>2022</v>
      </c>
      <c r="W749" s="282">
        <f>M747</f>
        <v>2023</v>
      </c>
      <c r="AA749" s="285" t="b">
        <f>AA748</f>
        <v>0</v>
      </c>
    </row>
    <row r="750" spans="2:27" ht="12.75" customHeight="1" thickBot="1" x14ac:dyDescent="0.3">
      <c r="B750" s="17"/>
      <c r="C750" s="900"/>
      <c r="D750" s="193" t="s">
        <v>420</v>
      </c>
      <c r="E750" s="1528" t="str">
        <f>Translations!$B$790</f>
        <v>Waste gas flared</v>
      </c>
      <c r="F750" s="1528"/>
      <c r="G750" s="1528"/>
      <c r="H750" s="154" t="str">
        <f>EUconst_TJpa</f>
        <v>TJ / year</v>
      </c>
      <c r="I750" s="951" t="str">
        <f>IF(COUNT(I748:I749)=2,I748*I749/1000,"")</f>
        <v/>
      </c>
      <c r="J750" s="951" t="str">
        <f>IF(COUNT(J748:J749)=2,J748*J749/1000,"")</f>
        <v/>
      </c>
      <c r="K750" s="951" t="str">
        <f>IF(COUNT(K748:K749)=2,K748*K749/1000,"")</f>
        <v/>
      </c>
      <c r="L750" s="951" t="str">
        <f>IF(COUNT(L748:L749)=2,L748*L749/1000,"")</f>
        <v/>
      </c>
      <c r="M750" s="951" t="str">
        <f>IF(COUNT(M748:M749)=2,M748*M749/1000,"")</f>
        <v/>
      </c>
      <c r="N750" s="903"/>
      <c r="O750" s="17"/>
      <c r="P750" s="63" t="str">
        <f>EUconst_CNTR_WGFlared &amp; I613</f>
        <v>WasteGasFlare_</v>
      </c>
      <c r="R750" s="918" t="str">
        <f>IF(COUNT(S750:W750)&gt;0,AVERAGE(S750:W750),"")</f>
        <v/>
      </c>
      <c r="S750" s="808" t="str">
        <f>IF(S613,IF(ISNUMBER(I750),I750,0),"")</f>
        <v/>
      </c>
      <c r="T750" s="809" t="str">
        <f>IF(T613,IF(ISNUMBER(J750),J750,0),"")</f>
        <v/>
      </c>
      <c r="U750" s="809" t="str">
        <f>IF(U613,IF(ISNUMBER(K750),K750,0),"")</f>
        <v/>
      </c>
      <c r="V750" s="809" t="str">
        <f>IF(V613,IF(ISNUMBER(L750),L750,0),"")</f>
        <v/>
      </c>
      <c r="W750" s="810" t="str">
        <f>IF(W613,IF(ISNUMBER(M750),M750,0),"")</f>
        <v/>
      </c>
      <c r="AA750" s="815"/>
    </row>
    <row r="751" spans="2:27" ht="12.75" customHeight="1" thickBot="1" x14ac:dyDescent="0.3">
      <c r="B751" s="17"/>
      <c r="C751" s="900"/>
      <c r="D751" s="193" t="s">
        <v>421</v>
      </c>
      <c r="E751" s="1528" t="str">
        <f>Translations!$B$791</f>
        <v>Specific EF (flared waste gas)</v>
      </c>
      <c r="F751" s="1528"/>
      <c r="G751" s="1528"/>
      <c r="H751" s="154" t="str">
        <f>EUconst_tCO2pTJ</f>
        <v>t CO2 / TJ</v>
      </c>
      <c r="I751" s="311"/>
      <c r="J751" s="311"/>
      <c r="K751" s="311"/>
      <c r="L751" s="311"/>
      <c r="M751" s="311"/>
      <c r="N751" s="266"/>
      <c r="O751" s="17"/>
      <c r="P751" s="63" t="str">
        <f>EUconst_CNTR_WGFlaredEF &amp; I613</f>
        <v>WasteGasFlareEF_</v>
      </c>
      <c r="R751" s="952" t="str">
        <f>IF(COUNT(S751:W751)&gt;0,AVERAGE(S751:W751),"")</f>
        <v/>
      </c>
      <c r="S751" s="808" t="str">
        <f>IF(S613,SUM(I750)*SUM(I751),"")</f>
        <v/>
      </c>
      <c r="T751" s="809" t="str">
        <f>IF(T613,SUM(J750)*SUM(J751),"")</f>
        <v/>
      </c>
      <c r="U751" s="809" t="str">
        <f>IF(U613,SUM(K750)*SUM(K751),"")</f>
        <v/>
      </c>
      <c r="V751" s="809" t="str">
        <f>IF(V613,SUM(L750)*SUM(L751),"")</f>
        <v/>
      </c>
      <c r="W751" s="810" t="str">
        <f>IF(W613,SUM(M750)*SUM(M751),"")</f>
        <v/>
      </c>
      <c r="AA751" s="285" t="b">
        <f>AA749</f>
        <v>0</v>
      </c>
    </row>
    <row r="752" spans="2:27" ht="12.75" customHeight="1" x14ac:dyDescent="0.25">
      <c r="B752" s="17"/>
      <c r="C752" s="900"/>
      <c r="D752" s="342"/>
      <c r="E752" s="342"/>
      <c r="F752" s="342"/>
      <c r="G752" s="342"/>
      <c r="H752" s="342"/>
      <c r="I752" s="342"/>
      <c r="J752" s="342"/>
      <c r="K752" s="342"/>
      <c r="L752" s="342"/>
      <c r="M752" s="342"/>
      <c r="N752" s="266"/>
      <c r="O752" s="17"/>
      <c r="AA752" s="815"/>
    </row>
    <row r="753" spans="2:27" ht="12.75" customHeight="1" x14ac:dyDescent="0.25">
      <c r="B753" s="17"/>
      <c r="C753" s="900"/>
      <c r="D753" s="193" t="s">
        <v>422</v>
      </c>
      <c r="E753" s="1529" t="str">
        <f>Translations!$B$792</f>
        <v>Types of waste gases imported:</v>
      </c>
      <c r="F753" s="1529"/>
      <c r="G753" s="1529"/>
      <c r="H753" s="1529"/>
      <c r="I753" s="1530"/>
      <c r="J753" s="1531"/>
      <c r="K753" s="1531"/>
      <c r="L753" s="1531"/>
      <c r="M753" s="1532"/>
      <c r="N753" s="266"/>
      <c r="O753" s="17"/>
      <c r="AA753" s="285" t="b">
        <f>AA733</f>
        <v>0</v>
      </c>
    </row>
    <row r="754" spans="2:27" ht="5.0999999999999996" customHeight="1" x14ac:dyDescent="0.25">
      <c r="B754" s="17"/>
      <c r="C754" s="900"/>
      <c r="D754" s="193"/>
      <c r="E754" s="1535"/>
      <c r="F754" s="1511"/>
      <c r="G754" s="1511"/>
      <c r="H754" s="1511"/>
      <c r="I754" s="1511"/>
      <c r="J754" s="1511"/>
      <c r="K754" s="1511"/>
      <c r="L754" s="1511"/>
      <c r="M754" s="1511"/>
      <c r="N754" s="1536"/>
      <c r="O754" s="17"/>
      <c r="AA754" s="815"/>
    </row>
    <row r="755" spans="2:27" ht="12.75" customHeight="1" x14ac:dyDescent="0.25">
      <c r="B755" s="17"/>
      <c r="C755" s="900"/>
      <c r="D755" s="342"/>
      <c r="E755" s="1522"/>
      <c r="F755" s="1523"/>
      <c r="G755" s="1523"/>
      <c r="H755" s="152" t="str">
        <f>EUconst_Unit</f>
        <v>Unit</v>
      </c>
      <c r="I755" s="153">
        <f>I$1882</f>
        <v>2019</v>
      </c>
      <c r="J755" s="153">
        <f>J$1882</f>
        <v>2020</v>
      </c>
      <c r="K755" s="153">
        <f>K$1882</f>
        <v>2021</v>
      </c>
      <c r="L755" s="153">
        <f>L$1882</f>
        <v>2022</v>
      </c>
      <c r="M755" s="153">
        <f>M$1882</f>
        <v>2023</v>
      </c>
      <c r="N755" s="903"/>
      <c r="O755" s="17"/>
      <c r="AA755" s="815"/>
    </row>
    <row r="756" spans="2:27" ht="12.75" customHeight="1" thickBot="1" x14ac:dyDescent="0.3">
      <c r="B756" s="17"/>
      <c r="C756" s="900"/>
      <c r="D756" s="193" t="s">
        <v>423</v>
      </c>
      <c r="E756" s="1526" t="str">
        <f>Translations!$B$795</f>
        <v>Amounts imported</v>
      </c>
      <c r="F756" s="1526"/>
      <c r="G756" s="1526"/>
      <c r="H756" s="949" t="s">
        <v>427</v>
      </c>
      <c r="I756" s="889"/>
      <c r="J756" s="889"/>
      <c r="K756" s="889"/>
      <c r="L756" s="889"/>
      <c r="M756" s="889"/>
      <c r="N756" s="903"/>
      <c r="O756" s="17"/>
      <c r="AA756" s="285" t="b">
        <f>AA753</f>
        <v>0</v>
      </c>
    </row>
    <row r="757" spans="2:27" ht="12.75" customHeight="1" x14ac:dyDescent="0.25">
      <c r="B757" s="17"/>
      <c r="C757" s="900"/>
      <c r="D757" s="193" t="s">
        <v>430</v>
      </c>
      <c r="E757" s="1527" t="str">
        <f>Translations!$B$470</f>
        <v>Net calorific value</v>
      </c>
      <c r="F757" s="1527"/>
      <c r="G757" s="1527"/>
      <c r="H757" s="950" t="str">
        <f>IF(ISBLANK(H756),EUconst_GJperUnit,INDEX(EUconst_GJperTorKNm3,MATCH(H756,EUconst_TonnesOrkNm3pa,0)))</f>
        <v>GJ/1000Nm3</v>
      </c>
      <c r="I757" s="895"/>
      <c r="J757" s="895"/>
      <c r="K757" s="895"/>
      <c r="L757" s="895"/>
      <c r="M757" s="895"/>
      <c r="N757" s="903"/>
      <c r="O757" s="17"/>
      <c r="R757" s="459"/>
      <c r="S757" s="326">
        <f>I755</f>
        <v>2019</v>
      </c>
      <c r="T757" s="326">
        <f>J755</f>
        <v>2020</v>
      </c>
      <c r="U757" s="326">
        <f>K755</f>
        <v>2021</v>
      </c>
      <c r="V757" s="326">
        <f>L755</f>
        <v>2022</v>
      </c>
      <c r="W757" s="327">
        <f>M755</f>
        <v>2023</v>
      </c>
      <c r="AA757" s="285" t="b">
        <f>AA756</f>
        <v>0</v>
      </c>
    </row>
    <row r="758" spans="2:27" ht="12.75" customHeight="1" x14ac:dyDescent="0.25">
      <c r="B758" s="17"/>
      <c r="C758" s="900"/>
      <c r="D758" s="193" t="s">
        <v>431</v>
      </c>
      <c r="E758" s="1528" t="str">
        <f>Translations!$B$796</f>
        <v>Waste gas imported</v>
      </c>
      <c r="F758" s="1528"/>
      <c r="G758" s="1528"/>
      <c r="H758" s="154" t="str">
        <f>EUconst_TJpa</f>
        <v>TJ / year</v>
      </c>
      <c r="I758" s="163" t="str">
        <f>IF(COUNT(I756:I757)=2,I756*I757/1000,"")</f>
        <v/>
      </c>
      <c r="J758" s="163" t="str">
        <f>IF(COUNT(J756:J757)=2,J756*J757/1000,"")</f>
        <v/>
      </c>
      <c r="K758" s="163" t="str">
        <f>IF(COUNT(K756:K757)=2,K756*K757/1000,"")</f>
        <v/>
      </c>
      <c r="L758" s="163" t="str">
        <f>IF(COUNT(L756:L757)=2,L756*L757/1000,"")</f>
        <v/>
      </c>
      <c r="M758" s="163" t="str">
        <f>IF(COUNT(M756:M757)=2,M756*M757/1000,"")</f>
        <v/>
      </c>
      <c r="N758" s="903"/>
      <c r="O758" s="17"/>
      <c r="P758" s="63" t="str">
        <f>EUconst_CNTR_WGImport &amp; I613</f>
        <v>WasteGasIm_</v>
      </c>
      <c r="R758" s="464" t="str">
        <f>EUconst_ERR_AttrEmBMapplied &amp; I613</f>
        <v>ERR_AttrEmBM_</v>
      </c>
      <c r="S758" s="63">
        <f>IF(AND(I758&lt;&gt;"",EUconst_StatusOfDataCollection=FALSE),1,0)</f>
        <v>0</v>
      </c>
      <c r="T758" s="63">
        <f>IF(AND(J758&lt;&gt;"",EUconst_StatusOfDataCollection=FALSE),1,0)</f>
        <v>0</v>
      </c>
      <c r="U758" s="63">
        <f>IF(AND(K758&lt;&gt;"",EUconst_StatusOfDataCollection=FALSE),1,0)</f>
        <v>0</v>
      </c>
      <c r="V758" s="63">
        <f>IF(AND(L758&lt;&gt;"",EUconst_StatusOfDataCollection=FALSE),1,0)</f>
        <v>0</v>
      </c>
      <c r="W758" s="803">
        <f>IF(AND(M758&lt;&gt;"",EUconst_StatusOfDataCollection=FALSE),1,0)</f>
        <v>0</v>
      </c>
      <c r="AA758" s="815"/>
    </row>
    <row r="759" spans="2:27" ht="12.75" customHeight="1" thickBot="1" x14ac:dyDescent="0.3">
      <c r="B759" s="17"/>
      <c r="C759" s="900"/>
      <c r="D759" s="193" t="s">
        <v>432</v>
      </c>
      <c r="E759" s="1528" t="str">
        <f>Translations!$B$797</f>
        <v>Specific EF (imported waste gas)</v>
      </c>
      <c r="F759" s="1528"/>
      <c r="G759" s="1528"/>
      <c r="H759" s="154" t="str">
        <f>EUconst_tCO2pTJ</f>
        <v>t CO2 / TJ</v>
      </c>
      <c r="I759" s="311"/>
      <c r="J759" s="311"/>
      <c r="K759" s="311"/>
      <c r="L759" s="311"/>
      <c r="M759" s="311"/>
      <c r="N759" s="266"/>
      <c r="O759" s="17"/>
      <c r="P759" s="63" t="str">
        <f>EUconst_CNTR_WGImportEF &amp; I613</f>
        <v>WasteGasImEF_</v>
      </c>
      <c r="R759" s="460" t="str">
        <f>EUconst_CNTR_AttributedEmissions &amp; I613</f>
        <v>AttrEmissions_</v>
      </c>
      <c r="S759" s="389" t="str">
        <f>IF(S613,SUM(I758)*EUconst_FuelBMvalue,"")</f>
        <v/>
      </c>
      <c r="T759" s="389" t="str">
        <f>IF(T613,SUM(J758)*EUconst_FuelBMvalue,"")</f>
        <v/>
      </c>
      <c r="U759" s="389" t="str">
        <f>IF(U613,SUM(K758)*EUconst_FuelBMvalue,"")</f>
        <v/>
      </c>
      <c r="V759" s="389" t="str">
        <f>IF(V613,SUM(L758)*EUconst_FuelBMvalue,"")</f>
        <v/>
      </c>
      <c r="W759" s="390" t="str">
        <f>IF(W613,SUM(M758)*EUconst_FuelBMvalue,"")</f>
        <v/>
      </c>
      <c r="AA759" s="285" t="b">
        <f>AA757</f>
        <v>0</v>
      </c>
    </row>
    <row r="760" spans="2:27" ht="12.75" customHeight="1" x14ac:dyDescent="0.25">
      <c r="B760" s="17"/>
      <c r="C760" s="900"/>
      <c r="D760" s="342"/>
      <c r="E760" s="342"/>
      <c r="F760" s="342"/>
      <c r="G760" s="342"/>
      <c r="H760" s="342"/>
      <c r="I760" s="342"/>
      <c r="J760" s="342"/>
      <c r="K760" s="342"/>
      <c r="L760" s="342"/>
      <c r="M760" s="342"/>
      <c r="N760" s="266"/>
      <c r="O760" s="17"/>
      <c r="AA760" s="815"/>
    </row>
    <row r="761" spans="2:27" ht="12.75" customHeight="1" x14ac:dyDescent="0.25">
      <c r="B761" s="17"/>
      <c r="C761" s="900"/>
      <c r="D761" s="193" t="s">
        <v>433</v>
      </c>
      <c r="E761" s="1529" t="str">
        <f>Translations!$B$798</f>
        <v>Types of waste gases exported:</v>
      </c>
      <c r="F761" s="1529"/>
      <c r="G761" s="1529"/>
      <c r="H761" s="1529"/>
      <c r="I761" s="1530"/>
      <c r="J761" s="1531"/>
      <c r="K761" s="1531"/>
      <c r="L761" s="1531"/>
      <c r="M761" s="1532"/>
      <c r="N761" s="763"/>
      <c r="O761" s="17"/>
      <c r="AA761" s="285" t="b">
        <f>AA756</f>
        <v>0</v>
      </c>
    </row>
    <row r="762" spans="2:27" ht="5.0999999999999996" customHeight="1" x14ac:dyDescent="0.25">
      <c r="B762" s="17"/>
      <c r="C762" s="900"/>
      <c r="D762" s="193"/>
      <c r="E762" s="1533"/>
      <c r="F762" s="1512"/>
      <c r="G762" s="1512"/>
      <c r="H762" s="1512"/>
      <c r="I762" s="1512"/>
      <c r="J762" s="1512"/>
      <c r="K762" s="1512"/>
      <c r="L762" s="1512"/>
      <c r="M762" s="1512"/>
      <c r="N762" s="1513"/>
      <c r="O762" s="17"/>
      <c r="AA762" s="815"/>
    </row>
    <row r="763" spans="2:27" ht="12.75" customHeight="1" x14ac:dyDescent="0.25">
      <c r="B763" s="17"/>
      <c r="C763" s="900"/>
      <c r="D763" s="342"/>
      <c r="E763" s="1522"/>
      <c r="F763" s="1523"/>
      <c r="G763" s="1523"/>
      <c r="H763" s="152" t="str">
        <f>EUconst_Unit</f>
        <v>Unit</v>
      </c>
      <c r="I763" s="153">
        <f>I$1882</f>
        <v>2019</v>
      </c>
      <c r="J763" s="153">
        <f>J$1882</f>
        <v>2020</v>
      </c>
      <c r="K763" s="153">
        <f>K$1882</f>
        <v>2021</v>
      </c>
      <c r="L763" s="153">
        <f>L$1882</f>
        <v>2022</v>
      </c>
      <c r="M763" s="153">
        <f>M$1882</f>
        <v>2023</v>
      </c>
      <c r="N763" s="903"/>
      <c r="O763" s="17"/>
      <c r="AA763" s="815"/>
    </row>
    <row r="764" spans="2:27" ht="12.75" customHeight="1" x14ac:dyDescent="0.25">
      <c r="B764" s="17"/>
      <c r="C764" s="900"/>
      <c r="D764" s="193" t="s">
        <v>434</v>
      </c>
      <c r="E764" s="1526" t="str">
        <f>Translations!$B$800</f>
        <v>Amounts exported</v>
      </c>
      <c r="F764" s="1526"/>
      <c r="G764" s="1526"/>
      <c r="H764" s="949" t="s">
        <v>427</v>
      </c>
      <c r="I764" s="889"/>
      <c r="J764" s="889"/>
      <c r="K764" s="889"/>
      <c r="L764" s="889"/>
      <c r="M764" s="889"/>
      <c r="N764" s="903"/>
      <c r="O764" s="17"/>
      <c r="AA764" s="285" t="b">
        <f>AA761</f>
        <v>0</v>
      </c>
    </row>
    <row r="765" spans="2:27" ht="12.75" customHeight="1" thickBot="1" x14ac:dyDescent="0.3">
      <c r="B765" s="17"/>
      <c r="C765" s="900"/>
      <c r="D765" s="193" t="s">
        <v>435</v>
      </c>
      <c r="E765" s="1527" t="str">
        <f>Translations!$B$470</f>
        <v>Net calorific value</v>
      </c>
      <c r="F765" s="1527"/>
      <c r="G765" s="1527"/>
      <c r="H765" s="950" t="str">
        <f>IF(ISBLANK(H764),EUconst_GJperUnit,INDEX(EUconst_GJperTorKNm3,MATCH(H764,EUconst_TonnesOrkNm3pa,0)))</f>
        <v>GJ/1000Nm3</v>
      </c>
      <c r="I765" s="895"/>
      <c r="J765" s="895"/>
      <c r="K765" s="895"/>
      <c r="L765" s="895"/>
      <c r="M765" s="895"/>
      <c r="N765" s="903"/>
      <c r="O765" s="17"/>
      <c r="AA765" s="285" t="b">
        <f>AA764</f>
        <v>0</v>
      </c>
    </row>
    <row r="766" spans="2:27" ht="12.75" customHeight="1" x14ac:dyDescent="0.25">
      <c r="B766" s="17"/>
      <c r="C766" s="900"/>
      <c r="D766" s="193" t="s">
        <v>436</v>
      </c>
      <c r="E766" s="1528" t="str">
        <f>Translations!$B$801</f>
        <v>Waste gas exported</v>
      </c>
      <c r="F766" s="1528"/>
      <c r="G766" s="1528"/>
      <c r="H766" s="154" t="str">
        <f>EUconst_TJpa</f>
        <v>TJ / year</v>
      </c>
      <c r="I766" s="163" t="str">
        <f>IF(COUNT(I764:I765)=2,I764*I765/1000,"")</f>
        <v/>
      </c>
      <c r="J766" s="163" t="str">
        <f>IF(COUNT(J764:J765)=2,J764*J765/1000,"")</f>
        <v/>
      </c>
      <c r="K766" s="163" t="str">
        <f>IF(COUNT(K764:K765)=2,K764*K765/1000,"")</f>
        <v/>
      </c>
      <c r="L766" s="163" t="str">
        <f>IF(COUNT(L764:L765)=2,L764*L765/1000,"")</f>
        <v/>
      </c>
      <c r="M766" s="163" t="str">
        <f>IF(COUNT(M764:M765)=2,M764*M765/1000,"")</f>
        <v/>
      </c>
      <c r="N766" s="277"/>
      <c r="O766" s="17"/>
      <c r="P766" s="63" t="str">
        <f>EUconst_CNTR_WGExport &amp; I613</f>
        <v>WasteGasEx_</v>
      </c>
      <c r="R766" s="459"/>
      <c r="S766" s="326">
        <f>I763</f>
        <v>2019</v>
      </c>
      <c r="T766" s="326">
        <f>J763</f>
        <v>2020</v>
      </c>
      <c r="U766" s="326">
        <f>K763</f>
        <v>2021</v>
      </c>
      <c r="V766" s="326">
        <f>L763</f>
        <v>2022</v>
      </c>
      <c r="W766" s="327">
        <f>M763</f>
        <v>2023</v>
      </c>
      <c r="AA766" s="815"/>
    </row>
    <row r="767" spans="2:27" ht="12.75" customHeight="1" thickBot="1" x14ac:dyDescent="0.3">
      <c r="B767" s="17"/>
      <c r="C767" s="900"/>
      <c r="D767" s="193" t="s">
        <v>437</v>
      </c>
      <c r="E767" s="1528" t="str">
        <f>Translations!$B$802</f>
        <v>Specific EF (exported waste gas)</v>
      </c>
      <c r="F767" s="1528"/>
      <c r="G767" s="1528"/>
      <c r="H767" s="154" t="str">
        <f>EUconst_tCO2pTJ</f>
        <v>t CO2 / TJ</v>
      </c>
      <c r="I767" s="311"/>
      <c r="J767" s="311"/>
      <c r="K767" s="311"/>
      <c r="L767" s="311"/>
      <c r="M767" s="311"/>
      <c r="N767" s="266"/>
      <c r="O767" s="17"/>
      <c r="P767" s="63" t="str">
        <f>EUconst_CNTR_WGExportEF &amp; I613</f>
        <v>WasteGasExEF_</v>
      </c>
      <c r="R767" s="460" t="str">
        <f>EUconst_CNTR_AttributedEmissions &amp; I613</f>
        <v>AttrEmissions_</v>
      </c>
      <c r="S767" s="389" t="str">
        <f>IF(S613,-SUM(I766)*EUconst_NGEFvalue*EUconst_WasteGasCorrFactor,"")</f>
        <v/>
      </c>
      <c r="T767" s="389" t="str">
        <f>IF(T613,-SUM(J766)*EUconst_NGEFvalue*EUconst_WasteGasCorrFactor,"")</f>
        <v/>
      </c>
      <c r="U767" s="389" t="str">
        <f>IF(U613,-SUM(K766)*EUconst_NGEFvalue*EUconst_WasteGasCorrFactor,"")</f>
        <v/>
      </c>
      <c r="V767" s="389" t="str">
        <f>IF(V613,-SUM(L766)*EUconst_NGEFvalue*EUconst_WasteGasCorrFactor,"")</f>
        <v/>
      </c>
      <c r="W767" s="390" t="str">
        <f>IF(W613,-SUM(M766)*EUconst_NGEFvalue*EUconst_WasteGasCorrFactor,"")</f>
        <v/>
      </c>
      <c r="AA767" s="286" t="b">
        <f>AA765</f>
        <v>0</v>
      </c>
    </row>
    <row r="768" spans="2:27" ht="12.75" customHeight="1" x14ac:dyDescent="0.25">
      <c r="B768" s="17"/>
      <c r="C768" s="900"/>
      <c r="D768" s="342"/>
      <c r="E768" s="342"/>
      <c r="F768" s="342"/>
      <c r="G768" s="342"/>
      <c r="H768" s="342"/>
      <c r="I768" s="342"/>
      <c r="J768" s="342"/>
      <c r="K768" s="342"/>
      <c r="L768" s="342"/>
      <c r="M768" s="342"/>
      <c r="N768" s="266"/>
      <c r="O768" s="17"/>
    </row>
    <row r="769" spans="2:27" ht="12.75" customHeight="1" thickBot="1" x14ac:dyDescent="0.3">
      <c r="B769" s="17"/>
      <c r="C769" s="900"/>
      <c r="D769" s="157" t="s">
        <v>359</v>
      </c>
      <c r="E769" s="1511" t="str">
        <f>Translations!$B$420</f>
        <v>Electricity production</v>
      </c>
      <c r="F769" s="1512"/>
      <c r="G769" s="1512"/>
      <c r="H769" s="1512"/>
      <c r="I769" s="1512"/>
      <c r="J769" s="1512"/>
      <c r="K769" s="1512"/>
      <c r="L769" s="1512"/>
      <c r="M769" s="1512"/>
      <c r="N769" s="1513"/>
      <c r="O769" s="17"/>
    </row>
    <row r="770" spans="2:27" ht="12.75" customHeight="1" x14ac:dyDescent="0.25">
      <c r="B770" s="17"/>
      <c r="C770" s="900"/>
      <c r="D770" s="157"/>
      <c r="E770" s="1522"/>
      <c r="F770" s="1523"/>
      <c r="G770" s="1523"/>
      <c r="H770" s="152" t="str">
        <f>EUconst_Unit</f>
        <v>Unit</v>
      </c>
      <c r="I770" s="153">
        <f>I$1882</f>
        <v>2019</v>
      </c>
      <c r="J770" s="153">
        <f>J$1882</f>
        <v>2020</v>
      </c>
      <c r="K770" s="153">
        <f>K$1882</f>
        <v>2021</v>
      </c>
      <c r="L770" s="153">
        <f>L$1882</f>
        <v>2022</v>
      </c>
      <c r="M770" s="153">
        <f>M$1882</f>
        <v>2023</v>
      </c>
      <c r="N770" s="266"/>
      <c r="O770" s="17"/>
      <c r="R770" s="459"/>
      <c r="S770" s="326">
        <f>I770</f>
        <v>2019</v>
      </c>
      <c r="T770" s="326">
        <f>J770</f>
        <v>2020</v>
      </c>
      <c r="U770" s="326">
        <f>K770</f>
        <v>2021</v>
      </c>
      <c r="V770" s="326">
        <f>L770</f>
        <v>2022</v>
      </c>
      <c r="W770" s="327">
        <f>M770</f>
        <v>2023</v>
      </c>
    </row>
    <row r="771" spans="2:27" ht="12.75" customHeight="1" thickBot="1" x14ac:dyDescent="0.3">
      <c r="B771" s="17"/>
      <c r="C771" s="900"/>
      <c r="D771" s="193"/>
      <c r="E771" s="1528" t="str">
        <f>Translations!$B$805</f>
        <v>Electricity produced</v>
      </c>
      <c r="F771" s="1528"/>
      <c r="G771" s="1528"/>
      <c r="H771" s="154" t="str">
        <f>EUconst_MWhpa</f>
        <v>MWh / year</v>
      </c>
      <c r="I771" s="311"/>
      <c r="J771" s="311"/>
      <c r="K771" s="311"/>
      <c r="L771" s="311"/>
      <c r="M771" s="311"/>
      <c r="N771" s="903"/>
      <c r="O771" s="17"/>
      <c r="P771" s="63" t="str">
        <f>EUconst_CNTR_ElectricityExported &amp; I613</f>
        <v>ElecEx_</v>
      </c>
      <c r="R771" s="460" t="str">
        <f>EUconst_CNTR_AttributedEmissions &amp; I613</f>
        <v>AttrEmissions_</v>
      </c>
      <c r="S771" s="389" t="str">
        <f>IF(S613,-SUM(I771)*EUconst_ElBM,"")</f>
        <v/>
      </c>
      <c r="T771" s="389" t="str">
        <f>IF(T613,-SUM(J771)*EUconst_ElBM,"")</f>
        <v/>
      </c>
      <c r="U771" s="389" t="str">
        <f>IF(U613,-SUM(K771)*EUconst_ElBM,"")</f>
        <v/>
      </c>
      <c r="V771" s="389" t="str">
        <f>IF(V613,-SUM(L771)*EUconst_ElBM,"")</f>
        <v/>
      </c>
      <c r="W771" s="390" t="str">
        <f>IF(W613,-SUM(M771)*EUconst_ElBM,"")</f>
        <v/>
      </c>
    </row>
    <row r="772" spans="2:27" ht="12.75" customHeight="1" x14ac:dyDescent="0.25">
      <c r="B772" s="17"/>
      <c r="C772" s="900"/>
      <c r="D772" s="342"/>
      <c r="E772" s="342"/>
      <c r="F772" s="342"/>
      <c r="G772" s="342"/>
      <c r="H772" s="342"/>
      <c r="I772" s="342"/>
      <c r="J772" s="342"/>
      <c r="K772" s="342"/>
      <c r="L772" s="342"/>
      <c r="M772" s="342"/>
      <c r="N772" s="266"/>
      <c r="O772" s="17"/>
    </row>
    <row r="773" spans="2:27" ht="12.75" customHeight="1" thickBot="1" x14ac:dyDescent="0.3">
      <c r="B773" s="17"/>
      <c r="C773" s="900"/>
      <c r="D773" s="157" t="s">
        <v>361</v>
      </c>
      <c r="E773" s="1529" t="str">
        <f>Translations!$B$806</f>
        <v>Total amount of pulp produced</v>
      </c>
      <c r="F773" s="1529"/>
      <c r="G773" s="1529"/>
      <c r="H773" s="1529"/>
      <c r="I773" s="1529"/>
      <c r="J773" s="1529"/>
      <c r="K773" s="1529"/>
      <c r="L773" s="1529"/>
      <c r="M773" s="1529"/>
      <c r="N773" s="1534"/>
      <c r="O773" s="17"/>
    </row>
    <row r="774" spans="2:27" ht="12.75" customHeight="1" thickBot="1" x14ac:dyDescent="0.3">
      <c r="B774" s="17"/>
      <c r="C774" s="900"/>
      <c r="D774" s="193"/>
      <c r="E774" s="1510" t="str">
        <f>IF(I613="","",IF(INDEX(EUconst_BMlistPulp,MATCH(I613,EUconst_BMlistNames,0)),I613,""))</f>
        <v/>
      </c>
      <c r="F774" s="1510"/>
      <c r="G774" s="1510"/>
      <c r="H774" s="154" t="str">
        <f>EUconst_Tons</f>
        <v>tonnes</v>
      </c>
      <c r="I774" s="311"/>
      <c r="J774" s="311"/>
      <c r="K774" s="311"/>
      <c r="L774" s="311"/>
      <c r="M774" s="311"/>
      <c r="N774" s="903"/>
      <c r="O774" s="17"/>
      <c r="P774" s="63" t="str">
        <f>EUconst_CNTR_HALPulpTotal &amp; I613</f>
        <v>HALPulpTotal_</v>
      </c>
      <c r="AA774" s="410" t="b">
        <f>IF(I613&lt;&gt;"",IF(INDEX(EUconst_BMlistPulp,MATCH(I613,EUconst_BMlistNames,0))=TRUE,FALSE,TRUE),FALSE)</f>
        <v>0</v>
      </c>
    </row>
    <row r="775" spans="2:27" ht="12.75" customHeight="1" x14ac:dyDescent="0.25">
      <c r="B775" s="17"/>
      <c r="C775" s="900"/>
      <c r="D775" s="193"/>
      <c r="E775" s="193"/>
      <c r="F775" s="193"/>
      <c r="G775" s="193"/>
      <c r="H775" s="193"/>
      <c r="I775" s="193"/>
      <c r="J775" s="193"/>
      <c r="K775" s="193"/>
      <c r="L775" s="193"/>
      <c r="M775" s="193"/>
      <c r="N775" s="903"/>
      <c r="O775" s="17"/>
    </row>
    <row r="776" spans="2:27" ht="12.75" customHeight="1" thickBot="1" x14ac:dyDescent="0.3">
      <c r="B776" s="17"/>
      <c r="C776" s="900"/>
      <c r="D776" s="157" t="s">
        <v>362</v>
      </c>
      <c r="E776" s="1511" t="str">
        <f>Translations!$B$810</f>
        <v>Import or export of intermediate products covered by product benchmarks</v>
      </c>
      <c r="F776" s="1512"/>
      <c r="G776" s="1512"/>
      <c r="H776" s="1512"/>
      <c r="I776" s="1512"/>
      <c r="J776" s="1512"/>
      <c r="K776" s="1512"/>
      <c r="L776" s="1512"/>
      <c r="M776" s="1512"/>
      <c r="N776" s="1513"/>
      <c r="O776" s="17"/>
    </row>
    <row r="777" spans="2:27" ht="12.75" customHeight="1" thickBot="1" x14ac:dyDescent="0.3">
      <c r="B777" s="17"/>
      <c r="C777" s="900"/>
      <c r="D777" s="193" t="s">
        <v>206</v>
      </c>
      <c r="E777" s="1514" t="str">
        <f>Translations!$B$813</f>
        <v>Is there any import or export of intermediate products covered by product benchmarks?</v>
      </c>
      <c r="F777" s="1514"/>
      <c r="G777" s="1514"/>
      <c r="H777" s="1514"/>
      <c r="I777" s="1514"/>
      <c r="J777" s="1514"/>
      <c r="K777" s="1515"/>
      <c r="L777" s="194"/>
      <c r="M777" s="342"/>
      <c r="N777" s="277"/>
      <c r="O777" s="17"/>
      <c r="W777" s="288" t="s">
        <v>418</v>
      </c>
      <c r="X777" s="215" t="b">
        <f>IF(AND(I613&lt;&gt;"",ISBLANK(L777)),EUconst_Error&amp;"BM"&amp;C613,FALSE)</f>
        <v>0</v>
      </c>
    </row>
    <row r="778" spans="2:27" ht="5.0999999999999996" customHeight="1" x14ac:dyDescent="0.25">
      <c r="B778" s="17"/>
      <c r="C778" s="900"/>
      <c r="D778" s="193"/>
      <c r="E778" s="193"/>
      <c r="F778" s="193"/>
      <c r="G778" s="193"/>
      <c r="H778" s="193"/>
      <c r="I778" s="193"/>
      <c r="J778" s="193"/>
      <c r="K778" s="193"/>
      <c r="L778" s="193"/>
      <c r="M778" s="193"/>
      <c r="N778" s="903"/>
      <c r="O778" s="17"/>
    </row>
    <row r="779" spans="2:27" ht="12.75" customHeight="1" thickBot="1" x14ac:dyDescent="0.3">
      <c r="B779" s="17"/>
      <c r="C779" s="900"/>
      <c r="D779" s="157"/>
      <c r="E779" s="1522" t="str">
        <f>Translations!$B$814</f>
        <v>Imported amounts:</v>
      </c>
      <c r="F779" s="1523"/>
      <c r="G779" s="1523"/>
      <c r="H779" s="192" t="str">
        <f>EUconst_Unit</f>
        <v>Unit</v>
      </c>
      <c r="I779" s="153">
        <f>I$1882</f>
        <v>2019</v>
      </c>
      <c r="J779" s="153">
        <f>J$1882</f>
        <v>2020</v>
      </c>
      <c r="K779" s="153">
        <f>K$1882</f>
        <v>2021</v>
      </c>
      <c r="L779" s="153">
        <f>L$1882</f>
        <v>2022</v>
      </c>
      <c r="M779" s="153">
        <f>M$1882</f>
        <v>2023</v>
      </c>
      <c r="N779" s="903"/>
      <c r="O779" s="17"/>
      <c r="AA779" s="145" t="s">
        <v>396</v>
      </c>
    </row>
    <row r="780" spans="2:27" ht="12.75" customHeight="1" x14ac:dyDescent="0.25">
      <c r="B780" s="17"/>
      <c r="C780" s="900"/>
      <c r="D780" s="193" t="s">
        <v>208</v>
      </c>
      <c r="E780" s="1524"/>
      <c r="F780" s="1524"/>
      <c r="G780" s="1524"/>
      <c r="H780" s="853" t="str">
        <f>IF(E780&lt;&gt;"",INDEX(EUconst_BMlistUnits,MATCH(E780,EUconst_BMlistNames,0)),EUconst_Tons)</f>
        <v>tonnes</v>
      </c>
      <c r="I780" s="953"/>
      <c r="J780" s="953"/>
      <c r="K780" s="953"/>
      <c r="L780" s="953"/>
      <c r="M780" s="953"/>
      <c r="N780" s="903"/>
      <c r="O780" s="17"/>
      <c r="P780" s="63" t="str">
        <f>EUconst_CNTR_IntermediateImport &amp; R780 &amp; "_" &amp; I613</f>
        <v>IntImp_1_</v>
      </c>
      <c r="R780" s="63">
        <v>1</v>
      </c>
      <c r="AA780" s="316" t="b">
        <f>AND(NOT(ISBLANK(L777)),L777=FALSE)</f>
        <v>0</v>
      </c>
    </row>
    <row r="781" spans="2:27" ht="12.75" customHeight="1" x14ac:dyDescent="0.25">
      <c r="B781" s="17"/>
      <c r="C781" s="900"/>
      <c r="D781" s="193" t="s">
        <v>209</v>
      </c>
      <c r="E781" s="1525"/>
      <c r="F781" s="1525"/>
      <c r="G781" s="1525"/>
      <c r="H781" s="950" t="str">
        <f>IF(E781&lt;&gt;"",INDEX(EUconst_BMlistUnits,MATCH(E781,EUconst_BMlistNames,0)),EUconst_Tons)</f>
        <v>tonnes</v>
      </c>
      <c r="I781" s="954"/>
      <c r="J781" s="954"/>
      <c r="K781" s="954"/>
      <c r="L781" s="954"/>
      <c r="M781" s="954"/>
      <c r="N781" s="903"/>
      <c r="O781" s="17"/>
      <c r="P781" s="63" t="str">
        <f>EUconst_CNTR_IntermediateImport &amp; R781 &amp; "_" &amp; I613</f>
        <v>IntImp_2_</v>
      </c>
      <c r="R781" s="63">
        <v>2</v>
      </c>
      <c r="AA781" s="285" t="b">
        <f>AA780</f>
        <v>0</v>
      </c>
    </row>
    <row r="782" spans="2:27" ht="5.0999999999999996" customHeight="1" x14ac:dyDescent="0.25">
      <c r="B782" s="17"/>
      <c r="C782" s="900"/>
      <c r="D782" s="193"/>
      <c r="E782" s="193"/>
      <c r="F782" s="193"/>
      <c r="G782" s="193"/>
      <c r="H782" s="193"/>
      <c r="I782" s="193"/>
      <c r="J782" s="193"/>
      <c r="K782" s="193"/>
      <c r="L782" s="193"/>
      <c r="M782" s="193"/>
      <c r="N782" s="903"/>
      <c r="O782" s="17"/>
      <c r="AA782" s="815"/>
    </row>
    <row r="783" spans="2:27" ht="12.75" customHeight="1" x14ac:dyDescent="0.25">
      <c r="B783" s="17"/>
      <c r="C783" s="900"/>
      <c r="D783" s="157"/>
      <c r="E783" s="1522" t="str">
        <f>Translations!$B$815</f>
        <v>Exported amounts:</v>
      </c>
      <c r="F783" s="1523"/>
      <c r="G783" s="1523"/>
      <c r="H783" s="192" t="str">
        <f>EUconst_Unit</f>
        <v>Unit</v>
      </c>
      <c r="I783" s="153">
        <f>I$1882</f>
        <v>2019</v>
      </c>
      <c r="J783" s="153">
        <f>J$1882</f>
        <v>2020</v>
      </c>
      <c r="K783" s="153">
        <f>K$1882</f>
        <v>2021</v>
      </c>
      <c r="L783" s="153">
        <f>L$1882</f>
        <v>2022</v>
      </c>
      <c r="M783" s="153">
        <f>M$1882</f>
        <v>2023</v>
      </c>
      <c r="N783" s="903"/>
      <c r="O783" s="17"/>
      <c r="AA783" s="815"/>
    </row>
    <row r="784" spans="2:27" ht="12.75" customHeight="1" x14ac:dyDescent="0.25">
      <c r="B784" s="17"/>
      <c r="C784" s="900"/>
      <c r="D784" s="193" t="s">
        <v>210</v>
      </c>
      <c r="E784" s="1524"/>
      <c r="F784" s="1524"/>
      <c r="G784" s="1524"/>
      <c r="H784" s="853" t="str">
        <f>IF(E784&lt;&gt;"",INDEX(EUconst_BMlistUnits,MATCH(E784,EUconst_BMlistNames,0)),EUconst_Tons)</f>
        <v>tonnes</v>
      </c>
      <c r="I784" s="953"/>
      <c r="J784" s="953"/>
      <c r="K784" s="953"/>
      <c r="L784" s="953"/>
      <c r="M784" s="953"/>
      <c r="N784" s="903"/>
      <c r="O784" s="17"/>
      <c r="P784" s="63" t="str">
        <f>EUconst_CNTR_IntermediateExport &amp; R780 &amp; "_" &amp; I613</f>
        <v>IntExp_1_</v>
      </c>
      <c r="R784" s="63">
        <v>1</v>
      </c>
      <c r="U784" s="955"/>
      <c r="V784" s="955"/>
      <c r="AA784" s="285" t="b">
        <f>AA780</f>
        <v>0</v>
      </c>
    </row>
    <row r="785" spans="2:27" ht="12.75" customHeight="1" x14ac:dyDescent="0.25">
      <c r="B785" s="17"/>
      <c r="C785" s="900"/>
      <c r="D785" s="193" t="s">
        <v>220</v>
      </c>
      <c r="E785" s="1525"/>
      <c r="F785" s="1525"/>
      <c r="G785" s="1525"/>
      <c r="H785" s="950" t="str">
        <f>IF(E785&lt;&gt;"",INDEX(EUconst_BMlistUnits,MATCH(E785,EUconst_BMlistNames,0)),EUconst_Tons)</f>
        <v>tonnes</v>
      </c>
      <c r="I785" s="954"/>
      <c r="J785" s="954"/>
      <c r="K785" s="954"/>
      <c r="L785" s="954"/>
      <c r="M785" s="954"/>
      <c r="N785" s="903"/>
      <c r="O785" s="17"/>
      <c r="P785" s="63" t="str">
        <f>EUconst_CNTR_IntermediateExport &amp; R785 &amp; "_" &amp; I613</f>
        <v>IntExp_2_</v>
      </c>
      <c r="R785" s="63">
        <v>2</v>
      </c>
      <c r="U785" s="955"/>
      <c r="V785" s="955"/>
      <c r="AA785" s="285" t="b">
        <f>AA780</f>
        <v>0</v>
      </c>
    </row>
    <row r="786" spans="2:27" ht="5.0999999999999996" customHeight="1" x14ac:dyDescent="0.25">
      <c r="B786" s="17"/>
      <c r="C786" s="900"/>
      <c r="D786" s="193"/>
      <c r="E786" s="193"/>
      <c r="F786" s="193"/>
      <c r="G786" s="193"/>
      <c r="H786" s="193"/>
      <c r="I786" s="193"/>
      <c r="J786" s="193"/>
      <c r="K786" s="193"/>
      <c r="L786" s="193"/>
      <c r="M786" s="193"/>
      <c r="N786" s="903"/>
      <c r="O786" s="17"/>
      <c r="U786" s="955"/>
      <c r="V786" s="955"/>
      <c r="AA786" s="815"/>
    </row>
    <row r="787" spans="2:27" ht="12.75" customHeight="1" x14ac:dyDescent="0.25">
      <c r="B787" s="17"/>
      <c r="C787" s="900"/>
      <c r="D787" s="193" t="s">
        <v>221</v>
      </c>
      <c r="E787" s="1514" t="str">
        <f>Translations!$B$816</f>
        <v>Description of the intermediate products imported or exported</v>
      </c>
      <c r="F787" s="1514"/>
      <c r="G787" s="1514"/>
      <c r="H787" s="1514"/>
      <c r="I787" s="1514"/>
      <c r="J787" s="1514"/>
      <c r="K787" s="1514"/>
      <c r="L787" s="1514"/>
      <c r="M787" s="1514"/>
      <c r="N787" s="903"/>
      <c r="O787" s="17"/>
      <c r="U787" s="955"/>
      <c r="V787" s="955"/>
      <c r="AA787" s="815"/>
    </row>
    <row r="788" spans="2:27" ht="12.75" customHeight="1" x14ac:dyDescent="0.25">
      <c r="B788" s="17"/>
      <c r="C788" s="900"/>
      <c r="D788" s="193"/>
      <c r="E788" s="1516"/>
      <c r="F788" s="1517"/>
      <c r="G788" s="1517"/>
      <c r="H788" s="1517"/>
      <c r="I788" s="1517"/>
      <c r="J788" s="1517"/>
      <c r="K788" s="1517"/>
      <c r="L788" s="1517"/>
      <c r="M788" s="1518"/>
      <c r="N788" s="903"/>
      <c r="O788" s="17"/>
      <c r="U788" s="955"/>
      <c r="V788" s="955"/>
      <c r="AA788" s="285" t="b">
        <f>AA780</f>
        <v>0</v>
      </c>
    </row>
    <row r="789" spans="2:27" ht="12.75" customHeight="1" thickBot="1" x14ac:dyDescent="0.3">
      <c r="B789" s="17"/>
      <c r="C789" s="900"/>
      <c r="D789" s="193"/>
      <c r="E789" s="1519"/>
      <c r="F789" s="1520"/>
      <c r="G789" s="1520"/>
      <c r="H789" s="1520"/>
      <c r="I789" s="1520"/>
      <c r="J789" s="1520"/>
      <c r="K789" s="1520"/>
      <c r="L789" s="1520"/>
      <c r="M789" s="1521"/>
      <c r="N789" s="903"/>
      <c r="O789" s="17"/>
      <c r="U789" s="955"/>
      <c r="V789" s="955"/>
      <c r="AA789" s="286" t="b">
        <f>AA780</f>
        <v>0</v>
      </c>
    </row>
    <row r="790" spans="2:27" ht="12.75" customHeight="1" thickBot="1" x14ac:dyDescent="0.3">
      <c r="B790" s="17"/>
      <c r="C790" s="956"/>
      <c r="D790" s="465"/>
      <c r="E790" s="465"/>
      <c r="F790" s="465"/>
      <c r="G790" s="465"/>
      <c r="H790" s="465"/>
      <c r="I790" s="465"/>
      <c r="J790" s="465"/>
      <c r="K790" s="465"/>
      <c r="L790" s="465"/>
      <c r="M790" s="465"/>
      <c r="N790" s="466"/>
      <c r="O790" s="17"/>
    </row>
    <row r="791" spans="2:27" ht="13.8" thickBot="1" x14ac:dyDescent="0.3">
      <c r="B791" s="17"/>
      <c r="C791" s="17"/>
      <c r="D791" s="17"/>
      <c r="E791" s="17"/>
      <c r="F791" s="17"/>
      <c r="G791" s="17"/>
      <c r="H791" s="17"/>
      <c r="I791" s="17"/>
      <c r="J791" s="17"/>
      <c r="K791" s="17"/>
      <c r="L791" s="17"/>
      <c r="M791" s="17"/>
      <c r="N791" s="17"/>
      <c r="O791" s="17"/>
      <c r="P791" s="372" t="str">
        <f>IF(OR(AND(CNTR_ExistProductSubEntries=FALSE,P613=1),AND(I613&lt;&gt;"",COUNTIF(P792:$P$1876,"PRINT")=0)),"PRINT","")</f>
        <v/>
      </c>
      <c r="Q791" s="145" t="s">
        <v>442</v>
      </c>
    </row>
    <row r="792" spans="2:27" ht="5.0999999999999996" customHeight="1" thickBot="1" x14ac:dyDescent="0.3">
      <c r="B792" s="17"/>
      <c r="C792" s="957"/>
      <c r="D792" s="957"/>
      <c r="E792" s="957"/>
      <c r="F792" s="957"/>
      <c r="G792" s="957"/>
      <c r="H792" s="957"/>
      <c r="I792" s="957"/>
      <c r="J792" s="957"/>
      <c r="K792" s="957"/>
      <c r="L792" s="957"/>
      <c r="M792" s="957"/>
      <c r="N792" s="957"/>
      <c r="O792" s="17"/>
    </row>
    <row r="793" spans="2:27" ht="14.4" thickBot="1" x14ac:dyDescent="0.3">
      <c r="B793" s="17"/>
      <c r="C793" s="456">
        <f>C613+1</f>
        <v>5</v>
      </c>
      <c r="D793" s="1234" t="str">
        <f>EUconst_BMSubinst &amp; ":"</f>
        <v>Sub-installation with product benchmark:</v>
      </c>
      <c r="E793" s="1176"/>
      <c r="F793" s="1176"/>
      <c r="G793" s="1176"/>
      <c r="H793" s="1260"/>
      <c r="I793" s="1550" t="str">
        <f>IF(INDEX(CNTR_SubInstListIsProdBM,$C793),INDEX(CNTR_SubInstListNames,$C793),"")</f>
        <v/>
      </c>
      <c r="J793" s="1509"/>
      <c r="K793" s="1509"/>
      <c r="L793" s="1509"/>
      <c r="M793" s="1509"/>
      <c r="N793" s="1189"/>
      <c r="O793" s="17"/>
      <c r="P793" s="372">
        <f>C793</f>
        <v>5</v>
      </c>
      <c r="Q793" s="288" t="s">
        <v>296</v>
      </c>
      <c r="R793" s="457" t="str">
        <f>IF(I793="","",INDEX(CNTR_SubInstStartDate,MATCH($I793,CNTR_SubInstListNames,0)))</f>
        <v/>
      </c>
      <c r="S793" s="458" t="b">
        <f>IF($I793="",FALSE,AND(I$1885, IF($R793&lt;DATE($L$1882,1,1),YEAR($R793)&lt;=I$1882,YEAR($R793-1)&lt;I$1882) ) )</f>
        <v>0</v>
      </c>
      <c r="T793" s="458" t="b">
        <f>IF($I793="",FALSE,AND(J$1885, IF($R793&lt;DATE($L$1882,1,1),YEAR($R793)&lt;=J$1882,YEAR($R793-1)&lt;J$1882) ) )</f>
        <v>0</v>
      </c>
      <c r="U793" s="458" t="b">
        <f>IF($I793="",FALSE,AND(K$1885, IF($R793&lt;DATE($L$1882,1,1),YEAR($R793)&lt;=K$1882,YEAR($R793-1)&lt;K$1882) ) )</f>
        <v>0</v>
      </c>
      <c r="V793" s="458" t="b">
        <f>IF($I793="",FALSE,AND(L$1885, IF($R793&lt;DATE($L$1882,1,1),YEAR($R793)&lt;=L$1882,YEAR($R793-1)&lt;L$1882) ) )</f>
        <v>0</v>
      </c>
      <c r="W793" s="458" t="b">
        <f>IF($I793="",FALSE,AND(M$1885, IF($R793&lt;DATE($L$1882,1,1),YEAR($R793)&lt;=M$1882,YEAR($R793-1)&lt;M$1882) ) )</f>
        <v>0</v>
      </c>
      <c r="Z793" s="288" t="s">
        <v>390</v>
      </c>
      <c r="AA793" s="410" t="b">
        <f>AND(CNTR_ExistSubInstEntries,I793="")</f>
        <v>0</v>
      </c>
    </row>
    <row r="794" spans="2:27" ht="5.0999999999999996" customHeight="1" x14ac:dyDescent="0.25">
      <c r="B794" s="17"/>
      <c r="C794" s="17"/>
      <c r="D794" s="17"/>
      <c r="E794" s="17"/>
      <c r="F794" s="17"/>
      <c r="G794" s="17"/>
      <c r="H794" s="17"/>
      <c r="I794" s="17"/>
      <c r="J794" s="17"/>
      <c r="K794" s="17"/>
      <c r="L794" s="17"/>
      <c r="M794" s="17"/>
      <c r="N794" s="17"/>
      <c r="O794" s="17"/>
    </row>
    <row r="795" spans="2:27" ht="12.75" customHeight="1" x14ac:dyDescent="0.25">
      <c r="B795" s="17"/>
      <c r="C795" s="17"/>
      <c r="D795" s="17"/>
      <c r="E795" s="1413" t="str">
        <f>CONCATENATE(EUconst_MsgSeeFirst," (F.I.1)")</f>
        <v>Detailed instructions for data entries in this tool can be found at the first copy of this tool.  (F.I.1)</v>
      </c>
      <c r="F795" s="1413"/>
      <c r="G795" s="1413"/>
      <c r="H795" s="1413"/>
      <c r="I795" s="1413"/>
      <c r="J795" s="1413"/>
      <c r="K795" s="1413"/>
      <c r="L795" s="1413"/>
      <c r="M795" s="1413"/>
      <c r="N795" s="1413"/>
      <c r="O795" s="17"/>
    </row>
    <row r="796" spans="2:27" ht="5.0999999999999996" customHeight="1" x14ac:dyDescent="0.25">
      <c r="B796" s="17"/>
      <c r="C796" s="17"/>
      <c r="D796" s="17"/>
      <c r="E796" s="17"/>
      <c r="F796" s="17"/>
      <c r="G796" s="17"/>
      <c r="H796" s="17"/>
      <c r="I796" s="17"/>
      <c r="J796" s="17"/>
      <c r="K796" s="17"/>
      <c r="L796" s="17"/>
      <c r="M796" s="17"/>
      <c r="N796" s="17"/>
      <c r="O796" s="17"/>
    </row>
    <row r="797" spans="2:27" ht="13.8" thickBot="1" x14ac:dyDescent="0.3">
      <c r="B797" s="17"/>
      <c r="C797" s="17"/>
      <c r="D797" s="15" t="s">
        <v>190</v>
      </c>
      <c r="E797" s="1165" t="str">
        <f>Translations!$B$670</f>
        <v>Historic activity levels</v>
      </c>
      <c r="F797" s="1176"/>
      <c r="G797" s="1176"/>
      <c r="H797" s="1176"/>
      <c r="I797" s="1176"/>
      <c r="J797" s="1176"/>
      <c r="K797" s="1176"/>
      <c r="L797" s="1176"/>
      <c r="M797" s="1176"/>
      <c r="N797" s="1176"/>
      <c r="O797" s="17"/>
    </row>
    <row r="798" spans="2:27" ht="13.5" customHeight="1" thickBot="1" x14ac:dyDescent="0.3">
      <c r="B798" s="17"/>
      <c r="C798" s="17"/>
      <c r="D798" s="15"/>
      <c r="E798" s="1259" t="str">
        <f>Translations!$B$676</f>
        <v>Annual activity levels:</v>
      </c>
      <c r="F798" s="1259"/>
      <c r="G798" s="1259"/>
      <c r="H798" s="23" t="str">
        <f>EUconst_Unit</f>
        <v>Unit</v>
      </c>
      <c r="I798" s="128">
        <f>I$1882</f>
        <v>2019</v>
      </c>
      <c r="J798" s="128">
        <f>J$1882</f>
        <v>2020</v>
      </c>
      <c r="K798" s="128">
        <f>K$1882</f>
        <v>2021</v>
      </c>
      <c r="L798" s="128">
        <f>L$1882</f>
        <v>2022</v>
      </c>
      <c r="M798" s="144">
        <f>M$1882</f>
        <v>2023</v>
      </c>
      <c r="N798" s="376" t="str">
        <f>IF(I793="","",IF(S803,YEAR(R793)+1,""))</f>
        <v/>
      </c>
      <c r="O798" s="17"/>
      <c r="Q798" s="147" t="s">
        <v>395</v>
      </c>
      <c r="R798" s="920"/>
      <c r="S798" s="920"/>
      <c r="T798" s="920"/>
      <c r="U798" s="920"/>
      <c r="V798" s="920"/>
      <c r="W798" s="921"/>
      <c r="Y798" s="316" t="b">
        <f>IF(CNTR_ExistSubInstEntries,IF(I793&lt;&gt;"",NOT(S803),TRUE),FALSE)</f>
        <v>0</v>
      </c>
      <c r="AA798" s="145" t="s">
        <v>396</v>
      </c>
    </row>
    <row r="799" spans="2:27" ht="13.8" thickBot="1" x14ac:dyDescent="0.3">
      <c r="B799" s="17"/>
      <c r="C799" s="17"/>
      <c r="D799" s="113" t="s">
        <v>206</v>
      </c>
      <c r="E799" s="1560" t="str">
        <f>I793</f>
        <v/>
      </c>
      <c r="F799" s="1560"/>
      <c r="G799" s="1560"/>
      <c r="H799" s="820" t="str">
        <f>IF(INDEX(CNTR_SubInstListIsProdBM,$C793),INDEX(CNTR_SubInstListHALUnit,$C793),EUconst_Tons)</f>
        <v>tonnes</v>
      </c>
      <c r="I799" s="231"/>
      <c r="J799" s="231"/>
      <c r="K799" s="231"/>
      <c r="L799" s="231"/>
      <c r="M799" s="375"/>
      <c r="N799" s="922"/>
      <c r="O799" s="17"/>
      <c r="P799" s="392" t="s">
        <v>397</v>
      </c>
      <c r="Q799" s="581" t="s">
        <v>398</v>
      </c>
      <c r="R799" s="65" t="s">
        <v>399</v>
      </c>
      <c r="S799" s="808">
        <f>I798</f>
        <v>2019</v>
      </c>
      <c r="T799" s="809">
        <f>J798</f>
        <v>2020</v>
      </c>
      <c r="U799" s="809">
        <f>K798</f>
        <v>2021</v>
      </c>
      <c r="V799" s="809">
        <f>L798</f>
        <v>2022</v>
      </c>
      <c r="W799" s="810">
        <f>M798</f>
        <v>2023</v>
      </c>
      <c r="Y799" s="406" t="b">
        <f>IF(CNTR_ExistSubInstEntries,IF(AND(I793&lt;&gt;"",N800=""),NOT(S803),TRUE),FALSE)</f>
        <v>0</v>
      </c>
      <c r="AA799" s="316" t="b">
        <f>IF(CNTR_ExistSubInstEntries,AND(I793&lt;&gt;"",Q803),FALSE)</f>
        <v>0</v>
      </c>
    </row>
    <row r="800" spans="2:27" ht="13.8" thickBot="1" x14ac:dyDescent="0.3">
      <c r="B800" s="17"/>
      <c r="C800" s="17"/>
      <c r="D800" s="113" t="s">
        <v>208</v>
      </c>
      <c r="E800" s="1560" t="str">
        <f>Translations!$B$677</f>
        <v>From sheet "H_SpecialBM":</v>
      </c>
      <c r="F800" s="1560"/>
      <c r="G800" s="1560"/>
      <c r="H800" s="820" t="str">
        <f>H799</f>
        <v>tonnes</v>
      </c>
      <c r="I800" s="148" t="str">
        <f>IF($I793="","",IF($Q803,SUMIF(H_SpecialBM!$P$9:$P$384,$P800,H_SpecialBM!I$9:I$384),""))</f>
        <v/>
      </c>
      <c r="J800" s="148" t="str">
        <f>IF($I793="","",IF($Q803,SUMIF(H_SpecialBM!$P$9:$P$384,$P800,H_SpecialBM!J$9:J$384),""))</f>
        <v/>
      </c>
      <c r="K800" s="148" t="str">
        <f>IF($I793="","",IF($Q803,SUMIF(H_SpecialBM!$P$9:$P$384,$P800,H_SpecialBM!K$9:K$384),""))</f>
        <v/>
      </c>
      <c r="L800" s="148" t="str">
        <f>IF($I793="","",IF($Q803,SUMIF(H_SpecialBM!$P$9:$P$384,$P800,H_SpecialBM!L$9:L$384),""))</f>
        <v/>
      </c>
      <c r="M800" s="923" t="str">
        <f>IF($I793="","",IF($Q803,SUMIF(H_SpecialBM!$P$9:$P$384,$P800,H_SpecialBM!M$9:M$384),""))</f>
        <v/>
      </c>
      <c r="N800" s="924" t="str">
        <f>IF($I793="","",IF(AND($Q803,$S803),SUMIF(H_SpecialBM!$P$9:$P$384,$P800,H_SpecialBM!N$9:N$384),""))</f>
        <v/>
      </c>
      <c r="O800" s="17"/>
      <c r="P800" s="392" t="str">
        <f>EUconst_CNTR_HALspecial&amp;I793</f>
        <v>HALspecial_</v>
      </c>
      <c r="Q800" s="391" t="str">
        <f>IF(COUNT($U800:$V800)&gt;0,SUM($U800:$V800),"")</f>
        <v/>
      </c>
      <c r="R800" s="925" t="str">
        <f>IF(COUNT(S800:W800)&gt;0,AVERAGE(S800:W800),"")</f>
        <v/>
      </c>
      <c r="S800" s="385" t="str">
        <f>IF(S793,IF(ISNUMBER(I800),I800,""),"")</f>
        <v/>
      </c>
      <c r="T800" s="926" t="str">
        <f>IF(T793,IF(ISNUMBER(J800),J800,""),"")</f>
        <v/>
      </c>
      <c r="U800" s="926" t="str">
        <f>IF(U793,IF(ISNUMBER(K800),K800,""),"")</f>
        <v/>
      </c>
      <c r="V800" s="926" t="str">
        <f>IF(V793,IF(ISNUMBER(L800),L800,""),"")</f>
        <v/>
      </c>
      <c r="W800" s="925" t="str">
        <f>IF(W793,IF(ISNUMBER(M800),M800,""),"")</f>
        <v/>
      </c>
      <c r="Y800" s="406" t="b">
        <f>OR(Y798,AA800)</f>
        <v>0</v>
      </c>
      <c r="AA800" s="317" t="b">
        <f>Q803=FALSE</f>
        <v>0</v>
      </c>
    </row>
    <row r="801" spans="2:27" ht="13.8" thickBot="1" x14ac:dyDescent="0.3">
      <c r="B801" s="17"/>
      <c r="C801" s="17"/>
      <c r="D801" s="113" t="s">
        <v>209</v>
      </c>
      <c r="E801" s="1560" t="str">
        <f>Translations!$B$678</f>
        <v>Values used for calculation:</v>
      </c>
      <c r="F801" s="1560"/>
      <c r="G801" s="1560"/>
      <c r="H801" s="820" t="str">
        <f>H800</f>
        <v>tonnes</v>
      </c>
      <c r="I801" s="148" t="str">
        <f>IF($I793="","",IF($Q803=TRUE,IF(ISNUMBER(I800),I800,0),IF(ISNUMBER(I799),I799,0)))</f>
        <v/>
      </c>
      <c r="J801" s="148" t="str">
        <f>IF($I793="","",IF($Q803=TRUE,IF(ISNUMBER(J800),J800,0),IF(ISNUMBER(J799),J799,0)))</f>
        <v/>
      </c>
      <c r="K801" s="148" t="str">
        <f>IF($I793="","",IF($Q803=TRUE,IF(ISNUMBER(K800),K800,0),IF(ISNUMBER(K799),K799,0)))</f>
        <v/>
      </c>
      <c r="L801" s="148" t="str">
        <f>IF($I793="","",IF($Q803=TRUE,IF(ISNUMBER(L800),L800,0),IF(ISNUMBER(L799),L799,0)))</f>
        <v/>
      </c>
      <c r="M801" s="923" t="str">
        <f>IF($I793="","",IF($Q803=TRUE,IF(ISNUMBER(M800),M800,0),IF(ISNUMBER(M799),M799,0)))</f>
        <v/>
      </c>
      <c r="N801" s="924" t="str">
        <f>IF($I793="","",IF(S803,IF($Q803=TRUE,IF(ISNUMBER(N800),N800,0),IF(ISNUMBER(N799),N799,0)),""))</f>
        <v/>
      </c>
      <c r="O801" s="17"/>
      <c r="P801" s="392" t="str">
        <f>EUconst_CNTR_HAL&amp;I793</f>
        <v>HAL_</v>
      </c>
      <c r="Q801" s="286" t="str">
        <f>IF(COUNT($U801:$V801)&gt;0,SUM($U801:$V801),"")</f>
        <v/>
      </c>
      <c r="R801" s="390" t="str">
        <f>IF(COUNT(S801:W801)&gt;0,AVERAGE(S801:W801),"")</f>
        <v/>
      </c>
      <c r="S801" s="388" t="str">
        <f>IF(S793,IF(ISNUMBER(I801),I801,""),"")</f>
        <v/>
      </c>
      <c r="T801" s="389" t="str">
        <f>IF(T793,IF(ISNUMBER(J801),J801,""),"")</f>
        <v/>
      </c>
      <c r="U801" s="389" t="str">
        <f>IF(U793,IF(ISNUMBER(K801),K801,""),"")</f>
        <v/>
      </c>
      <c r="V801" s="389" t="str">
        <f>IF(V793,IF(ISNUMBER(L801),L801,""),"")</f>
        <v/>
      </c>
      <c r="W801" s="390" t="str">
        <f>IF(W793,IF(ISNUMBER(M801),M801,""),"")</f>
        <v/>
      </c>
      <c r="Y801" s="286" t="b">
        <f>Y798</f>
        <v>0</v>
      </c>
    </row>
    <row r="802" spans="2:27" ht="5.0999999999999996" customHeight="1" x14ac:dyDescent="0.25">
      <c r="B802" s="17"/>
      <c r="C802" s="17"/>
      <c r="D802" s="17"/>
      <c r="E802" s="17"/>
      <c r="F802" s="17"/>
      <c r="G802" s="17"/>
      <c r="H802" s="17"/>
      <c r="I802" s="17"/>
      <c r="J802" s="17"/>
      <c r="K802" s="17"/>
      <c r="L802" s="17"/>
      <c r="M802" s="17"/>
      <c r="N802" s="17"/>
      <c r="O802" s="17"/>
    </row>
    <row r="803" spans="2:27" x14ac:dyDescent="0.25">
      <c r="B803" s="17"/>
      <c r="C803" s="17"/>
      <c r="D803" s="15" t="s">
        <v>192</v>
      </c>
      <c r="E803" s="1165" t="str">
        <f>Translations!$B$679</f>
        <v>Special reporting requirements:</v>
      </c>
      <c r="F803" s="1165"/>
      <c r="G803" s="1425"/>
      <c r="H803" s="1561" t="str">
        <f>IF(I793="","",HYPERLINK(INDEX(EUconst_BMlistSpecialJumpTable,MATCH(I793,EUconst_BMlistNames,0)),INDEX(EUconst_BMlistSpecialReporting,MATCH(I793,EUconst_BMlistNames,0))))</f>
        <v/>
      </c>
      <c r="I803" s="1562"/>
      <c r="J803" s="1562"/>
      <c r="K803" s="1562"/>
      <c r="L803" s="1562"/>
      <c r="M803" s="1562"/>
      <c r="N803" s="1563"/>
      <c r="O803" s="17"/>
      <c r="P803" s="288" t="s">
        <v>400</v>
      </c>
      <c r="Q803" s="63" t="str">
        <f>IF(I793="","",IF(AND(INDEX(EUconst_BMlistSpecialJumpTable,MATCH(I793,EUconst_BMlistNames,0))&lt;&gt;"",MATCH(I793,EUconst_BMlistNames,0)&lt;&gt;47),TRUE,FALSE))</f>
        <v/>
      </c>
      <c r="R803" s="288" t="s">
        <v>304</v>
      </c>
      <c r="S803" s="63" t="b">
        <f>IF(I793="",FALSE,INDEX(CNTR_SubInstLess1Year,MATCH(I793,CNTR_SubInstListNames,0)))</f>
        <v>0</v>
      </c>
    </row>
    <row r="804" spans="2:27" ht="12.75" customHeight="1" x14ac:dyDescent="0.25">
      <c r="B804" s="17"/>
      <c r="C804" s="17"/>
      <c r="D804" s="17"/>
      <c r="E804" s="17"/>
      <c r="F804" s="17"/>
      <c r="G804" s="17"/>
      <c r="H804" s="17"/>
      <c r="I804" s="17"/>
      <c r="J804" s="17"/>
      <c r="K804" s="17"/>
      <c r="L804" s="17"/>
      <c r="M804" s="17"/>
      <c r="N804" s="17"/>
      <c r="O804" s="17"/>
    </row>
    <row r="805" spans="2:27" ht="15" customHeight="1" x14ac:dyDescent="0.25">
      <c r="B805" s="17"/>
      <c r="C805" s="17"/>
      <c r="D805" s="1234" t="str">
        <f>Translations!$B$681</f>
        <v>Further correction factors</v>
      </c>
      <c r="E805" s="1176"/>
      <c r="F805" s="1176"/>
      <c r="G805" s="1176"/>
      <c r="H805" s="1176"/>
      <c r="I805" s="1176"/>
      <c r="J805" s="1176"/>
      <c r="K805" s="1176"/>
      <c r="L805" s="1176"/>
      <c r="M805" s="1176"/>
      <c r="N805" s="1176"/>
      <c r="O805" s="17"/>
    </row>
    <row r="806" spans="2:27" ht="5.0999999999999996" customHeight="1" x14ac:dyDescent="0.25">
      <c r="B806" s="17"/>
      <c r="C806" s="17"/>
      <c r="D806" s="17"/>
      <c r="E806" s="17"/>
      <c r="F806" s="17"/>
      <c r="G806" s="17"/>
      <c r="H806" s="17"/>
      <c r="I806" s="17"/>
      <c r="J806" s="17"/>
      <c r="K806" s="17"/>
      <c r="L806" s="17"/>
      <c r="M806" s="17"/>
      <c r="N806" s="17"/>
      <c r="O806" s="17"/>
    </row>
    <row r="807" spans="2:27" ht="13.8" thickBot="1" x14ac:dyDescent="0.3">
      <c r="B807" s="17"/>
      <c r="C807" s="17"/>
      <c r="D807" s="15" t="s">
        <v>195</v>
      </c>
      <c r="E807" s="1165" t="str">
        <f>Translations!$B$682</f>
        <v>Exchangeability of fuel and electricity:</v>
      </c>
      <c r="F807" s="1176"/>
      <c r="G807" s="1176"/>
      <c r="H807" s="1176"/>
      <c r="I807" s="1260"/>
      <c r="J807" s="1561" t="str">
        <f>IF(I793="","",IF(INDEX(EUconst_BMlistElExchangability,MATCH(I793,EUconst_BMlistNames,0))=TRUE,"",HYPERLINK(Q807,EUconst_MsgGoOn)))</f>
        <v/>
      </c>
      <c r="K807" s="1564"/>
      <c r="L807" s="1564"/>
      <c r="M807" s="1564"/>
      <c r="N807" s="1205"/>
      <c r="O807" s="17"/>
      <c r="P807" s="145" t="s">
        <v>334</v>
      </c>
      <c r="Q807" s="372" t="str">
        <f>"#"&amp;ADDRESS(ROW(D815),COLUMN(D815))</f>
        <v>#$D$815</v>
      </c>
    </row>
    <row r="808" spans="2:27" ht="13.8" thickBot="1" x14ac:dyDescent="0.3">
      <c r="B808" s="17"/>
      <c r="C808" s="17"/>
      <c r="D808" s="15"/>
      <c r="E808" s="1259" t="str">
        <f>Translations!$B$686</f>
        <v>Parameter</v>
      </c>
      <c r="F808" s="1212"/>
      <c r="G808" s="1212"/>
      <c r="H808" s="23" t="str">
        <f>EUconst_Unit</f>
        <v>Unit</v>
      </c>
      <c r="I808" s="128">
        <f>I$66</f>
        <v>2019</v>
      </c>
      <c r="J808" s="128">
        <f>J$66</f>
        <v>2020</v>
      </c>
      <c r="K808" s="128">
        <f>K$66</f>
        <v>2021</v>
      </c>
      <c r="L808" s="128">
        <f>L$66</f>
        <v>2022</v>
      </c>
      <c r="M808" s="144">
        <f>M$66</f>
        <v>2023</v>
      </c>
      <c r="N808" s="376" t="str">
        <f>IF(AA809=FALSE,N798,"")</f>
        <v/>
      </c>
      <c r="O808" s="17"/>
      <c r="Y808" s="316" t="b">
        <f>OR(Y798,AA809)</f>
        <v>0</v>
      </c>
      <c r="AA808" s="145" t="s">
        <v>402</v>
      </c>
    </row>
    <row r="809" spans="2:27" ht="13.8" thickBot="1" x14ac:dyDescent="0.3">
      <c r="B809" s="17"/>
      <c r="C809" s="17"/>
      <c r="D809" s="113" t="s">
        <v>206</v>
      </c>
      <c r="E809" s="1248" t="str">
        <f>Translations!$B$687</f>
        <v>Direct emissions</v>
      </c>
      <c r="F809" s="1248"/>
      <c r="G809" s="1248"/>
      <c r="H809" s="222" t="str">
        <f>EUconst_tCO2pa</f>
        <v>t CO2 / year</v>
      </c>
      <c r="I809" s="331"/>
      <c r="J809" s="331"/>
      <c r="K809" s="332"/>
      <c r="L809" s="331"/>
      <c r="M809" s="377"/>
      <c r="N809" s="383"/>
      <c r="O809" s="17"/>
      <c r="Y809" s="285" t="b">
        <f>Y808</f>
        <v>0</v>
      </c>
      <c r="AA809" s="316" t="b">
        <f>IF(CNTR_ExistSubInstEntries,IF(I793&lt;&gt;"",IF(INDEX(EUconst_BMlistElExchangability,MATCH(I793,EUconst_BMlistNames,0)),FALSE,TRUE),TRUE),FALSE)</f>
        <v>0</v>
      </c>
    </row>
    <row r="810" spans="2:27" x14ac:dyDescent="0.25">
      <c r="B810" s="17"/>
      <c r="C810" s="17"/>
      <c r="D810" s="113" t="s">
        <v>208</v>
      </c>
      <c r="E810" s="1251" t="str">
        <f>Translations!$B$688</f>
        <v>Net imported heat</v>
      </c>
      <c r="F810" s="1251"/>
      <c r="G810" s="1251"/>
      <c r="H810" s="225" t="str">
        <f>EUconst_TJpa</f>
        <v>TJ / year</v>
      </c>
      <c r="I810" s="226" t="str">
        <f>IF($I793&lt;&gt;"",IF(INDEX(EUconst_BMlistElExchangability,MATCH($I793,EUconst_BMlistNames,0)),SUM(I894),""),"")</f>
        <v/>
      </c>
      <c r="J810" s="226" t="str">
        <f>IF($I793&lt;&gt;"",IF(INDEX(EUconst_BMlistElExchangability,MATCH($I793,EUconst_BMlistNames,0)),SUM(J894),""),"")</f>
        <v/>
      </c>
      <c r="K810" s="226" t="str">
        <f>IF($I793&lt;&gt;"",IF(INDEX(EUconst_BMlistElExchangability,MATCH($I793,EUconst_BMlistNames,0)),SUM(K894),""),"")</f>
        <v/>
      </c>
      <c r="L810" s="226" t="str">
        <f>IF($I793&lt;&gt;"",IF(INDEX(EUconst_BMlistElExchangability,MATCH($I793,EUconst_BMlistNames,0)),SUM(L894),""),"")</f>
        <v/>
      </c>
      <c r="M810" s="378" t="str">
        <f>IF($I793&lt;&gt;"",IF(INDEX(EUconst_BMlistElExchangability,MATCH($I793,EUconst_BMlistNames,0)),SUM(M894),""),"")</f>
        <v/>
      </c>
      <c r="N810" s="384"/>
      <c r="O810" s="17"/>
      <c r="R810" s="459"/>
      <c r="S810" s="326">
        <f>I808</f>
        <v>2019</v>
      </c>
      <c r="T810" s="326">
        <f>J808</f>
        <v>2020</v>
      </c>
      <c r="U810" s="326">
        <f>K808</f>
        <v>2021</v>
      </c>
      <c r="V810" s="326">
        <f>L808</f>
        <v>2022</v>
      </c>
      <c r="W810" s="327">
        <f>M808</f>
        <v>2023</v>
      </c>
      <c r="Y810" s="285" t="b">
        <f>Y809</f>
        <v>0</v>
      </c>
      <c r="AA810" s="285" t="b">
        <f>AA809</f>
        <v>0</v>
      </c>
    </row>
    <row r="811" spans="2:27" ht="12.75" customHeight="1" thickBot="1" x14ac:dyDescent="0.3">
      <c r="B811" s="17"/>
      <c r="C811" s="17"/>
      <c r="D811" s="113" t="s">
        <v>209</v>
      </c>
      <c r="E811" s="1565" t="str">
        <f>Translations!$B$689</f>
        <v>Relevant electricity consumption</v>
      </c>
      <c r="F811" s="1565"/>
      <c r="G811" s="1565"/>
      <c r="H811" s="927" t="str">
        <f>EUconst_MWhpa</f>
        <v>MWh / year</v>
      </c>
      <c r="I811" s="928"/>
      <c r="J811" s="928"/>
      <c r="K811" s="928"/>
      <c r="L811" s="928"/>
      <c r="M811" s="929"/>
      <c r="N811" s="930"/>
      <c r="O811" s="17"/>
      <c r="P811" s="63" t="str">
        <f>EUconst_CNTR_HAL&amp;EUconst_CNTR_ELEXCH</f>
        <v>HAL_ELEXCH_</v>
      </c>
      <c r="Q811" s="63" t="str">
        <f>EUconst_CNTR_HAL&amp;EUconst_CNTR_ELEXCH &amp; I793</f>
        <v>HAL_ELEXCH_</v>
      </c>
      <c r="R811" s="460" t="str">
        <f>EUconst_CNTR_AttributedEmissions &amp; I793</f>
        <v>AttrEmissions_</v>
      </c>
      <c r="S811" s="389" t="str">
        <f>IF(S793,SUM(I811)*EUconst_ElBM,"")</f>
        <v/>
      </c>
      <c r="T811" s="389" t="str">
        <f>IF(T793,SUM(J811)*EUconst_ElBM,"")</f>
        <v/>
      </c>
      <c r="U811" s="389" t="str">
        <f>IF(U793,SUM(K811)*EUconst_ElBM,"")</f>
        <v/>
      </c>
      <c r="V811" s="389" t="str">
        <f>IF(V793,SUM(L811)*EUconst_ElBM,"")</f>
        <v/>
      </c>
      <c r="W811" s="390" t="str">
        <f>IF(W793,SUM(M811)*EUconst_ElBM,"")</f>
        <v/>
      </c>
      <c r="X811" s="145" t="str">
        <f>N808</f>
        <v/>
      </c>
      <c r="Y811" s="285" t="b">
        <f>Y810</f>
        <v>0</v>
      </c>
      <c r="AA811" s="285" t="b">
        <f>AA810</f>
        <v>0</v>
      </c>
    </row>
    <row r="812" spans="2:27" ht="13.8" thickBot="1" x14ac:dyDescent="0.3">
      <c r="B812" s="17"/>
      <c r="C812" s="17"/>
      <c r="D812" s="113" t="s">
        <v>210</v>
      </c>
      <c r="E812" s="1248" t="str">
        <f>Translations!$B$690</f>
        <v>Total direct emissions</v>
      </c>
      <c r="F812" s="1248"/>
      <c r="G812" s="1248"/>
      <c r="H812" s="222" t="str">
        <f>EUconst_tCO2pa</f>
        <v>t CO2 / year</v>
      </c>
      <c r="I812" s="223" t="str">
        <f>IF(ISNUMBER(I809),I809+SUM(I810)*EUconst_HeatBMvalue,"")</f>
        <v/>
      </c>
      <c r="J812" s="223" t="str">
        <f>IF(ISNUMBER(J809),J809+SUM(J810)*EUconst_HeatBMvalue,"")</f>
        <v/>
      </c>
      <c r="K812" s="224" t="str">
        <f>IF(ISNUMBER(K809),K809+SUM(K810)*EUconst_HeatBMvalue,"")</f>
        <v/>
      </c>
      <c r="L812" s="223" t="str">
        <f>IF(ISNUMBER(L809),L809+SUM(L810)*EUconst_HeatBMvalue,"")</f>
        <v/>
      </c>
      <c r="M812" s="379" t="str">
        <f>IF(ISNUMBER(M809),M809+SUM(M810)*EUconst_HeatBMvalue,"")</f>
        <v/>
      </c>
      <c r="N812" s="381" t="str">
        <f>IF(AND(S803,ISNUMBER(N809)),N809+SUM(N810)*EUconst_HeatBMvalue,"")</f>
        <v/>
      </c>
      <c r="O812" s="17"/>
      <c r="R812" s="288" t="s">
        <v>403</v>
      </c>
      <c r="S812" s="385" t="str">
        <f>IF(S793,IF(ISNUMBER(I812),I812,0),"")</f>
        <v/>
      </c>
      <c r="T812" s="386" t="str">
        <f>IF(T793,IF(ISNUMBER(J812),J812,0),"")</f>
        <v/>
      </c>
      <c r="U812" s="386" t="str">
        <f>IF(U793,IF(ISNUMBER(K812),K812,0),"")</f>
        <v/>
      </c>
      <c r="V812" s="386" t="str">
        <f>IF(V793,IF(ISNUMBER(L812),L812,0),"")</f>
        <v/>
      </c>
      <c r="W812" s="387" t="str">
        <f>IF(W793,IF(ISNUMBER(M812),M812,0),"")</f>
        <v/>
      </c>
      <c r="X812" s="391" t="str">
        <f>IF(S803,IF(ISNUMBER(N812),N812,0),"")</f>
        <v/>
      </c>
      <c r="Y812" s="285" t="b">
        <f>Y811</f>
        <v>0</v>
      </c>
      <c r="AA812" s="285" t="b">
        <f>AA811</f>
        <v>0</v>
      </c>
    </row>
    <row r="813" spans="2:27" ht="13.8" thickBot="1" x14ac:dyDescent="0.3">
      <c r="B813" s="17"/>
      <c r="C813" s="17"/>
      <c r="D813" s="113" t="s">
        <v>220</v>
      </c>
      <c r="E813" s="1254" t="str">
        <f>Translations!$B$691</f>
        <v>Indirect emissions</v>
      </c>
      <c r="F813" s="1254"/>
      <c r="G813" s="1254"/>
      <c r="H813" s="227" t="str">
        <f>EUconst_tCO2pa</f>
        <v>t CO2 / year</v>
      </c>
      <c r="I813" s="228" t="str">
        <f t="shared" ref="I813:N813" si="16">IF(ISNUMBER(I811),I811*EUconst_ElBM,"")</f>
        <v/>
      </c>
      <c r="J813" s="228" t="str">
        <f t="shared" si="16"/>
        <v/>
      </c>
      <c r="K813" s="229" t="str">
        <f t="shared" si="16"/>
        <v/>
      </c>
      <c r="L813" s="228" t="str">
        <f t="shared" si="16"/>
        <v/>
      </c>
      <c r="M813" s="380" t="str">
        <f t="shared" si="16"/>
        <v/>
      </c>
      <c r="N813" s="382" t="str">
        <f t="shared" si="16"/>
        <v/>
      </c>
      <c r="O813" s="17"/>
      <c r="P813" s="392" t="str">
        <f>EUconst_CNTR_ELEXCH &amp; I793</f>
        <v>ELEXCH_</v>
      </c>
      <c r="Q813" s="393" t="str">
        <f>IF(SUM(S813:X813)&lt;&gt;0,SUM(S812:X812)/SUM(S813:X813),EUconst_NA)</f>
        <v>N.A.</v>
      </c>
      <c r="R813" s="288" t="s">
        <v>323</v>
      </c>
      <c r="S813" s="388" t="str">
        <f>IF(S793,IF(COUNT(I812:I813)&gt;0,SUM(I812:I813),0),"")</f>
        <v/>
      </c>
      <c r="T813" s="389" t="str">
        <f>IF(T793,IF(COUNT(J812:J813)&gt;0,SUM(J812:J813),0),"")</f>
        <v/>
      </c>
      <c r="U813" s="389" t="str">
        <f>IF(U793,IF(COUNT(K812:K813)&gt;0,SUM(K812:K813),0),"")</f>
        <v/>
      </c>
      <c r="V813" s="389" t="str">
        <f>IF(V793,IF(COUNT(L812:L813)&gt;0,SUM(L812:L813),0),"")</f>
        <v/>
      </c>
      <c r="W813" s="390" t="str">
        <f>IF(W793,IF(COUNT(M812:M813)&gt;0,SUM(M812:M813),0),"")</f>
        <v/>
      </c>
      <c r="X813" s="286" t="str">
        <f>IF(S803,IF(COUNT(N812:N813)&gt;0,SUM(N812:N813),0),"")</f>
        <v/>
      </c>
      <c r="Y813" s="286" t="b">
        <f>Y812</f>
        <v>0</v>
      </c>
      <c r="AA813" s="286" t="b">
        <f>AA812</f>
        <v>0</v>
      </c>
    </row>
    <row r="814" spans="2:27" ht="5.0999999999999996" customHeight="1" x14ac:dyDescent="0.25">
      <c r="B814" s="17"/>
      <c r="C814" s="17"/>
      <c r="D814" s="17"/>
      <c r="E814" s="17"/>
      <c r="F814" s="17"/>
      <c r="G814" s="17"/>
      <c r="H814" s="17"/>
      <c r="I814" s="17"/>
      <c r="J814" s="17"/>
      <c r="K814" s="17"/>
      <c r="L814" s="17"/>
      <c r="M814" s="17"/>
      <c r="N814" s="17"/>
      <c r="O814" s="17"/>
    </row>
    <row r="815" spans="2:27" x14ac:dyDescent="0.25">
      <c r="B815" s="17"/>
      <c r="C815" s="17"/>
      <c r="D815" s="15" t="s">
        <v>197</v>
      </c>
      <c r="E815" s="1165" t="str">
        <f>Translations!$B$692</f>
        <v>Heat imported from non-ETS installations or entities:</v>
      </c>
      <c r="F815" s="1165"/>
      <c r="G815" s="1165"/>
      <c r="H815" s="1165"/>
      <c r="I815" s="1425"/>
      <c r="J815" s="1561" t="str">
        <f>IF(I793="","",HYPERLINK(Q815,EUconst_MsgGoOnIfNotRelevant))</f>
        <v/>
      </c>
      <c r="K815" s="1564"/>
      <c r="L815" s="1564"/>
      <c r="M815" s="1564"/>
      <c r="N815" s="1205"/>
      <c r="O815" s="17"/>
      <c r="P815" s="145" t="s">
        <v>334</v>
      </c>
      <c r="Q815" s="372" t="str">
        <f>"#"&amp;ADDRESS(ROW(D822),COLUMN(D822))</f>
        <v>#$D$822</v>
      </c>
    </row>
    <row r="816" spans="2:27" ht="13.5" customHeight="1" thickBot="1" x14ac:dyDescent="0.3">
      <c r="B816" s="17"/>
      <c r="C816" s="17"/>
      <c r="D816" s="17"/>
      <c r="E816" s="1223"/>
      <c r="F816" s="1223"/>
      <c r="G816" s="1223"/>
      <c r="H816" s="1223"/>
      <c r="I816" s="1223"/>
      <c r="J816" s="1223"/>
      <c r="K816" s="1223"/>
      <c r="L816" s="1223"/>
      <c r="M816" s="1223"/>
      <c r="N816" s="1223"/>
      <c r="O816" s="17"/>
      <c r="Y816" s="145" t="s">
        <v>394</v>
      </c>
    </row>
    <row r="817" spans="2:27" ht="13.8" thickBot="1" x14ac:dyDescent="0.3">
      <c r="B817" s="17"/>
      <c r="C817" s="17"/>
      <c r="D817" s="15"/>
      <c r="E817" s="1259" t="str">
        <f>Translations!$B$686</f>
        <v>Parameter</v>
      </c>
      <c r="F817" s="1212"/>
      <c r="G817" s="1212"/>
      <c r="H817" s="23" t="str">
        <f>EUconst_Unit</f>
        <v>Unit</v>
      </c>
      <c r="I817" s="128">
        <f>I$66</f>
        <v>2019</v>
      </c>
      <c r="J817" s="128">
        <f>J$66</f>
        <v>2020</v>
      </c>
      <c r="K817" s="128">
        <f>K$66</f>
        <v>2021</v>
      </c>
      <c r="L817" s="128">
        <f>L$66</f>
        <v>2022</v>
      </c>
      <c r="M817" s="144">
        <f>M$66</f>
        <v>2023</v>
      </c>
      <c r="N817" s="376" t="str">
        <f>N808</f>
        <v/>
      </c>
      <c r="O817" s="17"/>
      <c r="Q817" s="28"/>
      <c r="S817" s="28">
        <f t="shared" ref="S817:X817" si="17">I817</f>
        <v>2019</v>
      </c>
      <c r="T817" s="28">
        <f t="shared" si="17"/>
        <v>2020</v>
      </c>
      <c r="U817" s="28">
        <f t="shared" si="17"/>
        <v>2021</v>
      </c>
      <c r="V817" s="28">
        <f t="shared" si="17"/>
        <v>2022</v>
      </c>
      <c r="W817" s="28">
        <f t="shared" si="17"/>
        <v>2023</v>
      </c>
      <c r="X817" s="145" t="str">
        <f t="shared" si="17"/>
        <v/>
      </c>
      <c r="Y817" s="295" t="b">
        <f>Y798</f>
        <v>0</v>
      </c>
      <c r="Z817" s="28"/>
      <c r="AA817" s="145" t="s">
        <v>396</v>
      </c>
    </row>
    <row r="818" spans="2:27" ht="13.8" thickBot="1" x14ac:dyDescent="0.3">
      <c r="B818" s="17"/>
      <c r="C818" s="17"/>
      <c r="D818" s="113" t="s">
        <v>206</v>
      </c>
      <c r="E818" s="1412" t="str">
        <f>Translations!$B$697</f>
        <v>Measurable heat imported from non-ETS:</v>
      </c>
      <c r="F818" s="1412"/>
      <c r="G818" s="1412"/>
      <c r="H818" s="43" t="str">
        <f>EUconst_TJpa</f>
        <v>TJ / year</v>
      </c>
      <c r="I818" s="293"/>
      <c r="J818" s="293"/>
      <c r="K818" s="293"/>
      <c r="L818" s="293"/>
      <c r="M818" s="931"/>
      <c r="N818" s="397"/>
      <c r="O818" s="17"/>
      <c r="P818" s="63" t="str">
        <f>EUconst_CNTR_HAL&amp;EUconst_CNTR_nonETSMeasHeat</f>
        <v>HAL_non-ETS measurable heat</v>
      </c>
      <c r="S818" s="808" t="str">
        <f>IF(S793,IF(ISNUMBER(I818),I818,0),"")</f>
        <v/>
      </c>
      <c r="T818" s="809" t="str">
        <f>IF(T793,IF(ISNUMBER(J818),J818,0),"")</f>
        <v/>
      </c>
      <c r="U818" s="809" t="str">
        <f>IF(U793,IF(ISNUMBER(K818),K818,0),"")</f>
        <v/>
      </c>
      <c r="V818" s="809" t="str">
        <f>IF(V793,IF(ISNUMBER(L818),L818,0),"")</f>
        <v/>
      </c>
      <c r="W818" s="810" t="str">
        <f>IF(W793,IF(ISNUMBER(M818),M818,0),"")</f>
        <v/>
      </c>
      <c r="X818" s="215" t="str">
        <f>IF(S803,IF(ISNUMBER(N818),N818,0),"")</f>
        <v/>
      </c>
      <c r="Y818" s="286" t="b">
        <f>Y817</f>
        <v>0</v>
      </c>
      <c r="AA818" s="316" t="b">
        <f>AND(CNTR_ExistSubInstEntries,I793="")</f>
        <v>0</v>
      </c>
    </row>
    <row r="819" spans="2:27" ht="25.5" customHeight="1" thickBot="1" x14ac:dyDescent="0.3">
      <c r="B819" s="17"/>
      <c r="C819" s="17"/>
      <c r="D819" s="113" t="s">
        <v>208</v>
      </c>
      <c r="E819" s="1248" t="str">
        <f>Translations!$B$698</f>
        <v>Consistency check with sheet "E_Energy flows":</v>
      </c>
      <c r="F819" s="1248"/>
      <c r="G819" s="1248"/>
      <c r="H819" s="856" t="s">
        <v>354</v>
      </c>
      <c r="I819" s="932" t="str">
        <f>IF(AND(ISNUMBER(I818),ISNUMBER(E_EnergyFlows!I$102)), I818/E_EnergyFlows!I$102*100,"")</f>
        <v/>
      </c>
      <c r="J819" s="932" t="str">
        <f>IF(AND(ISNUMBER(J818),ISNUMBER(E_EnergyFlows!J$102)), J818/E_EnergyFlows!J$102*100,"")</f>
        <v/>
      </c>
      <c r="K819" s="932" t="str">
        <f>IF(AND(ISNUMBER(K818),ISNUMBER(E_EnergyFlows!K$102)), K818/E_EnergyFlows!K$102*100,"")</f>
        <v/>
      </c>
      <c r="L819" s="932" t="str">
        <f>IF(AND(ISNUMBER(L818),ISNUMBER(E_EnergyFlows!L$102)), L818/E_EnergyFlows!L$102*100,"")</f>
        <v/>
      </c>
      <c r="M819" s="933" t="str">
        <f>IF(AND(ISNUMBER(M818),ISNUMBER(E_EnergyFlows!M$102)), M818/E_EnergyFlows!M$102*100,"")</f>
        <v/>
      </c>
      <c r="N819" s="646"/>
      <c r="O819" s="17"/>
      <c r="P819" s="392" t="str">
        <f>EUconst_CNTR_HEAT &amp; I793</f>
        <v>HEAT_</v>
      </c>
      <c r="Q819" s="109" t="str">
        <f>IF(COUNT(S818:X818)&gt;0,AVERAGE(S818:X818)*EUconst_HeatBMvalue,EUconst_NA)</f>
        <v>N.A.</v>
      </c>
      <c r="AA819" s="815"/>
    </row>
    <row r="820" spans="2:27" ht="12.75" customHeight="1" x14ac:dyDescent="0.25">
      <c r="B820" s="17"/>
      <c r="C820" s="17"/>
      <c r="D820" s="113" t="s">
        <v>209</v>
      </c>
      <c r="E820" s="1254" t="str">
        <f>Translations!$B$699</f>
        <v>Consistency check with point (k)(i):</v>
      </c>
      <c r="F820" s="1254"/>
      <c r="G820" s="1254"/>
      <c r="H820" s="860" t="s">
        <v>354</v>
      </c>
      <c r="I820" s="934" t="str">
        <f>IF(AND(I894&gt;0,ISNUMBER(I818)), I818/I894*100,"")</f>
        <v/>
      </c>
      <c r="J820" s="934" t="str">
        <f>IF(AND(J894&gt;0,ISNUMBER(J818)), J818/J894*100,"")</f>
        <v/>
      </c>
      <c r="K820" s="934" t="str">
        <f>IF(AND(K894&gt;0,ISNUMBER(K818)), K818/K894*100,"")</f>
        <v/>
      </c>
      <c r="L820" s="934" t="str">
        <f>IF(AND(L894&gt;0,ISNUMBER(L818)), L818/L894*100,"")</f>
        <v/>
      </c>
      <c r="M820" s="935" t="str">
        <f>IF(AND(M894&gt;0,ISNUMBER(M818)), M818/M894*100,"")</f>
        <v/>
      </c>
      <c r="N820" s="646"/>
      <c r="O820" s="17"/>
      <c r="AA820" s="815"/>
    </row>
    <row r="821" spans="2:27" ht="12.75" customHeight="1" x14ac:dyDescent="0.25">
      <c r="B821" s="17"/>
      <c r="C821" s="17"/>
      <c r="D821" s="17"/>
      <c r="E821" s="17"/>
      <c r="F821" s="17"/>
      <c r="G821" s="17"/>
      <c r="H821" s="17"/>
      <c r="I821" s="31"/>
      <c r="J821" s="17"/>
      <c r="K821" s="17"/>
      <c r="L821" s="17"/>
      <c r="M821" s="17"/>
      <c r="N821" s="17"/>
      <c r="O821" s="17"/>
      <c r="P821" s="44"/>
      <c r="AA821" s="815"/>
    </row>
    <row r="822" spans="2:27" ht="13.8" x14ac:dyDescent="0.25">
      <c r="B822" s="17"/>
      <c r="C822" s="338"/>
      <c r="D822" s="1234" t="str">
        <f>Translations!$B$700</f>
        <v>Production details</v>
      </c>
      <c r="E822" s="1176"/>
      <c r="F822" s="1176"/>
      <c r="G822" s="1176"/>
      <c r="H822" s="1176"/>
      <c r="I822" s="1176"/>
      <c r="J822" s="1176"/>
      <c r="K822" s="1176"/>
      <c r="L822" s="1176"/>
      <c r="M822" s="1176"/>
      <c r="N822" s="1176"/>
      <c r="O822" s="17"/>
      <c r="AA822" s="815"/>
    </row>
    <row r="823" spans="2:27" ht="5.0999999999999996" customHeight="1" x14ac:dyDescent="0.25">
      <c r="B823" s="17"/>
      <c r="C823" s="17"/>
      <c r="D823" s="17"/>
      <c r="E823" s="17"/>
      <c r="F823" s="17"/>
      <c r="G823" s="17"/>
      <c r="H823" s="17"/>
      <c r="I823" s="17"/>
      <c r="J823" s="17"/>
      <c r="K823" s="17"/>
      <c r="L823" s="17"/>
      <c r="M823" s="17"/>
      <c r="N823" s="17"/>
      <c r="O823" s="17"/>
      <c r="AA823" s="815"/>
    </row>
    <row r="824" spans="2:27" x14ac:dyDescent="0.25">
      <c r="B824" s="17"/>
      <c r="C824" s="15"/>
      <c r="D824" s="15" t="s">
        <v>202</v>
      </c>
      <c r="E824" s="1165" t="str">
        <f>Translations!$B$701</f>
        <v>Identification of products included in this product benchmark sub-installation</v>
      </c>
      <c r="F824" s="1176"/>
      <c r="G824" s="1176"/>
      <c r="H824" s="1176"/>
      <c r="I824" s="1176"/>
      <c r="J824" s="1176"/>
      <c r="K824" s="1176"/>
      <c r="L824" s="1176"/>
      <c r="M824" s="1176"/>
      <c r="N824" s="1176"/>
      <c r="O824" s="17"/>
      <c r="AA824" s="815"/>
    </row>
    <row r="825" spans="2:27" ht="13.2" customHeight="1" x14ac:dyDescent="0.25">
      <c r="B825" s="17"/>
      <c r="C825" s="17"/>
      <c r="D825" s="17"/>
      <c r="E825" s="1223" t="s">
        <v>443</v>
      </c>
      <c r="F825" s="1176"/>
      <c r="G825" s="1176"/>
      <c r="H825" s="1176"/>
      <c r="I825" s="1176"/>
      <c r="J825" s="1176"/>
      <c r="K825" s="1176"/>
      <c r="L825" s="1176"/>
      <c r="M825" s="1176"/>
      <c r="N825" s="1176"/>
      <c r="O825" s="17"/>
      <c r="AA825" s="815"/>
    </row>
    <row r="826" spans="2:27" x14ac:dyDescent="0.25">
      <c r="B826" s="17"/>
      <c r="C826" s="17"/>
      <c r="D826" s="17"/>
      <c r="E826" s="1554" t="s">
        <v>408</v>
      </c>
      <c r="F826" s="1555"/>
      <c r="G826" s="1555"/>
      <c r="H826" s="1555"/>
      <c r="I826" s="1555"/>
      <c r="J826" s="1555"/>
      <c r="K826" s="1555"/>
      <c r="L826" s="1555"/>
      <c r="M826" s="1555"/>
      <c r="N826" s="1555"/>
      <c r="O826" s="17"/>
      <c r="AA826" s="815"/>
    </row>
    <row r="827" spans="2:27" ht="5.0999999999999996" customHeight="1" x14ac:dyDescent="0.25">
      <c r="B827" s="17"/>
      <c r="C827" s="17"/>
      <c r="D827" s="17"/>
      <c r="E827" s="17"/>
      <c r="F827" s="17"/>
      <c r="G827" s="17"/>
      <c r="H827" s="17"/>
      <c r="I827" s="17"/>
      <c r="J827" s="17"/>
      <c r="K827" s="17"/>
      <c r="L827" s="17"/>
      <c r="M827" s="17"/>
      <c r="N827" s="17"/>
      <c r="O827" s="17"/>
      <c r="AA827" s="815"/>
    </row>
    <row r="828" spans="2:27" x14ac:dyDescent="0.25">
      <c r="B828" s="17"/>
      <c r="C828" s="15"/>
      <c r="D828" s="15" t="s">
        <v>199</v>
      </c>
      <c r="E828" s="1165" t="str">
        <f>Translations!$B$706</f>
        <v>Individual production levels of products included in this product benchmark sub-installation</v>
      </c>
      <c r="F828" s="1176"/>
      <c r="G828" s="1176"/>
      <c r="H828" s="1176"/>
      <c r="I828" s="1176"/>
      <c r="J828" s="1176"/>
      <c r="K828" s="1176"/>
      <c r="L828" s="1176"/>
      <c r="M828" s="1176"/>
      <c r="N828" s="1176"/>
      <c r="O828" s="17"/>
      <c r="AA828" s="815"/>
    </row>
    <row r="829" spans="2:27" ht="5.0999999999999996" customHeight="1" x14ac:dyDescent="0.25">
      <c r="B829" s="17"/>
      <c r="C829" s="17"/>
      <c r="D829" s="17"/>
      <c r="E829" s="884"/>
      <c r="F829" s="884"/>
      <c r="G829" s="884"/>
      <c r="H829" s="884"/>
      <c r="I829" s="884"/>
      <c r="J829" s="77"/>
      <c r="K829" s="77"/>
      <c r="L829" s="77"/>
      <c r="M829" s="17"/>
      <c r="N829" s="17"/>
      <c r="O829" s="17"/>
      <c r="AA829" s="815"/>
    </row>
    <row r="830" spans="2:27" ht="25.5" customHeight="1" x14ac:dyDescent="0.25">
      <c r="B830" s="17"/>
      <c r="C830" s="17"/>
      <c r="D830" s="26"/>
      <c r="E830" s="129" t="s">
        <v>409</v>
      </c>
      <c r="F830" s="1556" t="str">
        <f>Translations!$B$707</f>
        <v>Name of product or group of products</v>
      </c>
      <c r="G830" s="1557"/>
      <c r="H830" s="461" t="str">
        <f>EUconst_Unit</f>
        <v>Unit</v>
      </c>
      <c r="I830" s="128">
        <f>I$1882</f>
        <v>2019</v>
      </c>
      <c r="J830" s="128">
        <f>J$1882</f>
        <v>2020</v>
      </c>
      <c r="K830" s="128">
        <f>K$1882</f>
        <v>2021</v>
      </c>
      <c r="L830" s="128">
        <f>L$1882</f>
        <v>2022</v>
      </c>
      <c r="M830" s="128">
        <f>M$1882</f>
        <v>2023</v>
      </c>
      <c r="N830" s="17"/>
      <c r="O830" s="17"/>
      <c r="AA830" s="815"/>
    </row>
    <row r="831" spans="2:27" x14ac:dyDescent="0.25">
      <c r="B831" s="17"/>
      <c r="C831" s="17"/>
      <c r="D831" s="222">
        <v>1</v>
      </c>
      <c r="E831" s="602"/>
      <c r="F831" s="1558"/>
      <c r="G831" s="1559"/>
      <c r="H831" s="322"/>
      <c r="I831" s="889"/>
      <c r="J831" s="889"/>
      <c r="K831" s="889"/>
      <c r="L831" s="889"/>
      <c r="M831" s="889"/>
      <c r="N831" s="17"/>
      <c r="O831" s="17"/>
      <c r="AA831" s="285" t="b">
        <f>AA818</f>
        <v>0</v>
      </c>
    </row>
    <row r="832" spans="2:27" x14ac:dyDescent="0.25">
      <c r="B832" s="17"/>
      <c r="C832" s="17"/>
      <c r="D832" s="225">
        <f>D831+1</f>
        <v>2</v>
      </c>
      <c r="E832" s="760"/>
      <c r="F832" s="1542"/>
      <c r="G832" s="1543"/>
      <c r="H832" s="936"/>
      <c r="I832" s="892"/>
      <c r="J832" s="892"/>
      <c r="K832" s="892"/>
      <c r="L832" s="892"/>
      <c r="M832" s="892"/>
      <c r="N832" s="17"/>
      <c r="O832" s="17"/>
      <c r="AA832" s="285" t="b">
        <f>AA831</f>
        <v>0</v>
      </c>
    </row>
    <row r="833" spans="2:27" x14ac:dyDescent="0.25">
      <c r="B833" s="17"/>
      <c r="C833" s="17"/>
      <c r="D833" s="225">
        <f t="shared" ref="D833:D840" si="18">D832+1</f>
        <v>3</v>
      </c>
      <c r="E833" s="760"/>
      <c r="F833" s="1542"/>
      <c r="G833" s="1543"/>
      <c r="H833" s="936"/>
      <c r="I833" s="892"/>
      <c r="J833" s="892"/>
      <c r="K833" s="892"/>
      <c r="L833" s="892"/>
      <c r="M833" s="892"/>
      <c r="N833" s="17"/>
      <c r="O833" s="17"/>
      <c r="AA833" s="285" t="b">
        <f t="shared" ref="AA833:AA841" si="19">AA832</f>
        <v>0</v>
      </c>
    </row>
    <row r="834" spans="2:27" x14ac:dyDescent="0.25">
      <c r="B834" s="17"/>
      <c r="C834" s="17"/>
      <c r="D834" s="225">
        <f t="shared" si="18"/>
        <v>4</v>
      </c>
      <c r="E834" s="760"/>
      <c r="F834" s="1542"/>
      <c r="G834" s="1543"/>
      <c r="H834" s="936"/>
      <c r="I834" s="892"/>
      <c r="J834" s="892"/>
      <c r="K834" s="892"/>
      <c r="L834" s="892"/>
      <c r="M834" s="892"/>
      <c r="N834" s="17"/>
      <c r="O834" s="17"/>
      <c r="AA834" s="285" t="b">
        <f t="shared" si="19"/>
        <v>0</v>
      </c>
    </row>
    <row r="835" spans="2:27" x14ac:dyDescent="0.25">
      <c r="B835" s="17"/>
      <c r="C835" s="17"/>
      <c r="D835" s="225">
        <f t="shared" si="18"/>
        <v>5</v>
      </c>
      <c r="E835" s="760"/>
      <c r="F835" s="1542"/>
      <c r="G835" s="1543"/>
      <c r="H835" s="936"/>
      <c r="I835" s="892"/>
      <c r="J835" s="892"/>
      <c r="K835" s="892"/>
      <c r="L835" s="892"/>
      <c r="M835" s="892"/>
      <c r="N835" s="17"/>
      <c r="O835" s="17"/>
      <c r="AA835" s="285" t="b">
        <f t="shared" si="19"/>
        <v>0</v>
      </c>
    </row>
    <row r="836" spans="2:27" x14ac:dyDescent="0.25">
      <c r="B836" s="17"/>
      <c r="C836" s="17"/>
      <c r="D836" s="225">
        <f t="shared" si="18"/>
        <v>6</v>
      </c>
      <c r="E836" s="760"/>
      <c r="F836" s="1542"/>
      <c r="G836" s="1543"/>
      <c r="H836" s="936"/>
      <c r="I836" s="892"/>
      <c r="J836" s="892"/>
      <c r="K836" s="892"/>
      <c r="L836" s="892"/>
      <c r="M836" s="892"/>
      <c r="N836" s="17"/>
      <c r="O836" s="17"/>
      <c r="AA836" s="285" t="b">
        <f t="shared" si="19"/>
        <v>0</v>
      </c>
    </row>
    <row r="837" spans="2:27" x14ac:dyDescent="0.25">
      <c r="B837" s="17"/>
      <c r="C837" s="17"/>
      <c r="D837" s="225">
        <f t="shared" si="18"/>
        <v>7</v>
      </c>
      <c r="E837" s="760"/>
      <c r="F837" s="1542"/>
      <c r="G837" s="1543"/>
      <c r="H837" s="936"/>
      <c r="I837" s="892"/>
      <c r="J837" s="892"/>
      <c r="K837" s="892"/>
      <c r="L837" s="892"/>
      <c r="M837" s="892"/>
      <c r="N837" s="17"/>
      <c r="O837" s="17"/>
      <c r="AA837" s="285" t="b">
        <f t="shared" si="19"/>
        <v>0</v>
      </c>
    </row>
    <row r="838" spans="2:27" x14ac:dyDescent="0.25">
      <c r="B838" s="17"/>
      <c r="C838" s="17"/>
      <c r="D838" s="225">
        <f t="shared" si="18"/>
        <v>8</v>
      </c>
      <c r="E838" s="760"/>
      <c r="F838" s="1542"/>
      <c r="G838" s="1543"/>
      <c r="H838" s="936"/>
      <c r="I838" s="892"/>
      <c r="J838" s="892"/>
      <c r="K838" s="892"/>
      <c r="L838" s="892"/>
      <c r="M838" s="892"/>
      <c r="N838" s="17"/>
      <c r="O838" s="17"/>
      <c r="AA838" s="285" t="b">
        <f t="shared" si="19"/>
        <v>0</v>
      </c>
    </row>
    <row r="839" spans="2:27" x14ac:dyDescent="0.25">
      <c r="B839" s="17"/>
      <c r="C839" s="17"/>
      <c r="D839" s="225">
        <f t="shared" si="18"/>
        <v>9</v>
      </c>
      <c r="E839" s="760"/>
      <c r="F839" s="1542"/>
      <c r="G839" s="1543"/>
      <c r="H839" s="936"/>
      <c r="I839" s="892"/>
      <c r="J839" s="892"/>
      <c r="K839" s="892"/>
      <c r="L839" s="892"/>
      <c r="M839" s="892"/>
      <c r="N839" s="17"/>
      <c r="O839" s="17"/>
      <c r="AA839" s="285" t="b">
        <f t="shared" si="19"/>
        <v>0</v>
      </c>
    </row>
    <row r="840" spans="2:27" x14ac:dyDescent="0.25">
      <c r="B840" s="17"/>
      <c r="C840" s="17"/>
      <c r="D840" s="227">
        <f t="shared" si="18"/>
        <v>10</v>
      </c>
      <c r="E840" s="761"/>
      <c r="F840" s="1544"/>
      <c r="G840" s="1545"/>
      <c r="H840" s="937"/>
      <c r="I840" s="895"/>
      <c r="J840" s="895"/>
      <c r="K840" s="895"/>
      <c r="L840" s="895"/>
      <c r="M840" s="895"/>
      <c r="N840" s="17"/>
      <c r="O840" s="17"/>
      <c r="AA840" s="285" t="b">
        <f t="shared" si="19"/>
        <v>0</v>
      </c>
    </row>
    <row r="841" spans="2:27" ht="12.75" customHeight="1" thickBot="1" x14ac:dyDescent="0.3">
      <c r="B841" s="17"/>
      <c r="C841" s="17"/>
      <c r="D841" s="262"/>
      <c r="E841" s="1546" t="str">
        <f>Translations!$B$708</f>
        <v>Sum of production levels</v>
      </c>
      <c r="F841" s="1546"/>
      <c r="G841" s="1546"/>
      <c r="H841" s="1067"/>
      <c r="I841" s="841" t="str">
        <f>IF(COUNT(I831:I840)&gt;0,SUM(I831:I840),"")</f>
        <v/>
      </c>
      <c r="J841" s="841" t="str">
        <f>IF(COUNT(J831:J840)&gt;0,SUM(J831:J840),"")</f>
        <v/>
      </c>
      <c r="K841" s="841" t="str">
        <f>IF(COUNT(K831:K840)&gt;0,SUM(K831:K840),"")</f>
        <v/>
      </c>
      <c r="L841" s="841" t="str">
        <f>IF(COUNT(L831:L840)&gt;0,SUM(L831:L840),"")</f>
        <v/>
      </c>
      <c r="M841" s="841" t="str">
        <f>IF(COUNT(M831:M840)&gt;0,SUM(M831:M840),"")</f>
        <v/>
      </c>
      <c r="N841" s="17"/>
      <c r="O841" s="17"/>
      <c r="AA841" s="286" t="b">
        <f t="shared" si="19"/>
        <v>0</v>
      </c>
    </row>
    <row r="842" spans="2:27" ht="12.75" customHeight="1" thickBot="1" x14ac:dyDescent="0.3">
      <c r="B842" s="17"/>
      <c r="C842" s="17"/>
      <c r="D842" s="17"/>
      <c r="E842" s="17"/>
      <c r="F842" s="17"/>
      <c r="G842" s="17"/>
      <c r="H842" s="17"/>
      <c r="I842" s="17"/>
      <c r="J842" s="17"/>
      <c r="K842" s="17"/>
      <c r="L842" s="17"/>
      <c r="M842" s="17"/>
      <c r="N842" s="17"/>
      <c r="O842" s="17"/>
    </row>
    <row r="843" spans="2:27" ht="5.0999999999999996" customHeight="1" x14ac:dyDescent="0.25">
      <c r="B843" s="17"/>
      <c r="C843" s="938"/>
      <c r="D843" s="462"/>
      <c r="E843" s="462"/>
      <c r="F843" s="462"/>
      <c r="G843" s="462"/>
      <c r="H843" s="462"/>
      <c r="I843" s="462"/>
      <c r="J843" s="462"/>
      <c r="K843" s="462"/>
      <c r="L843" s="462"/>
      <c r="M843" s="462"/>
      <c r="N843" s="463"/>
      <c r="O843" s="17"/>
    </row>
    <row r="844" spans="2:27" ht="15" customHeight="1" x14ac:dyDescent="0.25">
      <c r="B844" s="17"/>
      <c r="C844" s="900"/>
      <c r="D844" s="1547" t="s">
        <v>410</v>
      </c>
      <c r="E844" s="1512"/>
      <c r="F844" s="1512"/>
      <c r="G844" s="1512"/>
      <c r="H844" s="1512"/>
      <c r="I844" s="1512"/>
      <c r="J844" s="1512"/>
      <c r="K844" s="1512"/>
      <c r="L844" s="1512"/>
      <c r="M844" s="1512"/>
      <c r="N844" s="1513"/>
      <c r="O844" s="17"/>
    </row>
    <row r="845" spans="2:27" ht="5.0999999999999996" customHeight="1" x14ac:dyDescent="0.25">
      <c r="B845" s="17"/>
      <c r="C845" s="900"/>
      <c r="D845" s="342"/>
      <c r="E845" s="342"/>
      <c r="F845" s="342"/>
      <c r="G845" s="342"/>
      <c r="H845" s="342"/>
      <c r="I845" s="342"/>
      <c r="J845" s="342"/>
      <c r="K845" s="342"/>
      <c r="L845" s="342"/>
      <c r="M845" s="342"/>
      <c r="N845" s="266"/>
      <c r="O845" s="17"/>
    </row>
    <row r="846" spans="2:27" ht="15" customHeight="1" x14ac:dyDescent="0.25">
      <c r="B846" s="17"/>
      <c r="C846" s="900"/>
      <c r="D846" s="1548" t="str">
        <f>EUconst_BMSubinst &amp; ":"</f>
        <v>Sub-installation with product benchmark:</v>
      </c>
      <c r="E846" s="1512"/>
      <c r="F846" s="1512"/>
      <c r="G846" s="1512"/>
      <c r="H846" s="1549"/>
      <c r="I846" s="1550" t="str">
        <f>I793</f>
        <v/>
      </c>
      <c r="J846" s="1509"/>
      <c r="K846" s="1509"/>
      <c r="L846" s="1509"/>
      <c r="M846" s="1509"/>
      <c r="N846" s="1551"/>
      <c r="O846" s="17"/>
    </row>
    <row r="847" spans="2:27" ht="5.0999999999999996" customHeight="1" x14ac:dyDescent="0.25">
      <c r="B847" s="17"/>
      <c r="C847" s="900"/>
      <c r="D847" s="342"/>
      <c r="E847" s="342"/>
      <c r="F847" s="342"/>
      <c r="G847" s="342"/>
      <c r="H847" s="342"/>
      <c r="I847" s="342"/>
      <c r="J847" s="342"/>
      <c r="K847" s="342"/>
      <c r="L847" s="342"/>
      <c r="M847" s="342"/>
      <c r="N847" s="266"/>
      <c r="O847" s="17"/>
    </row>
    <row r="848" spans="2:27" ht="15" customHeight="1" x14ac:dyDescent="0.25">
      <c r="B848" s="17"/>
      <c r="C848" s="900"/>
      <c r="D848" s="342"/>
      <c r="E848" s="1439" t="str">
        <f>Translations!$B$714</f>
        <v>Upon entries made below, the attributable emissions are calculated in section K.III.2 of the summary sheet.</v>
      </c>
      <c r="F848" s="1439"/>
      <c r="G848" s="1439"/>
      <c r="H848" s="1439"/>
      <c r="I848" s="1439"/>
      <c r="J848" s="1439"/>
      <c r="K848" s="1439"/>
      <c r="L848" s="1439"/>
      <c r="M848" s="1439"/>
      <c r="N848" s="277"/>
      <c r="O848" s="17"/>
    </row>
    <row r="849" spans="2:27" ht="5.0999999999999996" customHeight="1" x14ac:dyDescent="0.25">
      <c r="B849" s="17"/>
      <c r="C849" s="900"/>
      <c r="D849" s="342"/>
      <c r="E849" s="342"/>
      <c r="F849" s="342"/>
      <c r="G849" s="342"/>
      <c r="H849" s="342"/>
      <c r="I849" s="342"/>
      <c r="J849" s="342"/>
      <c r="K849" s="342"/>
      <c r="L849" s="342"/>
      <c r="M849" s="342"/>
      <c r="N849" s="266"/>
      <c r="O849" s="17"/>
    </row>
    <row r="850" spans="2:27" ht="12.75" customHeight="1" x14ac:dyDescent="0.25">
      <c r="B850" s="17"/>
      <c r="C850" s="900"/>
      <c r="D850" s="157" t="s">
        <v>212</v>
      </c>
      <c r="E850" s="1511" t="str">
        <f>Translations!$B$715</f>
        <v>Directly attributable emissions (DirEm* (MP source streams)) to this sub-installation</v>
      </c>
      <c r="F850" s="1512"/>
      <c r="G850" s="1512"/>
      <c r="H850" s="1512"/>
      <c r="I850" s="1512"/>
      <c r="J850" s="1512"/>
      <c r="K850" s="1512"/>
      <c r="L850" s="1512"/>
      <c r="M850" s="1512"/>
      <c r="N850" s="1513"/>
      <c r="O850" s="17"/>
    </row>
    <row r="851" spans="2:27" ht="12.75" customHeight="1" thickBot="1" x14ac:dyDescent="0.3">
      <c r="B851" s="17"/>
      <c r="C851" s="900"/>
      <c r="D851" s="342"/>
      <c r="E851" s="1552"/>
      <c r="F851" s="1552"/>
      <c r="G851" s="1552"/>
      <c r="H851" s="1552"/>
      <c r="I851" s="1552"/>
      <c r="J851" s="1552"/>
      <c r="K851" s="1552"/>
      <c r="L851" s="1552"/>
      <c r="M851" s="1552"/>
      <c r="N851" s="1553"/>
      <c r="O851" s="17"/>
    </row>
    <row r="852" spans="2:27" ht="12.75" customHeight="1" x14ac:dyDescent="0.25">
      <c r="B852" s="17"/>
      <c r="C852" s="900"/>
      <c r="D852" s="157"/>
      <c r="E852" s="1522" t="str">
        <f>Translations!$B$725</f>
        <v>Directly attributable emissions (DirEm*)</v>
      </c>
      <c r="F852" s="1523"/>
      <c r="G852" s="1523"/>
      <c r="H852" s="152" t="str">
        <f>EUconst_Unit</f>
        <v>Unit</v>
      </c>
      <c r="I852" s="153">
        <f>I$1882</f>
        <v>2019</v>
      </c>
      <c r="J852" s="153">
        <f>J$1882</f>
        <v>2020</v>
      </c>
      <c r="K852" s="153">
        <f>K$1882</f>
        <v>2021</v>
      </c>
      <c r="L852" s="153">
        <f>L$1882</f>
        <v>2022</v>
      </c>
      <c r="M852" s="153">
        <f>M$1882</f>
        <v>2023</v>
      </c>
      <c r="N852" s="266"/>
      <c r="O852" s="17"/>
      <c r="R852" s="459"/>
      <c r="S852" s="326">
        <f>I852</f>
        <v>2019</v>
      </c>
      <c r="T852" s="326">
        <f>J852</f>
        <v>2020</v>
      </c>
      <c r="U852" s="326">
        <f>K852</f>
        <v>2021</v>
      </c>
      <c r="V852" s="326">
        <f>L852</f>
        <v>2022</v>
      </c>
      <c r="W852" s="327">
        <f>M852</f>
        <v>2023</v>
      </c>
    </row>
    <row r="853" spans="2:27" ht="12.75" customHeight="1" thickBot="1" x14ac:dyDescent="0.3">
      <c r="B853" s="17"/>
      <c r="C853" s="900"/>
      <c r="D853" s="342"/>
      <c r="E853" s="1510" t="str">
        <f>I793</f>
        <v/>
      </c>
      <c r="F853" s="1510"/>
      <c r="G853" s="1510"/>
      <c r="H853" s="154" t="str">
        <f>EUconst_tCO2epa</f>
        <v>t CO2e/year</v>
      </c>
      <c r="I853" s="293"/>
      <c r="J853" s="293"/>
      <c r="K853" s="293"/>
      <c r="L853" s="293"/>
      <c r="M853" s="293"/>
      <c r="N853" s="266"/>
      <c r="O853" s="17"/>
      <c r="P853" s="63" t="str">
        <f>EUconst_CNTR_Emissions &amp; I793</f>
        <v>DirEmissions_</v>
      </c>
      <c r="R853" s="460" t="str">
        <f>EUconst_CNTR_AttributedEmissions &amp; I793</f>
        <v>AttrEmissions_</v>
      </c>
      <c r="S853" s="389" t="str">
        <f>IF(S793,SUM(I853),"")</f>
        <v/>
      </c>
      <c r="T853" s="389" t="str">
        <f>IF(T793,SUM(J853),"")</f>
        <v/>
      </c>
      <c r="U853" s="389" t="str">
        <f>IF(U793,SUM(K853),"")</f>
        <v/>
      </c>
      <c r="V853" s="389" t="str">
        <f>IF(V793,SUM(L853),"")</f>
        <v/>
      </c>
      <c r="W853" s="390" t="str">
        <f>IF(W793,SUM(M853),"")</f>
        <v/>
      </c>
    </row>
    <row r="854" spans="2:27" ht="12.75" customHeight="1" x14ac:dyDescent="0.25">
      <c r="B854" s="17"/>
      <c r="C854" s="900"/>
      <c r="D854" s="342"/>
      <c r="E854" s="342"/>
      <c r="F854" s="342"/>
      <c r="G854" s="342"/>
      <c r="H854" s="342"/>
      <c r="I854" s="342"/>
      <c r="J854" s="342"/>
      <c r="K854" s="342"/>
      <c r="L854" s="342"/>
      <c r="M854" s="342"/>
      <c r="N854" s="266"/>
      <c r="O854" s="17"/>
    </row>
    <row r="855" spans="2:27" ht="12.75" customHeight="1" x14ac:dyDescent="0.25">
      <c r="B855" s="17"/>
      <c r="C855" s="900"/>
      <c r="D855" s="157" t="s">
        <v>218</v>
      </c>
      <c r="E855" s="1529" t="str">
        <f>Translations!$B$726</f>
        <v>Fuel input to this sub-installation and relevant emission factor</v>
      </c>
      <c r="F855" s="1529"/>
      <c r="G855" s="1529"/>
      <c r="H855" s="1529"/>
      <c r="I855" s="1529"/>
      <c r="J855" s="1529"/>
      <c r="K855" s="1529"/>
      <c r="L855" s="1529"/>
      <c r="M855" s="1529"/>
      <c r="N855" s="1534"/>
      <c r="O855" s="17"/>
    </row>
    <row r="856" spans="2:27" ht="12.75" customHeight="1" x14ac:dyDescent="0.25">
      <c r="B856" s="17"/>
      <c r="C856" s="900"/>
      <c r="D856" s="157"/>
      <c r="E856" s="1522"/>
      <c r="F856" s="1523"/>
      <c r="G856" s="1523"/>
      <c r="H856" s="152" t="str">
        <f>EUconst_Unit</f>
        <v>Unit</v>
      </c>
      <c r="I856" s="153">
        <f>I$1882</f>
        <v>2019</v>
      </c>
      <c r="J856" s="153">
        <f>J$1882</f>
        <v>2020</v>
      </c>
      <c r="K856" s="153">
        <f>K$1882</f>
        <v>2021</v>
      </c>
      <c r="L856" s="153">
        <f>L$1882</f>
        <v>2022</v>
      </c>
      <c r="M856" s="153">
        <f>M$1882</f>
        <v>2023</v>
      </c>
      <c r="N856" s="266"/>
      <c r="O856" s="17"/>
    </row>
    <row r="857" spans="2:27" ht="12.75" customHeight="1" x14ac:dyDescent="0.25">
      <c r="B857" s="17"/>
      <c r="C857" s="900"/>
      <c r="D857" s="193" t="s">
        <v>206</v>
      </c>
      <c r="E857" s="1528" t="str">
        <f>Translations!$B$731</f>
        <v>Fuel input</v>
      </c>
      <c r="F857" s="1528"/>
      <c r="G857" s="1528"/>
      <c r="H857" s="154" t="str">
        <f>EUconst_TJpa</f>
        <v>TJ / year</v>
      </c>
      <c r="I857" s="293"/>
      <c r="J857" s="293"/>
      <c r="K857" s="293"/>
      <c r="L857" s="293"/>
      <c r="M857" s="293"/>
      <c r="N857" s="277"/>
      <c r="O857" s="17"/>
      <c r="P857" s="63" t="str">
        <f>EUconst_CNTR_FuelInput &amp; I793</f>
        <v>FuelInput_</v>
      </c>
    </row>
    <row r="858" spans="2:27" ht="12.75" customHeight="1" x14ac:dyDescent="0.25">
      <c r="B858" s="17"/>
      <c r="C858" s="900"/>
      <c r="D858" s="193" t="s">
        <v>208</v>
      </c>
      <c r="E858" s="1523" t="str">
        <f>Translations!$B$732</f>
        <v>Weighted emission factor</v>
      </c>
      <c r="F858" s="1523"/>
      <c r="G858" s="1523"/>
      <c r="H858" s="904" t="str">
        <f>EUconst_tCO2pTJ</f>
        <v>t CO2 / TJ</v>
      </c>
      <c r="I858" s="865"/>
      <c r="J858" s="865"/>
      <c r="K858" s="865"/>
      <c r="L858" s="865"/>
      <c r="M858" s="865"/>
      <c r="N858" s="266"/>
      <c r="O858" s="17"/>
      <c r="P858" s="63" t="str">
        <f>EUconst_CNTR_FuelEF &amp; I793</f>
        <v>FuelEF_</v>
      </c>
    </row>
    <row r="859" spans="2:27" ht="12.75" customHeight="1" x14ac:dyDescent="0.25">
      <c r="B859" s="17"/>
      <c r="C859" s="900"/>
      <c r="D859" s="342"/>
      <c r="E859" s="342"/>
      <c r="F859" s="342"/>
      <c r="G859" s="342"/>
      <c r="H859" s="342"/>
      <c r="I859" s="342"/>
      <c r="J859" s="342"/>
      <c r="K859" s="342"/>
      <c r="L859" s="342"/>
      <c r="M859" s="342"/>
      <c r="N859" s="266"/>
      <c r="O859" s="17"/>
    </row>
    <row r="860" spans="2:27" ht="12.75" customHeight="1" thickBot="1" x14ac:dyDescent="0.3">
      <c r="B860" s="17"/>
      <c r="C860" s="900"/>
      <c r="D860" s="157" t="s">
        <v>225</v>
      </c>
      <c r="E860" s="1529" t="str">
        <f>Translations!$B$733</f>
        <v>Further internal source streams imported to or exported from this sub-installation</v>
      </c>
      <c r="F860" s="1529"/>
      <c r="G860" s="1529"/>
      <c r="H860" s="1529"/>
      <c r="I860" s="1529"/>
      <c r="J860" s="1529"/>
      <c r="K860" s="1529"/>
      <c r="L860" s="1529"/>
      <c r="M860" s="1529"/>
      <c r="N860" s="1534"/>
      <c r="O860" s="17"/>
    </row>
    <row r="861" spans="2:27" ht="12.75" customHeight="1" thickBot="1" x14ac:dyDescent="0.3">
      <c r="B861" s="17"/>
      <c r="C861" s="900"/>
      <c r="D861" s="193" t="s">
        <v>206</v>
      </c>
      <c r="E861" s="1514" t="str">
        <f>Translations!$B$739</f>
        <v>Are further imported or exported internal source streams relevant for this sub-installation?</v>
      </c>
      <c r="F861" s="1514"/>
      <c r="G861" s="1514"/>
      <c r="H861" s="1514"/>
      <c r="I861" s="1514"/>
      <c r="J861" s="1514"/>
      <c r="K861" s="1515"/>
      <c r="L861" s="194"/>
      <c r="M861" s="762"/>
      <c r="N861" s="763"/>
      <c r="O861" s="17"/>
      <c r="W861" s="288" t="s">
        <v>418</v>
      </c>
      <c r="X861" s="215" t="b">
        <f>IF(AND(I793&lt;&gt;"",ISBLANK(L861)),EUconst_Error&amp;"BM"&amp;C793,FALSE)</f>
        <v>0</v>
      </c>
    </row>
    <row r="862" spans="2:27" ht="5.0999999999999996" customHeight="1" thickBot="1" x14ac:dyDescent="0.3">
      <c r="B862" s="17"/>
      <c r="C862" s="900"/>
      <c r="D862" s="342"/>
      <c r="E862" s="1533"/>
      <c r="F862" s="1512"/>
      <c r="G862" s="1512"/>
      <c r="H862" s="1512"/>
      <c r="I862" s="1512"/>
      <c r="J862" s="1512"/>
      <c r="K862" s="1512"/>
      <c r="L862" s="1512"/>
      <c r="M862" s="1512"/>
      <c r="N862" s="1513"/>
      <c r="O862" s="17"/>
      <c r="AA862" s="145" t="s">
        <v>396</v>
      </c>
    </row>
    <row r="863" spans="2:27" ht="12.75" customHeight="1" x14ac:dyDescent="0.25">
      <c r="B863" s="17"/>
      <c r="C863" s="900"/>
      <c r="D863" s="193" t="s">
        <v>208</v>
      </c>
      <c r="E863" s="1529" t="str">
        <f>Translations!$B$741</f>
        <v>Name of further source streams - 1:</v>
      </c>
      <c r="F863" s="1529"/>
      <c r="G863" s="1529"/>
      <c r="H863" s="1529"/>
      <c r="I863" s="1530"/>
      <c r="J863" s="1531"/>
      <c r="K863" s="1531"/>
      <c r="L863" s="1531"/>
      <c r="M863" s="1532"/>
      <c r="N863" s="266"/>
      <c r="O863" s="17"/>
      <c r="AA863" s="316" t="b">
        <f>IF(I793&lt;&gt;"",AND(L861&lt;&gt;"",L861=FALSE),FALSE)</f>
        <v>0</v>
      </c>
    </row>
    <row r="864" spans="2:27" ht="5.0999999999999996" customHeight="1" x14ac:dyDescent="0.25">
      <c r="B864" s="17"/>
      <c r="C864" s="900"/>
      <c r="D864" s="342"/>
      <c r="E864" s="902"/>
      <c r="F864" s="762"/>
      <c r="G864" s="762"/>
      <c r="H864" s="762"/>
      <c r="I864" s="762"/>
      <c r="J864" s="762"/>
      <c r="K864" s="762"/>
      <c r="L864" s="762"/>
      <c r="M864" s="762"/>
      <c r="N864" s="763"/>
      <c r="O864" s="17"/>
      <c r="AA864" s="815"/>
    </row>
    <row r="865" spans="2:27" ht="12.75" customHeight="1" x14ac:dyDescent="0.25">
      <c r="B865" s="17"/>
      <c r="C865" s="900"/>
      <c r="D865" s="342"/>
      <c r="E865" s="1522" t="str">
        <f>Translations!$B$742</f>
        <v>Further source streams - 1</v>
      </c>
      <c r="F865" s="1523"/>
      <c r="G865" s="1523"/>
      <c r="H865" s="152" t="str">
        <f>EUconst_Unit</f>
        <v>Unit</v>
      </c>
      <c r="I865" s="153">
        <f>I$1882</f>
        <v>2019</v>
      </c>
      <c r="J865" s="153">
        <f>J$1882</f>
        <v>2020</v>
      </c>
      <c r="K865" s="153">
        <f>K$1882</f>
        <v>2021</v>
      </c>
      <c r="L865" s="153">
        <f>L$1882</f>
        <v>2022</v>
      </c>
      <c r="M865" s="153">
        <f>M$1882</f>
        <v>2023</v>
      </c>
      <c r="N865" s="266"/>
      <c r="O865" s="17"/>
      <c r="AA865" s="815"/>
    </row>
    <row r="866" spans="2:27" ht="12.75" customHeight="1" x14ac:dyDescent="0.25">
      <c r="B866" s="17"/>
      <c r="C866" s="900"/>
      <c r="D866" s="193" t="s">
        <v>209</v>
      </c>
      <c r="E866" s="1526" t="str">
        <f>Translations!$B$743</f>
        <v>Amount imported or exported</v>
      </c>
      <c r="F866" s="1526"/>
      <c r="G866" s="1526"/>
      <c r="H866" s="939" t="str">
        <f>EUconst_tpa</f>
        <v>t / year</v>
      </c>
      <c r="I866" s="825"/>
      <c r="J866" s="825"/>
      <c r="K866" s="825"/>
      <c r="L866" s="825"/>
      <c r="M866" s="825"/>
      <c r="N866" s="266"/>
      <c r="O866" s="17"/>
      <c r="AA866" s="285" t="b">
        <f>AA863</f>
        <v>0</v>
      </c>
    </row>
    <row r="867" spans="2:27" ht="12.75" customHeight="1" x14ac:dyDescent="0.25">
      <c r="B867" s="17"/>
      <c r="C867" s="900"/>
      <c r="D867" s="193" t="s">
        <v>210</v>
      </c>
      <c r="E867" s="1540" t="str">
        <f>Translations!$B$744</f>
        <v>Net calorific value (NCV), if applicable</v>
      </c>
      <c r="F867" s="1540"/>
      <c r="G867" s="1540"/>
      <c r="H867" s="940" t="str">
        <f>EUconst_GJpt</f>
        <v>GJ / t</v>
      </c>
      <c r="I867" s="296"/>
      <c r="J867" s="296"/>
      <c r="K867" s="296"/>
      <c r="L867" s="296"/>
      <c r="M867" s="296"/>
      <c r="N867" s="266"/>
      <c r="O867" s="17"/>
      <c r="AA867" s="285" t="b">
        <f>AA866</f>
        <v>0</v>
      </c>
    </row>
    <row r="868" spans="2:27" ht="12.75" customHeight="1" thickBot="1" x14ac:dyDescent="0.3">
      <c r="B868" s="17"/>
      <c r="C868" s="900"/>
      <c r="D868" s="193" t="s">
        <v>220</v>
      </c>
      <c r="E868" s="1540" t="str">
        <f>Translations!$B$745</f>
        <v>Carbon content (mass %)</v>
      </c>
      <c r="F868" s="1540"/>
      <c r="G868" s="1540"/>
      <c r="H868" s="941" t="s">
        <v>419</v>
      </c>
      <c r="I868" s="296"/>
      <c r="J868" s="296"/>
      <c r="K868" s="296"/>
      <c r="L868" s="296"/>
      <c r="M868" s="296"/>
      <c r="N868" s="266"/>
      <c r="O868" s="17"/>
      <c r="AA868" s="285" t="b">
        <f>AA867</f>
        <v>0</v>
      </c>
    </row>
    <row r="869" spans="2:27" ht="12.75" customHeight="1" x14ac:dyDescent="0.25">
      <c r="B869" s="17"/>
      <c r="C869" s="900"/>
      <c r="D869" s="193" t="s">
        <v>221</v>
      </c>
      <c r="E869" s="1527" t="str">
        <f>Translations!$B$746</f>
        <v>Biomass content (as fraction of carbon)</v>
      </c>
      <c r="F869" s="1527"/>
      <c r="G869" s="1527"/>
      <c r="H869" s="343" t="s">
        <v>419</v>
      </c>
      <c r="I869" s="826"/>
      <c r="J869" s="826"/>
      <c r="K869" s="826"/>
      <c r="L869" s="826"/>
      <c r="M869" s="826"/>
      <c r="N869" s="266"/>
      <c r="O869" s="17"/>
      <c r="R869" s="459"/>
      <c r="S869" s="326">
        <f>I865</f>
        <v>2019</v>
      </c>
      <c r="T869" s="326">
        <f>J865</f>
        <v>2020</v>
      </c>
      <c r="U869" s="326">
        <f>K865</f>
        <v>2021</v>
      </c>
      <c r="V869" s="326">
        <f>L865</f>
        <v>2022</v>
      </c>
      <c r="W869" s="327">
        <f>M865</f>
        <v>2023</v>
      </c>
      <c r="AA869" s="285" t="b">
        <f>AA868</f>
        <v>0</v>
      </c>
    </row>
    <row r="870" spans="2:27" ht="12.75" customHeight="1" thickBot="1" x14ac:dyDescent="0.3">
      <c r="B870" s="17"/>
      <c r="C870" s="900"/>
      <c r="D870" s="193" t="s">
        <v>222</v>
      </c>
      <c r="E870" s="1526" t="str">
        <f>Translations!$B$747</f>
        <v>Emissions (fossil, calculated)</v>
      </c>
      <c r="F870" s="1526"/>
      <c r="G870" s="1526"/>
      <c r="H870" s="942" t="str">
        <f>EUconst_tCO2pa</f>
        <v>t CO2 / year</v>
      </c>
      <c r="I870" s="943" t="str">
        <f>IF(AND(COUNT(I866:I869)&gt;0,I873=""),3.664*I866*(I868/100)*(1-I869/100),"")</f>
        <v/>
      </c>
      <c r="J870" s="943" t="str">
        <f>IF(AND(COUNT(J866:J869)&gt;0,J873=""),3.664*J866*(J868/100)*(1-J869/100),"")</f>
        <v/>
      </c>
      <c r="K870" s="943" t="str">
        <f>IF(AND(COUNT(K866:K869)&gt;0,K873=""),3.664*K866*(K868/100)*(1-K869/100),"")</f>
        <v/>
      </c>
      <c r="L870" s="943" t="str">
        <f>IF(AND(COUNT(L866:L869)&gt;0,L873=""),3.664*L866*(L868/100)*(1-L869/100),"")</f>
        <v/>
      </c>
      <c r="M870" s="943" t="str">
        <f>IF(AND(COUNT(M866:M869)&gt;0,M873=""),3.664*M866*(M868/100)*(1-M869/100),"")</f>
        <v/>
      </c>
      <c r="N870" s="266"/>
      <c r="O870" s="17"/>
      <c r="P870" s="63" t="str">
        <f>EUconst_CNTR_EmissionsIntSource1 &amp; I793</f>
        <v>EmInternalSource1_</v>
      </c>
      <c r="R870" s="460" t="str">
        <f>EUconst_CNTR_AttributedEmissions &amp; I793</f>
        <v>AttrEmissions_</v>
      </c>
      <c r="S870" s="389" t="str">
        <f>IF(S793,SUM(I870),"")</f>
        <v/>
      </c>
      <c r="T870" s="389" t="str">
        <f>IF(T793,SUM(J870),"")</f>
        <v/>
      </c>
      <c r="U870" s="389" t="str">
        <f>IF(U793,SUM(K870),"")</f>
        <v/>
      </c>
      <c r="V870" s="389" t="str">
        <f>IF(V793,SUM(L870),"")</f>
        <v/>
      </c>
      <c r="W870" s="390" t="str">
        <f>IF(W793,SUM(M870),"")</f>
        <v/>
      </c>
      <c r="AA870" s="815"/>
    </row>
    <row r="871" spans="2:27" ht="12.75" customHeight="1" x14ac:dyDescent="0.25">
      <c r="B871" s="17"/>
      <c r="C871" s="900"/>
      <c r="D871" s="193" t="s">
        <v>223</v>
      </c>
      <c r="E871" s="1540" t="str">
        <f>Translations!$B$748</f>
        <v>Memo-Item: Biomass emissions</v>
      </c>
      <c r="F871" s="1540"/>
      <c r="G871" s="1540"/>
      <c r="H871" s="944" t="str">
        <f>EUconst_tCO2pa</f>
        <v>t CO2 / year</v>
      </c>
      <c r="I871" s="945" t="str">
        <f>IF(ISNUMBER(I870),3.664*I866*(I868/100)*(I869/100),"")</f>
        <v/>
      </c>
      <c r="J871" s="945" t="str">
        <f>IF(ISNUMBER(J870),3.664*J866*(J868/100)*(J869/100),"")</f>
        <v/>
      </c>
      <c r="K871" s="945" t="str">
        <f>IF(ISNUMBER(K870),3.664*K866*(K868/100)*(K869/100),"")</f>
        <v/>
      </c>
      <c r="L871" s="945" t="str">
        <f>IF(ISNUMBER(L870),3.664*L866*(L868/100)*(L869/100),"")</f>
        <v/>
      </c>
      <c r="M871" s="945" t="str">
        <f>IF(ISNUMBER(M870),3.664*M866*(M868/100)*(M869/100),"")</f>
        <v/>
      </c>
      <c r="N871" s="266"/>
      <c r="O871" s="17"/>
      <c r="AA871" s="815"/>
    </row>
    <row r="872" spans="2:27" ht="12.75" customHeight="1" x14ac:dyDescent="0.25">
      <c r="B872" s="17"/>
      <c r="C872" s="900"/>
      <c r="D872" s="193" t="s">
        <v>224</v>
      </c>
      <c r="E872" s="1527" t="str">
        <f>Translations!$B$749</f>
        <v>Energy content (calculated)</v>
      </c>
      <c r="F872" s="1527"/>
      <c r="G872" s="1527"/>
      <c r="H872" s="946" t="str">
        <f>EUconst_TJpa</f>
        <v>TJ / year</v>
      </c>
      <c r="I872" s="841" t="str">
        <f>IF(COUNT(I866:I867)=2,I866*I867/1000,"")</f>
        <v/>
      </c>
      <c r="J872" s="841" t="str">
        <f>IF(COUNT(J866:J867)=2,J866*J867/1000,"")</f>
        <v/>
      </c>
      <c r="K872" s="841" t="str">
        <f>IF(COUNT(K866:K867)=2,K866*K867/1000,"")</f>
        <v/>
      </c>
      <c r="L872" s="841" t="str">
        <f>IF(COUNT(L866:L867)=2,L866*L867/1000,"")</f>
        <v/>
      </c>
      <c r="M872" s="841" t="str">
        <f>IF(COUNT(M866:M867)=2,M866*M867/1000,"")</f>
        <v/>
      </c>
      <c r="N872" s="266"/>
      <c r="O872" s="17"/>
      <c r="AA872" s="815"/>
    </row>
    <row r="873" spans="2:27" ht="12.75" customHeight="1" x14ac:dyDescent="0.25">
      <c r="B873" s="17"/>
      <c r="C873" s="900"/>
      <c r="D873" s="193" t="s">
        <v>345</v>
      </c>
      <c r="E873" s="1541" t="str">
        <f>Translations!$B$750</f>
        <v>Error messages (emissions)</v>
      </c>
      <c r="F873" s="1541"/>
      <c r="G873" s="1541"/>
      <c r="H873" s="947"/>
      <c r="I873" s="267" t="str">
        <f>IF(COUNT(I866,I868:I869)&gt;0,IF(COUNTIF(I867:I869,"&lt;0")&gt;0,EUconst_Negative,IF(COUNT(I866,I868:I869)&lt;3,EUconst_Incomplete,"")),"")</f>
        <v/>
      </c>
      <c r="J873" s="267" t="str">
        <f>IF(COUNT(J866,J868:J869)&gt;0,IF(COUNTIF(J867:J869,"&lt;0")&gt;0,EUconst_Negative,IF(COUNT(J866,J868:J869)&lt;3,EUconst_Incomplete,"")),"")</f>
        <v/>
      </c>
      <c r="K873" s="267" t="str">
        <f>IF(COUNT(K866,K868:K869)&gt;0,IF(COUNTIF(K867:K869,"&lt;0")&gt;0,EUconst_Negative,IF(COUNT(K866,K868:K869)&lt;3,EUconst_Incomplete,"")),"")</f>
        <v/>
      </c>
      <c r="L873" s="267" t="str">
        <f>IF(COUNT(L866,L868:L869)&gt;0,IF(COUNTIF(L867:L869,"&lt;0")&gt;0,EUconst_Negative,IF(COUNT(L866,L868:L869)&lt;3,EUconst_Incomplete,"")),"")</f>
        <v/>
      </c>
      <c r="M873" s="267" t="str">
        <f>IF(COUNT(M866,M868:M869)&gt;0,IF(COUNTIF(M867:M869,"&lt;0")&gt;0,EUconst_Negative,IF(COUNT(M866,M868:M869)&lt;3,EUconst_Incomplete,"")),"")</f>
        <v/>
      </c>
      <c r="N873" s="266"/>
      <c r="O873" s="17"/>
      <c r="AA873" s="815"/>
    </row>
    <row r="874" spans="2:27" ht="12.75" customHeight="1" x14ac:dyDescent="0.25">
      <c r="B874" s="17"/>
      <c r="C874" s="900"/>
      <c r="D874" s="193"/>
      <c r="E874" s="342"/>
      <c r="F874" s="342"/>
      <c r="G874" s="342"/>
      <c r="H874" s="342"/>
      <c r="I874" s="342"/>
      <c r="J874" s="342"/>
      <c r="K874" s="342"/>
      <c r="L874" s="342"/>
      <c r="M874" s="342"/>
      <c r="N874" s="266"/>
      <c r="O874" s="17"/>
      <c r="AA874" s="815"/>
    </row>
    <row r="875" spans="2:27" ht="12.75" customHeight="1" x14ac:dyDescent="0.25">
      <c r="B875" s="17"/>
      <c r="C875" s="900"/>
      <c r="D875" s="193" t="s">
        <v>346</v>
      </c>
      <c r="E875" s="1529" t="str">
        <f>Translations!$B$751</f>
        <v>Name of further source streams - 2:</v>
      </c>
      <c r="F875" s="1529"/>
      <c r="G875" s="1529"/>
      <c r="H875" s="1529"/>
      <c r="I875" s="1530"/>
      <c r="J875" s="1531"/>
      <c r="K875" s="1531"/>
      <c r="L875" s="1531"/>
      <c r="M875" s="1532"/>
      <c r="N875" s="763"/>
      <c r="O875" s="17"/>
      <c r="AA875" s="285" t="b">
        <f>AA863</f>
        <v>0</v>
      </c>
    </row>
    <row r="876" spans="2:27" ht="5.0999999999999996" customHeight="1" x14ac:dyDescent="0.25">
      <c r="B876" s="17"/>
      <c r="C876" s="900"/>
      <c r="D876" s="342"/>
      <c r="E876" s="902"/>
      <c r="F876" s="762"/>
      <c r="G876" s="762"/>
      <c r="H876" s="762"/>
      <c r="I876" s="762"/>
      <c r="J876" s="762"/>
      <c r="K876" s="762"/>
      <c r="L876" s="762"/>
      <c r="M876" s="762"/>
      <c r="N876" s="763"/>
      <c r="O876" s="17"/>
      <c r="AA876" s="815"/>
    </row>
    <row r="877" spans="2:27" ht="12.75" customHeight="1" x14ac:dyDescent="0.25">
      <c r="B877" s="17"/>
      <c r="C877" s="900"/>
      <c r="D877" s="193"/>
      <c r="E877" s="1522" t="str">
        <f>Translations!$B$752</f>
        <v>Further source streams - 2</v>
      </c>
      <c r="F877" s="1523"/>
      <c r="G877" s="1523"/>
      <c r="H877" s="152" t="str">
        <f>EUconst_Unit</f>
        <v>Unit</v>
      </c>
      <c r="I877" s="153">
        <f>I$1882</f>
        <v>2019</v>
      </c>
      <c r="J877" s="153">
        <f>J$1882</f>
        <v>2020</v>
      </c>
      <c r="K877" s="153">
        <f>K$1882</f>
        <v>2021</v>
      </c>
      <c r="L877" s="153">
        <f>L$1882</f>
        <v>2022</v>
      </c>
      <c r="M877" s="153">
        <f>M$1882</f>
        <v>2023</v>
      </c>
      <c r="N877" s="266"/>
      <c r="O877" s="17"/>
      <c r="AA877" s="815"/>
    </row>
    <row r="878" spans="2:27" ht="12.75" customHeight="1" x14ac:dyDescent="0.25">
      <c r="B878" s="17"/>
      <c r="C878" s="900"/>
      <c r="D878" s="193" t="s">
        <v>347</v>
      </c>
      <c r="E878" s="1526" t="str">
        <f>Translations!$B$743</f>
        <v>Amount imported or exported</v>
      </c>
      <c r="F878" s="1526"/>
      <c r="G878" s="1526"/>
      <c r="H878" s="939" t="str">
        <f>EUconst_tpa</f>
        <v>t / year</v>
      </c>
      <c r="I878" s="825"/>
      <c r="J878" s="825"/>
      <c r="K878" s="825"/>
      <c r="L878" s="825"/>
      <c r="M878" s="825"/>
      <c r="N878" s="266"/>
      <c r="O878" s="17"/>
      <c r="AA878" s="285" t="b">
        <f>AA875</f>
        <v>0</v>
      </c>
    </row>
    <row r="879" spans="2:27" ht="12.75" customHeight="1" x14ac:dyDescent="0.25">
      <c r="B879" s="17"/>
      <c r="C879" s="900"/>
      <c r="D879" s="193" t="s">
        <v>355</v>
      </c>
      <c r="E879" s="1540" t="str">
        <f>Translations!$B$744</f>
        <v>Net calorific value (NCV), if applicable</v>
      </c>
      <c r="F879" s="1540"/>
      <c r="G879" s="1540"/>
      <c r="H879" s="940" t="str">
        <f>EUconst_GJpt</f>
        <v>GJ / t</v>
      </c>
      <c r="I879" s="296"/>
      <c r="J879" s="296"/>
      <c r="K879" s="296"/>
      <c r="L879" s="296"/>
      <c r="M879" s="296"/>
      <c r="N879" s="266"/>
      <c r="O879" s="17"/>
      <c r="AA879" s="285" t="b">
        <f>AA878</f>
        <v>0</v>
      </c>
    </row>
    <row r="880" spans="2:27" ht="12.75" customHeight="1" thickBot="1" x14ac:dyDescent="0.3">
      <c r="B880" s="17"/>
      <c r="C880" s="900"/>
      <c r="D880" s="193" t="s">
        <v>356</v>
      </c>
      <c r="E880" s="1540" t="str">
        <f>Translations!$B$745</f>
        <v>Carbon content (mass %)</v>
      </c>
      <c r="F880" s="1540"/>
      <c r="G880" s="1540"/>
      <c r="H880" s="941" t="s">
        <v>419</v>
      </c>
      <c r="I880" s="296"/>
      <c r="J880" s="296"/>
      <c r="K880" s="296"/>
      <c r="L880" s="296"/>
      <c r="M880" s="296"/>
      <c r="N880" s="266"/>
      <c r="O880" s="17"/>
      <c r="AA880" s="285" t="b">
        <f>AA879</f>
        <v>0</v>
      </c>
    </row>
    <row r="881" spans="2:27" ht="12.75" customHeight="1" thickBot="1" x14ac:dyDescent="0.3">
      <c r="B881" s="17"/>
      <c r="C881" s="900"/>
      <c r="D881" s="193" t="s">
        <v>420</v>
      </c>
      <c r="E881" s="1527" t="str">
        <f>Translations!$B$746</f>
        <v>Biomass content (as fraction of carbon)</v>
      </c>
      <c r="F881" s="1527"/>
      <c r="G881" s="1527"/>
      <c r="H881" s="343" t="s">
        <v>419</v>
      </c>
      <c r="I881" s="826"/>
      <c r="J881" s="826"/>
      <c r="K881" s="826"/>
      <c r="L881" s="826"/>
      <c r="M881" s="826"/>
      <c r="N881" s="266"/>
      <c r="O881" s="17"/>
      <c r="R881" s="459"/>
      <c r="S881" s="326">
        <f>I877</f>
        <v>2019</v>
      </c>
      <c r="T881" s="326">
        <f>J877</f>
        <v>2020</v>
      </c>
      <c r="U881" s="326">
        <f>K877</f>
        <v>2021</v>
      </c>
      <c r="V881" s="326">
        <f>L877</f>
        <v>2022</v>
      </c>
      <c r="W881" s="327">
        <f>M877</f>
        <v>2023</v>
      </c>
      <c r="AA881" s="286" t="b">
        <f>AA880</f>
        <v>0</v>
      </c>
    </row>
    <row r="882" spans="2:27" ht="12.75" customHeight="1" thickBot="1" x14ac:dyDescent="0.3">
      <c r="B882" s="17"/>
      <c r="C882" s="900"/>
      <c r="D882" s="193" t="s">
        <v>421</v>
      </c>
      <c r="E882" s="1526" t="str">
        <f>Translations!$B$747</f>
        <v>Emissions (fossil, calculated)</v>
      </c>
      <c r="F882" s="1526"/>
      <c r="G882" s="1526"/>
      <c r="H882" s="942" t="str">
        <f>EUconst_tCO2pa</f>
        <v>t CO2 / year</v>
      </c>
      <c r="I882" s="943" t="str">
        <f>IF(AND(COUNT(I878:I881)&gt;0,I885=""),3.664*I878*(I880/100)*(1-I881/100),"")</f>
        <v/>
      </c>
      <c r="J882" s="943" t="str">
        <f>IF(AND(COUNT(J878:J881)&gt;0,J885=""),3.664*J878*(J880/100)*(1-J881/100),"")</f>
        <v/>
      </c>
      <c r="K882" s="943" t="str">
        <f>IF(AND(COUNT(K878:K881)&gt;0,K885=""),3.664*K878*(K880/100)*(1-K881/100),"")</f>
        <v/>
      </c>
      <c r="L882" s="943" t="str">
        <f>IF(AND(COUNT(L878:L881)&gt;0,L885=""),3.664*L878*(L880/100)*(1-L881/100),"")</f>
        <v/>
      </c>
      <c r="M882" s="943" t="str">
        <f>IF(AND(COUNT(M878:M881)&gt;0,M885=""),3.664*M878*(M880/100)*(1-M881/100),"")</f>
        <v/>
      </c>
      <c r="N882" s="266"/>
      <c r="O882" s="17"/>
      <c r="P882" s="63" t="str">
        <f>EUconst_CNTR_EmissionsIntSource2 &amp; I793</f>
        <v>EmInternalSource2_</v>
      </c>
      <c r="R882" s="460" t="str">
        <f>EUconst_CNTR_AttributedEmissions &amp; I793</f>
        <v>AttrEmissions_</v>
      </c>
      <c r="S882" s="389" t="str">
        <f>IF(S793,SUM(I882),"")</f>
        <v/>
      </c>
      <c r="T882" s="389" t="str">
        <f>IF(T793,SUM(J882),"")</f>
        <v/>
      </c>
      <c r="U882" s="389" t="str">
        <f>IF(U793,SUM(K882),"")</f>
        <v/>
      </c>
      <c r="V882" s="389" t="str">
        <f>IF(V793,SUM(L882),"")</f>
        <v/>
      </c>
      <c r="W882" s="390" t="str">
        <f>IF(W793,SUM(M882),"")</f>
        <v/>
      </c>
    </row>
    <row r="883" spans="2:27" ht="12.75" customHeight="1" x14ac:dyDescent="0.25">
      <c r="B883" s="17"/>
      <c r="C883" s="900"/>
      <c r="D883" s="193" t="s">
        <v>422</v>
      </c>
      <c r="E883" s="1540" t="str">
        <f>Translations!$B$748</f>
        <v>Memo-Item: Biomass emissions</v>
      </c>
      <c r="F883" s="1540"/>
      <c r="G883" s="1540"/>
      <c r="H883" s="944" t="str">
        <f>EUconst_tCO2pa</f>
        <v>t CO2 / year</v>
      </c>
      <c r="I883" s="945" t="str">
        <f>IF(ISNUMBER(I882),3.664*I878*(I880/100)*(I881/100),"")</f>
        <v/>
      </c>
      <c r="J883" s="945" t="str">
        <f>IF(ISNUMBER(J882),3.664*J878*(J880/100)*(J881/100),"")</f>
        <v/>
      </c>
      <c r="K883" s="945" t="str">
        <f>IF(ISNUMBER(K882),3.664*K878*(K880/100)*(K881/100),"")</f>
        <v/>
      </c>
      <c r="L883" s="945" t="str">
        <f>IF(ISNUMBER(L882),3.664*L878*(L880/100)*(L881/100),"")</f>
        <v/>
      </c>
      <c r="M883" s="945" t="str">
        <f>IF(ISNUMBER(M882),3.664*M878*(M880/100)*(M881/100),"")</f>
        <v/>
      </c>
      <c r="N883" s="266"/>
      <c r="O883" s="17"/>
    </row>
    <row r="884" spans="2:27" ht="12.75" customHeight="1" x14ac:dyDescent="0.25">
      <c r="B884" s="17"/>
      <c r="C884" s="900"/>
      <c r="D884" s="193" t="s">
        <v>423</v>
      </c>
      <c r="E884" s="1527" t="str">
        <f>Translations!$B$749</f>
        <v>Energy content (calculated)</v>
      </c>
      <c r="F884" s="1527"/>
      <c r="G884" s="1527"/>
      <c r="H884" s="946" t="str">
        <f>EUconst_TJpa</f>
        <v>TJ / year</v>
      </c>
      <c r="I884" s="841" t="str">
        <f>IF(COUNT(I878:I879)=2,I878*I879/1000,"")</f>
        <v/>
      </c>
      <c r="J884" s="841" t="str">
        <f>IF(COUNT(J878:J879)=2,J878*J879/1000,"")</f>
        <v/>
      </c>
      <c r="K884" s="841" t="str">
        <f>IF(COUNT(K878:K879)=2,K878*K879/1000,"")</f>
        <v/>
      </c>
      <c r="L884" s="841" t="str">
        <f>IF(COUNT(L878:L879)=2,L878*L879/1000,"")</f>
        <v/>
      </c>
      <c r="M884" s="841" t="str">
        <f>IF(COUNT(M878:M879)=2,M878*M879/1000,"")</f>
        <v/>
      </c>
      <c r="N884" s="266"/>
      <c r="O884" s="17"/>
    </row>
    <row r="885" spans="2:27" ht="12.75" customHeight="1" x14ac:dyDescent="0.25">
      <c r="B885" s="17"/>
      <c r="C885" s="900"/>
      <c r="D885" s="193" t="s">
        <v>356</v>
      </c>
      <c r="E885" s="1541" t="str">
        <f>Translations!$B$750</f>
        <v>Error messages (emissions)</v>
      </c>
      <c r="F885" s="1541"/>
      <c r="G885" s="1541"/>
      <c r="H885" s="947"/>
      <c r="I885" s="267" t="str">
        <f>IF(COUNT(I878,I880:I881)&gt;0,IF(COUNTIF(I879:I881,"&lt;0")&gt;0,EUconst_Negative,IF(COUNT(I878,I880:I881)&lt;3,EUconst_Incomplete,"")),"")</f>
        <v/>
      </c>
      <c r="J885" s="267" t="str">
        <f>IF(COUNT(J878,J880:J881)&gt;0,IF(COUNTIF(J879:J881,"&lt;0")&gt;0,EUconst_Negative,IF(COUNT(J878,J880:J881)&lt;3,EUconst_Incomplete,"")),"")</f>
        <v/>
      </c>
      <c r="K885" s="267" t="str">
        <f>IF(COUNT(K878,K880:K881)&gt;0,IF(COUNTIF(K879:K881,"&lt;0")&gt;0,EUconst_Negative,IF(COUNT(K878,K880:K881)&lt;3,EUconst_Incomplete,"")),"")</f>
        <v/>
      </c>
      <c r="L885" s="267" t="str">
        <f>IF(COUNT(L878,L880:L881)&gt;0,IF(COUNTIF(L879:L881,"&lt;0")&gt;0,EUconst_Negative,IF(COUNT(L878,L880:L881)&lt;3,EUconst_Incomplete,"")),"")</f>
        <v/>
      </c>
      <c r="M885" s="267" t="str">
        <f>IF(COUNT(M878,M880:M881)&gt;0,IF(COUNTIF(M879:M881,"&lt;0")&gt;0,EUconst_Negative,IF(COUNT(M878,M880:M881)&lt;3,EUconst_Incomplete,"")),"")</f>
        <v/>
      </c>
      <c r="N885" s="266"/>
      <c r="O885" s="17"/>
    </row>
    <row r="886" spans="2:27" ht="12.75" customHeight="1" x14ac:dyDescent="0.25">
      <c r="B886" s="17"/>
      <c r="C886" s="900"/>
      <c r="D886" s="342"/>
      <c r="E886" s="342"/>
      <c r="F886" s="342"/>
      <c r="G886" s="342"/>
      <c r="H886" s="342"/>
      <c r="I886" s="342"/>
      <c r="J886" s="342"/>
      <c r="K886" s="342"/>
      <c r="L886" s="342"/>
      <c r="M886" s="342"/>
      <c r="N886" s="266"/>
      <c r="O886" s="17"/>
    </row>
    <row r="887" spans="2:27" ht="12.75" customHeight="1" thickBot="1" x14ac:dyDescent="0.3">
      <c r="B887" s="17"/>
      <c r="C887" s="900"/>
      <c r="D887" s="157" t="s">
        <v>339</v>
      </c>
      <c r="E887" s="1511" t="str">
        <f>Translations!$B$753</f>
        <v>Amount of GHG imported or exported as feedstock</v>
      </c>
      <c r="F887" s="1512"/>
      <c r="G887" s="1512"/>
      <c r="H887" s="1512"/>
      <c r="I887" s="1512"/>
      <c r="J887" s="1512"/>
      <c r="K887" s="1512"/>
      <c r="L887" s="1512"/>
      <c r="M887" s="1512"/>
      <c r="N887" s="1513"/>
      <c r="O887" s="17"/>
    </row>
    <row r="888" spans="2:27" ht="12.75" customHeight="1" x14ac:dyDescent="0.25">
      <c r="B888" s="17"/>
      <c r="C888" s="900"/>
      <c r="D888" s="157"/>
      <c r="E888" s="1522"/>
      <c r="F888" s="1523"/>
      <c r="G888" s="1523"/>
      <c r="H888" s="152" t="str">
        <f>EUconst_Unit</f>
        <v>Unit</v>
      </c>
      <c r="I888" s="153">
        <f>I$1882</f>
        <v>2019</v>
      </c>
      <c r="J888" s="153">
        <f>J$1882</f>
        <v>2020</v>
      </c>
      <c r="K888" s="153">
        <f>K$1882</f>
        <v>2021</v>
      </c>
      <c r="L888" s="153">
        <f>L$1882</f>
        <v>2022</v>
      </c>
      <c r="M888" s="153">
        <f>M$1882</f>
        <v>2023</v>
      </c>
      <c r="N888" s="266"/>
      <c r="O888" s="17"/>
      <c r="R888" s="459"/>
      <c r="S888" s="326">
        <f>I888</f>
        <v>2019</v>
      </c>
      <c r="T888" s="326">
        <f>J888</f>
        <v>2020</v>
      </c>
      <c r="U888" s="326">
        <f>K888</f>
        <v>2021</v>
      </c>
      <c r="V888" s="326">
        <f>L888</f>
        <v>2022</v>
      </c>
      <c r="W888" s="327">
        <f>M888</f>
        <v>2023</v>
      </c>
    </row>
    <row r="889" spans="2:27" ht="12.75" customHeight="1" thickBot="1" x14ac:dyDescent="0.3">
      <c r="B889" s="17"/>
      <c r="C889" s="900"/>
      <c r="D889" s="193"/>
      <c r="E889" s="1528" t="str">
        <f>Translations!$B$756</f>
        <v>GHG imported or exported</v>
      </c>
      <c r="F889" s="1528"/>
      <c r="G889" s="1528"/>
      <c r="H889" s="154" t="str">
        <f>EUconst_tCO2epa</f>
        <v>t CO2e/year</v>
      </c>
      <c r="I889" s="311"/>
      <c r="J889" s="311"/>
      <c r="K889" s="311"/>
      <c r="L889" s="311"/>
      <c r="M889" s="311"/>
      <c r="N889" s="903"/>
      <c r="O889" s="17"/>
      <c r="P889" s="63" t="str">
        <f>EUconst_CNTR_CO2Feedstock &amp; I793</f>
        <v>EmCO2Feedstock_</v>
      </c>
      <c r="R889" s="460" t="str">
        <f>EUconst_CNTR_AttributedEmissions &amp; I793</f>
        <v>AttrEmissions_</v>
      </c>
      <c r="S889" s="389" t="str">
        <f>IF(S793,SUM(I889),"")</f>
        <v/>
      </c>
      <c r="T889" s="389" t="str">
        <f>IF(T793,SUM(J889),"")</f>
        <v/>
      </c>
      <c r="U889" s="389" t="str">
        <f>IF(U793,SUM(K889),"")</f>
        <v/>
      </c>
      <c r="V889" s="389" t="str">
        <f>IF(V793,SUM(L889),"")</f>
        <v/>
      </c>
      <c r="W889" s="390" t="str">
        <f>IF(W793,SUM(M889),"")</f>
        <v/>
      </c>
    </row>
    <row r="890" spans="2:27" ht="12.75" customHeight="1" x14ac:dyDescent="0.25">
      <c r="B890" s="17"/>
      <c r="C890" s="900"/>
      <c r="D890" s="342"/>
      <c r="E890" s="342"/>
      <c r="F890" s="342"/>
      <c r="G890" s="342"/>
      <c r="H890" s="342"/>
      <c r="I890" s="342"/>
      <c r="J890" s="342"/>
      <c r="K890" s="342"/>
      <c r="L890" s="342"/>
      <c r="M890" s="342"/>
      <c r="N890" s="266"/>
      <c r="O890" s="17"/>
    </row>
    <row r="891" spans="2:27" ht="12.75" customHeight="1" x14ac:dyDescent="0.25">
      <c r="B891" s="17"/>
      <c r="C891" s="900"/>
      <c r="D891" s="157" t="s">
        <v>357</v>
      </c>
      <c r="E891" s="1511" t="str">
        <f>Translations!$B$757</f>
        <v>Measurable heat import to and export from this sub-installation</v>
      </c>
      <c r="F891" s="1512"/>
      <c r="G891" s="1512"/>
      <c r="H891" s="1512"/>
      <c r="I891" s="1512"/>
      <c r="J891" s="1512"/>
      <c r="K891" s="1512"/>
      <c r="L891" s="1512"/>
      <c r="M891" s="1512"/>
      <c r="N891" s="1513"/>
      <c r="O891" s="17"/>
    </row>
    <row r="892" spans="2:27" ht="12.75" customHeight="1" thickBot="1" x14ac:dyDescent="0.3">
      <c r="B892" s="17"/>
      <c r="C892" s="900"/>
      <c r="D892" s="342"/>
      <c r="E892" s="1477" t="str">
        <f>Translations!$B$762</f>
        <v>For attributing emissions from cogeneration (CHP) to production of heat, the "CHP tool" in section D.III. of this template has to be used.</v>
      </c>
      <c r="F892" s="1477"/>
      <c r="G892" s="1477"/>
      <c r="H892" s="1477"/>
      <c r="I892" s="1477"/>
      <c r="J892" s="1477"/>
      <c r="K892" s="1477"/>
      <c r="L892" s="1477"/>
      <c r="M892" s="1477"/>
      <c r="N892" s="903"/>
      <c r="O892" s="17"/>
    </row>
    <row r="893" spans="2:27" ht="12.75" customHeight="1" x14ac:dyDescent="0.25">
      <c r="B893" s="17"/>
      <c r="C893" s="900"/>
      <c r="D893" s="342"/>
      <c r="E893" s="1522" t="str">
        <f>Translations!$B$763</f>
        <v>Total heat imported</v>
      </c>
      <c r="F893" s="1523"/>
      <c r="G893" s="1523"/>
      <c r="H893" s="152" t="str">
        <f>EUconst_Unit</f>
        <v>Unit</v>
      </c>
      <c r="I893" s="153">
        <f>I$1882</f>
        <v>2019</v>
      </c>
      <c r="J893" s="153">
        <f>J$1882</f>
        <v>2020</v>
      </c>
      <c r="K893" s="153">
        <f>K$1882</f>
        <v>2021</v>
      </c>
      <c r="L893" s="153">
        <f>L$1882</f>
        <v>2022</v>
      </c>
      <c r="M893" s="153">
        <f>M$1882</f>
        <v>2023</v>
      </c>
      <c r="N893" s="903"/>
      <c r="O893" s="17"/>
      <c r="R893" s="459"/>
      <c r="S893" s="326">
        <f>I893</f>
        <v>2019</v>
      </c>
      <c r="T893" s="326">
        <f>J893</f>
        <v>2020</v>
      </c>
      <c r="U893" s="326">
        <f>K893</f>
        <v>2021</v>
      </c>
      <c r="V893" s="326">
        <f>L893</f>
        <v>2022</v>
      </c>
      <c r="W893" s="327">
        <f>M893</f>
        <v>2023</v>
      </c>
    </row>
    <row r="894" spans="2:27" ht="12.75" customHeight="1" x14ac:dyDescent="0.25">
      <c r="B894" s="17"/>
      <c r="C894" s="900"/>
      <c r="D894" s="193" t="s">
        <v>206</v>
      </c>
      <c r="E894" s="1528" t="str">
        <f>Translations!$B$764</f>
        <v>Net heat imported</v>
      </c>
      <c r="F894" s="1528"/>
      <c r="G894" s="1528"/>
      <c r="H894" s="154" t="str">
        <f>EUconst_TJpa</f>
        <v>TJ / year</v>
      </c>
      <c r="I894" s="311"/>
      <c r="J894" s="311"/>
      <c r="K894" s="311"/>
      <c r="L894" s="311"/>
      <c r="M894" s="311"/>
      <c r="N894" s="277"/>
      <c r="O894" s="17"/>
      <c r="P894" s="63" t="str">
        <f>EUconst_CNTR_HeatImport &amp; I793</f>
        <v>HeatIm_</v>
      </c>
      <c r="R894" s="464" t="str">
        <f>EUconst_ERR_AttrEmBMapplied &amp; I793</f>
        <v>ERR_AttrEmBM_</v>
      </c>
      <c r="S894" s="63">
        <f>IF(AND(I894&lt;&gt;0,I895="",EUconst_StatusOfDataCollection=FALSE),1,0)</f>
        <v>0</v>
      </c>
      <c r="T894" s="63">
        <f>IF(AND(J894&lt;&gt;0,J895="",EUconst_StatusOfDataCollection=FALSE),1,0)</f>
        <v>0</v>
      </c>
      <c r="U894" s="63">
        <f>IF(AND(K894&lt;&gt;0,K895="",EUconst_StatusOfDataCollection=FALSE),1,0)</f>
        <v>0</v>
      </c>
      <c r="V894" s="63">
        <f>IF(AND(L894&lt;&gt;0,L895="",EUconst_StatusOfDataCollection=FALSE),1,0)</f>
        <v>0</v>
      </c>
      <c r="W894" s="803">
        <f>IF(AND(M894&lt;&gt;0,M895="",EUconst_StatusOfDataCollection=FALSE),1,0)</f>
        <v>0</v>
      </c>
      <c r="X894" s="28"/>
    </row>
    <row r="895" spans="2:27" ht="12.75" customHeight="1" thickBot="1" x14ac:dyDescent="0.3">
      <c r="B895" s="17"/>
      <c r="C895" s="900"/>
      <c r="D895" s="193" t="s">
        <v>208</v>
      </c>
      <c r="E895" s="1528" t="str">
        <f>Translations!$B$765</f>
        <v>Specific EF (imported heat)</v>
      </c>
      <c r="F895" s="1528"/>
      <c r="G895" s="1528"/>
      <c r="H895" s="154" t="str">
        <f>EUconst_tCO2pTJ</f>
        <v>t CO2 / TJ</v>
      </c>
      <c r="I895" s="1065"/>
      <c r="J895" s="1065"/>
      <c r="K895" s="1065"/>
      <c r="L895" s="1065"/>
      <c r="M895" s="1065"/>
      <c r="N895" s="266"/>
      <c r="O895" s="17"/>
      <c r="P895" s="63" t="str">
        <f>EUconst_CNTR_HeatImportEF &amp; I793</f>
        <v>HeatImEF_</v>
      </c>
      <c r="R895" s="460" t="str">
        <f>EUconst_CNTR_AttributedEmissions &amp; I793</f>
        <v>AttrEmissions_</v>
      </c>
      <c r="S895" s="389" t="str">
        <f>IF(S793,SUM(I894)*IF(ISNUMBER(I895),I895,EUconst_HeatBMvalueForBM),"")</f>
        <v/>
      </c>
      <c r="T895" s="389" t="str">
        <f>IF(T793,SUM(J894)*IF(ISNUMBER(J895),J895,EUconst_HeatBMvalueForBM),"")</f>
        <v/>
      </c>
      <c r="U895" s="389" t="str">
        <f>IF(U793,SUM(K894)*IF(ISNUMBER(K895),K895,EUconst_HeatBMvalueForBM),"")</f>
        <v/>
      </c>
      <c r="V895" s="389" t="str">
        <f>IF(V793,SUM(L894)*IF(ISNUMBER(L895),L895,EUconst_HeatBMvalueForBM),"")</f>
        <v/>
      </c>
      <c r="W895" s="390" t="str">
        <f>IF(W793,SUM(M894)*IF(ISNUMBER(M895),M895,EUconst_HeatBMvalueForBM),"")</f>
        <v/>
      </c>
    </row>
    <row r="896" spans="2:27" ht="5.0999999999999996" customHeight="1" x14ac:dyDescent="0.25">
      <c r="B896" s="17"/>
      <c r="C896" s="900"/>
      <c r="D896" s="342"/>
      <c r="E896" s="342"/>
      <c r="F896" s="342"/>
      <c r="G896" s="342"/>
      <c r="H896" s="342"/>
      <c r="I896" s="342"/>
      <c r="J896" s="342"/>
      <c r="K896" s="342"/>
      <c r="L896" s="342"/>
      <c r="M896" s="342"/>
      <c r="N896" s="266"/>
      <c r="O896" s="17"/>
    </row>
    <row r="897" spans="2:27" ht="12.75" customHeight="1" x14ac:dyDescent="0.25">
      <c r="B897" s="17"/>
      <c r="C897" s="900"/>
      <c r="D897" s="342"/>
      <c r="E897" s="1522" t="str">
        <f>Translations!$B$766</f>
        <v>Special heat import</v>
      </c>
      <c r="F897" s="1522"/>
      <c r="G897" s="1522"/>
      <c r="H897" s="152" t="str">
        <f>EUconst_Unit</f>
        <v>Unit</v>
      </c>
      <c r="I897" s="153">
        <f>I$1882</f>
        <v>2019</v>
      </c>
      <c r="J897" s="153">
        <f>J$1882</f>
        <v>2020</v>
      </c>
      <c r="K897" s="153">
        <f>K$1882</f>
        <v>2021</v>
      </c>
      <c r="L897" s="153">
        <f>L$1882</f>
        <v>2022</v>
      </c>
      <c r="M897" s="153">
        <f>M$1882</f>
        <v>2023</v>
      </c>
      <c r="N897" s="903"/>
      <c r="O897" s="17"/>
    </row>
    <row r="898" spans="2:27" ht="12.75" customHeight="1" x14ac:dyDescent="0.25">
      <c r="B898" s="17"/>
      <c r="C898" s="900"/>
      <c r="D898" s="193" t="s">
        <v>209</v>
      </c>
      <c r="E898" s="1528" t="str">
        <f>Translations!$B$820</f>
        <v>Net heat imported from pulp</v>
      </c>
      <c r="F898" s="1528"/>
      <c r="G898" s="1528"/>
      <c r="H898" s="154" t="str">
        <f>EUconst_TJpa</f>
        <v>TJ / year</v>
      </c>
      <c r="I898" s="948"/>
      <c r="J898" s="948"/>
      <c r="K898" s="948"/>
      <c r="L898" s="948"/>
      <c r="M898" s="948"/>
      <c r="N898" s="277"/>
      <c r="O898" s="17"/>
      <c r="P898" s="63" t="str">
        <f>EUconst_CNTR_HeatImportPulp &amp; I793</f>
        <v>HeatImPulp_</v>
      </c>
    </row>
    <row r="899" spans="2:27" ht="12.75" customHeight="1" x14ac:dyDescent="0.25">
      <c r="B899" s="17"/>
      <c r="C899" s="900"/>
      <c r="D899" s="193" t="s">
        <v>210</v>
      </c>
      <c r="E899" s="1528" t="str">
        <f>Translations!$B$768</f>
        <v>Net heat imported from nitric acid sub-installation</v>
      </c>
      <c r="F899" s="1528"/>
      <c r="G899" s="1528"/>
      <c r="H899" s="154" t="str">
        <f>EUconst_TJpa</f>
        <v>TJ / year</v>
      </c>
      <c r="I899" s="311"/>
      <c r="J899" s="311"/>
      <c r="K899" s="311"/>
      <c r="L899" s="311"/>
      <c r="M899" s="311"/>
      <c r="N899" s="277"/>
      <c r="O899" s="17"/>
      <c r="P899" s="63" t="str">
        <f>EUconst_CNTR_HeatImportNitric &amp; I793</f>
        <v>HeatImNitric_</v>
      </c>
    </row>
    <row r="900" spans="2:27" ht="5.0999999999999996" customHeight="1" thickBot="1" x14ac:dyDescent="0.3">
      <c r="B900" s="17"/>
      <c r="C900" s="900"/>
      <c r="D900" s="342"/>
      <c r="E900" s="342"/>
      <c r="F900" s="342"/>
      <c r="G900" s="342"/>
      <c r="H900" s="342"/>
      <c r="I900" s="342"/>
      <c r="J900" s="342"/>
      <c r="K900" s="342"/>
      <c r="L900" s="342"/>
      <c r="M900" s="342"/>
      <c r="N900" s="266"/>
      <c r="O900" s="17"/>
    </row>
    <row r="901" spans="2:27" ht="12.75" customHeight="1" x14ac:dyDescent="0.25">
      <c r="B901" s="17"/>
      <c r="C901" s="900"/>
      <c r="D901" s="342"/>
      <c r="E901" s="1522" t="str">
        <f>Translations!$B$769</f>
        <v>Total heat exported</v>
      </c>
      <c r="F901" s="1522"/>
      <c r="G901" s="1522"/>
      <c r="H901" s="152" t="str">
        <f>EUconst_Unit</f>
        <v>Unit</v>
      </c>
      <c r="I901" s="153">
        <f>I$1882</f>
        <v>2019</v>
      </c>
      <c r="J901" s="153">
        <f>J$1882</f>
        <v>2020</v>
      </c>
      <c r="K901" s="153">
        <f>K$1882</f>
        <v>2021</v>
      </c>
      <c r="L901" s="153">
        <f>L$1882</f>
        <v>2022</v>
      </c>
      <c r="M901" s="153">
        <f>M$1882</f>
        <v>2023</v>
      </c>
      <c r="N901" s="903"/>
      <c r="O901" s="17"/>
      <c r="R901" s="459"/>
      <c r="S901" s="326">
        <f>I901</f>
        <v>2019</v>
      </c>
      <c r="T901" s="326">
        <f>J901</f>
        <v>2020</v>
      </c>
      <c r="U901" s="326">
        <f>K901</f>
        <v>2021</v>
      </c>
      <c r="V901" s="326">
        <f>L901</f>
        <v>2022</v>
      </c>
      <c r="W901" s="327">
        <f>M901</f>
        <v>2023</v>
      </c>
    </row>
    <row r="902" spans="2:27" ht="12.75" customHeight="1" x14ac:dyDescent="0.25">
      <c r="B902" s="17"/>
      <c r="C902" s="900"/>
      <c r="D902" s="193" t="s">
        <v>220</v>
      </c>
      <c r="E902" s="1528" t="str">
        <f>Translations!$B$770</f>
        <v>Net heat exported</v>
      </c>
      <c r="F902" s="1528"/>
      <c r="G902" s="1528"/>
      <c r="H902" s="154" t="str">
        <f>EUconst_TJpa</f>
        <v>TJ / year</v>
      </c>
      <c r="I902" s="311"/>
      <c r="J902" s="311"/>
      <c r="K902" s="311"/>
      <c r="L902" s="311"/>
      <c r="M902" s="311"/>
      <c r="N902" s="277"/>
      <c r="O902" s="17"/>
      <c r="P902" s="63" t="str">
        <f>EUconst_CNTR_HeatExport &amp; I793</f>
        <v>HeatEx_</v>
      </c>
      <c r="R902" s="464" t="str">
        <f>EUconst_ERR_AttrEmBMapplied &amp; I793</f>
        <v>ERR_AttrEmBM_</v>
      </c>
      <c r="S902" s="63">
        <f>IF(AND(I902&lt;&gt;0,I903="",EUconst_StatusOfDataCollection=FALSE),1,0)</f>
        <v>0</v>
      </c>
      <c r="T902" s="63">
        <f>IF(AND(J902&lt;&gt;0,J903="",EUconst_StatusOfDataCollection=FALSE),1,0)</f>
        <v>0</v>
      </c>
      <c r="U902" s="63">
        <f>IF(AND(K902&lt;&gt;0,K903="",EUconst_StatusOfDataCollection=FALSE),1,0)</f>
        <v>0</v>
      </c>
      <c r="V902" s="63">
        <f>IF(AND(L902&lt;&gt;0,L903="",EUconst_StatusOfDataCollection=FALSE),1,0)</f>
        <v>0</v>
      </c>
      <c r="W902" s="803">
        <f>IF(AND(M902&lt;&gt;0,M903="",EUconst_StatusOfDataCollection=FALSE),1,0)</f>
        <v>0</v>
      </c>
    </row>
    <row r="903" spans="2:27" ht="12.75" customHeight="1" thickBot="1" x14ac:dyDescent="0.3">
      <c r="B903" s="17"/>
      <c r="C903" s="900"/>
      <c r="D903" s="193" t="s">
        <v>221</v>
      </c>
      <c r="E903" s="1528" t="str">
        <f>Translations!$B$771</f>
        <v>Specific EF (exported heat)</v>
      </c>
      <c r="F903" s="1528"/>
      <c r="G903" s="1528"/>
      <c r="H903" s="154" t="str">
        <f>EUconst_tCO2pTJ</f>
        <v>t CO2 / TJ</v>
      </c>
      <c r="I903" s="1065"/>
      <c r="J903" s="1065"/>
      <c r="K903" s="1065"/>
      <c r="L903" s="1065"/>
      <c r="M903" s="1065"/>
      <c r="N903" s="266"/>
      <c r="O903" s="17"/>
      <c r="P903" s="63" t="str">
        <f>EUconst_CNTR_HeatExportEF &amp; I793</f>
        <v>HeatExEF_</v>
      </c>
      <c r="R903" s="460" t="str">
        <f>EUconst_CNTR_AttributedEmissions &amp; I793</f>
        <v>AttrEmissions_</v>
      </c>
      <c r="S903" s="389" t="str">
        <f>IF(S793,-SUM(I902)*IF(INDEX(EUconst_BMlistNumberOfBM,MATCH($I793,EUconst_BMlistNames,0))=39,0,IF(ISNUMBER(I903),I903,EUconst_HeatBMvalueForBM)),"")</f>
        <v/>
      </c>
      <c r="T903" s="389" t="str">
        <f>IF(T793,-SUM(J902)*IF(INDEX(EUconst_BMlistNumberOfBM,MATCH($I793,EUconst_BMlistNames,0))=39,0,IF(ISNUMBER(J903),J903,EUconst_HeatBMvalueForBM)),"")</f>
        <v/>
      </c>
      <c r="U903" s="389" t="str">
        <f>IF(U793,-SUM(K902)*IF(INDEX(EUconst_BMlistNumberOfBM,MATCH($I793,EUconst_BMlistNames,0))=39,0,IF(ISNUMBER(K903),K903,EUconst_HeatBMvalueForBM)),"")</f>
        <v/>
      </c>
      <c r="V903" s="389" t="str">
        <f>IF(V793,-SUM(L902)*IF(INDEX(EUconst_BMlistNumberOfBM,MATCH($I793,EUconst_BMlistNames,0))=39,0,IF(ISNUMBER(L903),L903,EUconst_HeatBMvalueForBM)),"")</f>
        <v/>
      </c>
      <c r="W903" s="390" t="str">
        <f>IF(W793,-SUM(M902)*IF(INDEX(EUconst_BMlistNumberOfBM,MATCH($I793,EUconst_BMlistNames,0))=39,0,IF(ISNUMBER(M903),M903,EUconst_HeatBMvalueForBM)),"")</f>
        <v/>
      </c>
    </row>
    <row r="904" spans="2:27" ht="12.75" customHeight="1" x14ac:dyDescent="0.25">
      <c r="B904" s="17"/>
      <c r="C904" s="900"/>
      <c r="D904" s="342"/>
      <c r="E904" s="342"/>
      <c r="F904" s="342"/>
      <c r="G904" s="342"/>
      <c r="H904" s="342"/>
      <c r="I904" s="342"/>
      <c r="J904" s="342"/>
      <c r="K904" s="342"/>
      <c r="L904" s="342"/>
      <c r="M904" s="342"/>
      <c r="N904" s="266"/>
      <c r="O904" s="17"/>
    </row>
    <row r="905" spans="2:27" ht="12.75" customHeight="1" x14ac:dyDescent="0.25">
      <c r="B905" s="17"/>
      <c r="C905" s="900"/>
      <c r="D905" s="157" t="s">
        <v>358</v>
      </c>
      <c r="E905" s="1511" t="str">
        <f>Translations!$B$772</f>
        <v>Waste gas balance for this sub-installation</v>
      </c>
      <c r="F905" s="1512"/>
      <c r="G905" s="1512"/>
      <c r="H905" s="1512"/>
      <c r="I905" s="1512"/>
      <c r="J905" s="1512"/>
      <c r="K905" s="1512"/>
      <c r="L905" s="1512"/>
      <c r="M905" s="1512"/>
      <c r="N905" s="1513"/>
      <c r="O905" s="17"/>
    </row>
    <row r="906" spans="2:27" ht="5.0999999999999996" customHeight="1" thickBot="1" x14ac:dyDescent="0.3">
      <c r="B906" s="17"/>
      <c r="C906" s="900"/>
      <c r="D906" s="342"/>
      <c r="E906" s="1533"/>
      <c r="F906" s="1533"/>
      <c r="G906" s="1533"/>
      <c r="H906" s="1533"/>
      <c r="I906" s="1533"/>
      <c r="J906" s="1533"/>
      <c r="K906" s="1533"/>
      <c r="L906" s="1533"/>
      <c r="M906" s="1533"/>
      <c r="N906" s="1537"/>
      <c r="O906" s="17"/>
    </row>
    <row r="907" spans="2:27" ht="12.75" customHeight="1" thickBot="1" x14ac:dyDescent="0.3">
      <c r="B907" s="17"/>
      <c r="C907" s="900"/>
      <c r="D907" s="193" t="s">
        <v>206</v>
      </c>
      <c r="E907" s="1538" t="str">
        <f>Translations!$B$773</f>
        <v>Are waste gases relevant for this sub-installation?</v>
      </c>
      <c r="F907" s="1538"/>
      <c r="G907" s="1538"/>
      <c r="H907" s="1538"/>
      <c r="I907" s="1538"/>
      <c r="J907" s="1538"/>
      <c r="K907" s="1539"/>
      <c r="L907" s="194"/>
      <c r="M907" s="762"/>
      <c r="N907" s="763"/>
      <c r="O907" s="17"/>
      <c r="W907" s="288" t="s">
        <v>418</v>
      </c>
      <c r="X907" s="215" t="b">
        <f>IF(AND(I793&lt;&gt;"",ISBLANK(L907)),EUconst_Error&amp;"BM"&amp;C793,FALSE)</f>
        <v>0</v>
      </c>
    </row>
    <row r="908" spans="2:27" ht="5.0999999999999996" customHeight="1" thickBot="1" x14ac:dyDescent="0.3">
      <c r="B908" s="17"/>
      <c r="C908" s="900"/>
      <c r="D908" s="342"/>
      <c r="E908" s="1533"/>
      <c r="F908" s="1512"/>
      <c r="G908" s="1512"/>
      <c r="H908" s="1512"/>
      <c r="I908" s="1512"/>
      <c r="J908" s="1512"/>
      <c r="K908" s="1512"/>
      <c r="L908" s="1512"/>
      <c r="M908" s="1512"/>
      <c r="N908" s="1513"/>
      <c r="O908" s="17"/>
      <c r="AA908" s="145" t="s">
        <v>396</v>
      </c>
    </row>
    <row r="909" spans="2:27" ht="12.75" customHeight="1" x14ac:dyDescent="0.25">
      <c r="B909" s="17"/>
      <c r="C909" s="900"/>
      <c r="D909" s="193" t="s">
        <v>208</v>
      </c>
      <c r="E909" s="1529" t="str">
        <f>Translations!$B$775</f>
        <v>Types of waste gases produced:</v>
      </c>
      <c r="F909" s="1529"/>
      <c r="G909" s="1529"/>
      <c r="H909" s="1529"/>
      <c r="I909" s="1530"/>
      <c r="J909" s="1531"/>
      <c r="K909" s="1531"/>
      <c r="L909" s="1531"/>
      <c r="M909" s="1532"/>
      <c r="N909" s="763"/>
      <c r="O909" s="17"/>
      <c r="AA909" s="316" t="b">
        <f>IF(I793&lt;&gt;"",AND(L907&lt;&gt;"",L907=FALSE),FALSE)</f>
        <v>0</v>
      </c>
    </row>
    <row r="910" spans="2:27" ht="5.0999999999999996" customHeight="1" x14ac:dyDescent="0.25">
      <c r="B910" s="17"/>
      <c r="C910" s="900"/>
      <c r="D910" s="342"/>
      <c r="E910" s="1533"/>
      <c r="F910" s="1512"/>
      <c r="G910" s="1512"/>
      <c r="H910" s="1512"/>
      <c r="I910" s="1512"/>
      <c r="J910" s="1512"/>
      <c r="K910" s="1512"/>
      <c r="L910" s="1512"/>
      <c r="M910" s="1512"/>
      <c r="N910" s="1513"/>
      <c r="O910" s="17"/>
      <c r="AA910" s="815"/>
    </row>
    <row r="911" spans="2:27" ht="12.75" customHeight="1" x14ac:dyDescent="0.25">
      <c r="B911" s="17"/>
      <c r="C911" s="900"/>
      <c r="D911" s="342"/>
      <c r="E911" s="1522"/>
      <c r="F911" s="1523"/>
      <c r="G911" s="1523"/>
      <c r="H911" s="152" t="str">
        <f>EUconst_Unit</f>
        <v>Unit</v>
      </c>
      <c r="I911" s="153">
        <f>I$1882</f>
        <v>2019</v>
      </c>
      <c r="J911" s="153">
        <f>J$1882</f>
        <v>2020</v>
      </c>
      <c r="K911" s="153">
        <f>K$1882</f>
        <v>2021</v>
      </c>
      <c r="L911" s="153">
        <f>L$1882</f>
        <v>2022</v>
      </c>
      <c r="M911" s="153">
        <f>M$1882</f>
        <v>2023</v>
      </c>
      <c r="N911" s="903"/>
      <c r="O911" s="17"/>
      <c r="AA911" s="815"/>
    </row>
    <row r="912" spans="2:27" ht="12.75" customHeight="1" x14ac:dyDescent="0.25">
      <c r="B912" s="17"/>
      <c r="C912" s="900"/>
      <c r="D912" s="193" t="s">
        <v>209</v>
      </c>
      <c r="E912" s="1526" t="str">
        <f>Translations!$B$777</f>
        <v>Amounts produced</v>
      </c>
      <c r="F912" s="1526"/>
      <c r="G912" s="1526"/>
      <c r="H912" s="949" t="s">
        <v>427</v>
      </c>
      <c r="I912" s="889"/>
      <c r="J912" s="889"/>
      <c r="K912" s="889"/>
      <c r="L912" s="889"/>
      <c r="M912" s="889"/>
      <c r="N912" s="903"/>
      <c r="O912" s="17"/>
      <c r="AA912" s="285" t="b">
        <f>AA909</f>
        <v>0</v>
      </c>
    </row>
    <row r="913" spans="2:27" ht="12.75" customHeight="1" x14ac:dyDescent="0.25">
      <c r="B913" s="17"/>
      <c r="C913" s="900"/>
      <c r="D913" s="193" t="s">
        <v>210</v>
      </c>
      <c r="E913" s="1527" t="str">
        <f>Translations!$B$470</f>
        <v>Net calorific value</v>
      </c>
      <c r="F913" s="1527"/>
      <c r="G913" s="1527"/>
      <c r="H913" s="950" t="str">
        <f>IF(ISBLANK(H912),EUconst_GJperUnit,INDEX(EUconst_GJperTorKNm3,MATCH(H912,EUconst_TonnesOrkNm3pa,0)))</f>
        <v>GJ/1000Nm3</v>
      </c>
      <c r="I913" s="895"/>
      <c r="J913" s="895"/>
      <c r="K913" s="895"/>
      <c r="L913" s="895"/>
      <c r="M913" s="895"/>
      <c r="N913" s="903"/>
      <c r="O913" s="17"/>
      <c r="AA913" s="285" t="b">
        <f>AA912</f>
        <v>0</v>
      </c>
    </row>
    <row r="914" spans="2:27" ht="12.75" customHeight="1" x14ac:dyDescent="0.25">
      <c r="B914" s="17"/>
      <c r="C914" s="900"/>
      <c r="D914" s="193" t="s">
        <v>220</v>
      </c>
      <c r="E914" s="1528" t="str">
        <f>Translations!$B$778</f>
        <v>Waste gas produced</v>
      </c>
      <c r="F914" s="1528"/>
      <c r="G914" s="1528"/>
      <c r="H914" s="154" t="str">
        <f>EUconst_TJpa</f>
        <v>TJ / year</v>
      </c>
      <c r="I914" s="951" t="str">
        <f>IF(COUNT(I912:I913)=2,I912*I913/1000,"")</f>
        <v/>
      </c>
      <c r="J914" s="951" t="str">
        <f>IF(COUNT(J912:J913)=2,J912*J913/1000,"")</f>
        <v/>
      </c>
      <c r="K914" s="951" t="str">
        <f>IF(COUNT(K912:K913)=2,K912*K913/1000,"")</f>
        <v/>
      </c>
      <c r="L914" s="951" t="str">
        <f>IF(COUNT(L912:L913)=2,L912*L913/1000,"")</f>
        <v/>
      </c>
      <c r="M914" s="951" t="str">
        <f>IF(COUNT(M912:M913)=2,M912*M913/1000,"")</f>
        <v/>
      </c>
      <c r="N914" s="903"/>
      <c r="O914" s="17"/>
      <c r="P914" s="63" t="str">
        <f>EUconst_CNTR_WGProduced &amp; I793</f>
        <v>WasteGasProd_</v>
      </c>
      <c r="AA914" s="815"/>
    </row>
    <row r="915" spans="2:27" ht="12.75" customHeight="1" x14ac:dyDescent="0.25">
      <c r="B915" s="17"/>
      <c r="C915" s="900"/>
      <c r="D915" s="193" t="s">
        <v>221</v>
      </c>
      <c r="E915" s="1528" t="str">
        <f>Translations!$B$779</f>
        <v>Specific EF (produced waste gas)</v>
      </c>
      <c r="F915" s="1528"/>
      <c r="G915" s="1528"/>
      <c r="H915" s="154" t="str">
        <f>EUconst_tCO2pTJ</f>
        <v>t CO2 / TJ</v>
      </c>
      <c r="I915" s="311"/>
      <c r="J915" s="311"/>
      <c r="K915" s="311"/>
      <c r="L915" s="311"/>
      <c r="M915" s="311"/>
      <c r="N915" s="266"/>
      <c r="O915" s="17"/>
      <c r="P915" s="63" t="str">
        <f>EUconst_CNTR_WGProducedEF &amp; I793</f>
        <v>WasteGasProdEF_</v>
      </c>
      <c r="AA915" s="285" t="b">
        <f>AA913</f>
        <v>0</v>
      </c>
    </row>
    <row r="916" spans="2:27" ht="12.75" customHeight="1" x14ac:dyDescent="0.25">
      <c r="B916" s="17"/>
      <c r="C916" s="900"/>
      <c r="D916" s="342"/>
      <c r="E916" s="342"/>
      <c r="F916" s="342"/>
      <c r="G916" s="342"/>
      <c r="H916" s="342"/>
      <c r="I916" s="342"/>
      <c r="J916" s="342"/>
      <c r="K916" s="342"/>
      <c r="L916" s="342"/>
      <c r="M916" s="342"/>
      <c r="N916" s="266"/>
      <c r="O916" s="17"/>
      <c r="AA916" s="815"/>
    </row>
    <row r="917" spans="2:27" ht="12.75" customHeight="1" x14ac:dyDescent="0.25">
      <c r="B917" s="17"/>
      <c r="C917" s="900"/>
      <c r="D917" s="193" t="s">
        <v>222</v>
      </c>
      <c r="E917" s="1529" t="str">
        <f>Translations!$B$780</f>
        <v>Types of waste gases consumed:</v>
      </c>
      <c r="F917" s="1529"/>
      <c r="G917" s="1529"/>
      <c r="H917" s="1529"/>
      <c r="I917" s="1530"/>
      <c r="J917" s="1531"/>
      <c r="K917" s="1531"/>
      <c r="L917" s="1531"/>
      <c r="M917" s="1532"/>
      <c r="N917" s="763"/>
      <c r="O917" s="17"/>
      <c r="AA917" s="285" t="b">
        <f>AA915</f>
        <v>0</v>
      </c>
    </row>
    <row r="918" spans="2:27" ht="5.0999999999999996" customHeight="1" x14ac:dyDescent="0.25">
      <c r="B918" s="17"/>
      <c r="C918" s="900"/>
      <c r="D918" s="193"/>
      <c r="E918" s="1533"/>
      <c r="F918" s="1512"/>
      <c r="G918" s="1512"/>
      <c r="H918" s="1512"/>
      <c r="I918" s="1512"/>
      <c r="J918" s="1512"/>
      <c r="K918" s="1512"/>
      <c r="L918" s="1512"/>
      <c r="M918" s="1512"/>
      <c r="N918" s="1513"/>
      <c r="O918" s="17"/>
      <c r="AA918" s="815"/>
    </row>
    <row r="919" spans="2:27" ht="12.75" customHeight="1" x14ac:dyDescent="0.25">
      <c r="B919" s="17"/>
      <c r="C919" s="900"/>
      <c r="D919" s="342"/>
      <c r="E919" s="1522"/>
      <c r="F919" s="1523"/>
      <c r="G919" s="1523"/>
      <c r="H919" s="152" t="str">
        <f>EUconst_Unit</f>
        <v>Unit</v>
      </c>
      <c r="I919" s="153">
        <f>I$1882</f>
        <v>2019</v>
      </c>
      <c r="J919" s="153">
        <f>J$1882</f>
        <v>2020</v>
      </c>
      <c r="K919" s="153">
        <f>K$1882</f>
        <v>2021</v>
      </c>
      <c r="L919" s="153">
        <f>L$1882</f>
        <v>2022</v>
      </c>
      <c r="M919" s="153">
        <f>M$1882</f>
        <v>2023</v>
      </c>
      <c r="N919" s="903"/>
      <c r="O919" s="17"/>
      <c r="AA919" s="815"/>
    </row>
    <row r="920" spans="2:27" ht="12.75" customHeight="1" x14ac:dyDescent="0.25">
      <c r="B920" s="17"/>
      <c r="C920" s="900"/>
      <c r="D920" s="193" t="s">
        <v>223</v>
      </c>
      <c r="E920" s="1526" t="str">
        <f>Translations!$B$782</f>
        <v>Amounts consumed</v>
      </c>
      <c r="F920" s="1526"/>
      <c r="G920" s="1526"/>
      <c r="H920" s="949" t="s">
        <v>427</v>
      </c>
      <c r="I920" s="889"/>
      <c r="J920" s="889"/>
      <c r="K920" s="889"/>
      <c r="L920" s="889"/>
      <c r="M920" s="889"/>
      <c r="N920" s="903"/>
      <c r="O920" s="17"/>
      <c r="AA920" s="285" t="b">
        <f>AA917</f>
        <v>0</v>
      </c>
    </row>
    <row r="921" spans="2:27" ht="12.75" customHeight="1" x14ac:dyDescent="0.25">
      <c r="B921" s="17"/>
      <c r="C921" s="900"/>
      <c r="D921" s="193" t="s">
        <v>224</v>
      </c>
      <c r="E921" s="1527" t="str">
        <f>Translations!$B$470</f>
        <v>Net calorific value</v>
      </c>
      <c r="F921" s="1527"/>
      <c r="G921" s="1527"/>
      <c r="H921" s="950" t="str">
        <f>IF(ISBLANK(H920),EUconst_GJperUnit,INDEX(EUconst_GJperTorKNm3,MATCH(H920,EUconst_TonnesOrkNm3pa,0)))</f>
        <v>GJ/1000Nm3</v>
      </c>
      <c r="I921" s="895"/>
      <c r="J921" s="895"/>
      <c r="K921" s="895"/>
      <c r="L921" s="895"/>
      <c r="M921" s="895"/>
      <c r="N921" s="903"/>
      <c r="O921" s="17"/>
      <c r="AA921" s="285" t="b">
        <f>AA920</f>
        <v>0</v>
      </c>
    </row>
    <row r="922" spans="2:27" ht="12.75" customHeight="1" x14ac:dyDescent="0.25">
      <c r="B922" s="17"/>
      <c r="C922" s="900"/>
      <c r="D922" s="193" t="s">
        <v>345</v>
      </c>
      <c r="E922" s="1528" t="str">
        <f>Translations!$B$783</f>
        <v>Waste gas consumed</v>
      </c>
      <c r="F922" s="1528"/>
      <c r="G922" s="1528"/>
      <c r="H922" s="154" t="str">
        <f>EUconst_TJpa</f>
        <v>TJ / year</v>
      </c>
      <c r="I922" s="951" t="str">
        <f>IF(COUNT(I920:I921)=2,I920*I921/1000,"")</f>
        <v/>
      </c>
      <c r="J922" s="951" t="str">
        <f>IF(COUNT(J920:J921)=2,J920*J921/1000,"")</f>
        <v/>
      </c>
      <c r="K922" s="951" t="str">
        <f>IF(COUNT(K920:K921)=2,K920*K921/1000,"")</f>
        <v/>
      </c>
      <c r="L922" s="951" t="str">
        <f>IF(COUNT(L920:L921)=2,L920*L921/1000,"")</f>
        <v/>
      </c>
      <c r="M922" s="951" t="str">
        <f>IF(COUNT(M920:M921)=2,M920*M921/1000,"")</f>
        <v/>
      </c>
      <c r="N922" s="903"/>
      <c r="O922" s="17"/>
      <c r="P922" s="63" t="str">
        <f>EUconst_CNTR_WGConsumed &amp; I793</f>
        <v>WasteGasCons_</v>
      </c>
      <c r="AA922" s="815"/>
    </row>
    <row r="923" spans="2:27" ht="12.75" customHeight="1" x14ac:dyDescent="0.25">
      <c r="B923" s="17"/>
      <c r="C923" s="900"/>
      <c r="D923" s="193" t="s">
        <v>346</v>
      </c>
      <c r="E923" s="1528" t="str">
        <f>Translations!$B$784</f>
        <v>Specific EF (consumed waste gas)</v>
      </c>
      <c r="F923" s="1528"/>
      <c r="G923" s="1528"/>
      <c r="H923" s="154" t="str">
        <f>EUconst_tCO2pTJ</f>
        <v>t CO2 / TJ</v>
      </c>
      <c r="I923" s="311"/>
      <c r="J923" s="311"/>
      <c r="K923" s="311"/>
      <c r="L923" s="311"/>
      <c r="M923" s="311"/>
      <c r="N923" s="266"/>
      <c r="O923" s="17"/>
      <c r="P923" s="63" t="str">
        <f>EUconst_CNTR_WGConsumedEF &amp; I793</f>
        <v>WasteGasConsEF_</v>
      </c>
      <c r="AA923" s="285" t="b">
        <f>AA921</f>
        <v>0</v>
      </c>
    </row>
    <row r="924" spans="2:27" ht="12.75" customHeight="1" x14ac:dyDescent="0.25">
      <c r="B924" s="17"/>
      <c r="C924" s="900"/>
      <c r="D924" s="342"/>
      <c r="E924" s="342"/>
      <c r="F924" s="342"/>
      <c r="G924" s="342"/>
      <c r="H924" s="342"/>
      <c r="I924" s="342"/>
      <c r="J924" s="342"/>
      <c r="K924" s="342"/>
      <c r="L924" s="342"/>
      <c r="M924" s="342"/>
      <c r="N924" s="266"/>
      <c r="O924" s="17"/>
      <c r="AA924" s="815"/>
    </row>
    <row r="925" spans="2:27" ht="12.75" customHeight="1" x14ac:dyDescent="0.25">
      <c r="B925" s="17"/>
      <c r="C925" s="900"/>
      <c r="D925" s="193" t="s">
        <v>347</v>
      </c>
      <c r="E925" s="1529" t="str">
        <f>Translations!$B$785</f>
        <v>Types of waste gases flared:</v>
      </c>
      <c r="F925" s="1529"/>
      <c r="G925" s="1529"/>
      <c r="H925" s="1529"/>
      <c r="I925" s="1530"/>
      <c r="J925" s="1531"/>
      <c r="K925" s="1531"/>
      <c r="L925" s="1531"/>
      <c r="M925" s="1532"/>
      <c r="N925" s="763"/>
      <c r="O925" s="17"/>
      <c r="AA925" s="285" t="b">
        <f>AA915</f>
        <v>0</v>
      </c>
    </row>
    <row r="926" spans="2:27" ht="5.0999999999999996" customHeight="1" x14ac:dyDescent="0.25">
      <c r="B926" s="17"/>
      <c r="C926" s="900"/>
      <c r="D926" s="193"/>
      <c r="E926" s="1533"/>
      <c r="F926" s="1512"/>
      <c r="G926" s="1512"/>
      <c r="H926" s="1512"/>
      <c r="I926" s="1512"/>
      <c r="J926" s="1512"/>
      <c r="K926" s="1512"/>
      <c r="L926" s="1512"/>
      <c r="M926" s="1512"/>
      <c r="N926" s="1513"/>
      <c r="O926" s="17"/>
      <c r="AA926" s="815"/>
    </row>
    <row r="927" spans="2:27" ht="12.75" customHeight="1" x14ac:dyDescent="0.25">
      <c r="B927" s="17"/>
      <c r="C927" s="900"/>
      <c r="D927" s="342"/>
      <c r="E927" s="1522"/>
      <c r="F927" s="1523"/>
      <c r="G927" s="1523"/>
      <c r="H927" s="152" t="str">
        <f>EUconst_Unit</f>
        <v>Unit</v>
      </c>
      <c r="I927" s="153">
        <f>I$1882</f>
        <v>2019</v>
      </c>
      <c r="J927" s="153">
        <f>J$1882</f>
        <v>2020</v>
      </c>
      <c r="K927" s="153">
        <f>K$1882</f>
        <v>2021</v>
      </c>
      <c r="L927" s="153">
        <f>L$1882</f>
        <v>2022</v>
      </c>
      <c r="M927" s="153">
        <f>M$1882</f>
        <v>2023</v>
      </c>
      <c r="N927" s="903"/>
      <c r="O927" s="17"/>
      <c r="AA927" s="815"/>
    </row>
    <row r="928" spans="2:27" ht="12.75" customHeight="1" thickBot="1" x14ac:dyDescent="0.3">
      <c r="B928" s="17"/>
      <c r="C928" s="900"/>
      <c r="D928" s="193" t="s">
        <v>355</v>
      </c>
      <c r="E928" s="1526" t="str">
        <f>Translations!$B$789</f>
        <v>Amounts flared</v>
      </c>
      <c r="F928" s="1526"/>
      <c r="G928" s="1526"/>
      <c r="H928" s="949" t="s">
        <v>427</v>
      </c>
      <c r="I928" s="889"/>
      <c r="J928" s="889"/>
      <c r="K928" s="889"/>
      <c r="L928" s="889"/>
      <c r="M928" s="889"/>
      <c r="N928" s="903"/>
      <c r="O928" s="17"/>
      <c r="R928" s="145" t="s">
        <v>428</v>
      </c>
      <c r="AA928" s="285" t="b">
        <f>AA925</f>
        <v>0</v>
      </c>
    </row>
    <row r="929" spans="2:27" ht="12.75" customHeight="1" thickBot="1" x14ac:dyDescent="0.3">
      <c r="B929" s="17"/>
      <c r="C929" s="900"/>
      <c r="D929" s="193" t="s">
        <v>356</v>
      </c>
      <c r="E929" s="1527" t="str">
        <f>Translations!$B$470</f>
        <v>Net calorific value</v>
      </c>
      <c r="F929" s="1527"/>
      <c r="G929" s="1527"/>
      <c r="H929" s="950" t="str">
        <f>IF(ISBLANK(H928),EUconst_GJperUnit,INDEX(EUconst_GJperTorKNm3,MATCH(H928,EUconst_TonnesOrkNm3pa,0)))</f>
        <v>GJ/1000Nm3</v>
      </c>
      <c r="I929" s="895"/>
      <c r="J929" s="895"/>
      <c r="K929" s="895"/>
      <c r="L929" s="895"/>
      <c r="M929" s="895"/>
      <c r="N929" s="903"/>
      <c r="O929" s="17"/>
      <c r="R929" s="283" t="s">
        <v>399</v>
      </c>
      <c r="S929" s="280">
        <f>I927</f>
        <v>2019</v>
      </c>
      <c r="T929" s="281">
        <f>J927</f>
        <v>2020</v>
      </c>
      <c r="U929" s="281">
        <f>K927</f>
        <v>2021</v>
      </c>
      <c r="V929" s="281">
        <f>L927</f>
        <v>2022</v>
      </c>
      <c r="W929" s="282">
        <f>M927</f>
        <v>2023</v>
      </c>
      <c r="AA929" s="285" t="b">
        <f>AA928</f>
        <v>0</v>
      </c>
    </row>
    <row r="930" spans="2:27" ht="12.75" customHeight="1" thickBot="1" x14ac:dyDescent="0.3">
      <c r="B930" s="17"/>
      <c r="C930" s="900"/>
      <c r="D930" s="193" t="s">
        <v>420</v>
      </c>
      <c r="E930" s="1528" t="str">
        <f>Translations!$B$790</f>
        <v>Waste gas flared</v>
      </c>
      <c r="F930" s="1528"/>
      <c r="G930" s="1528"/>
      <c r="H930" s="154" t="str">
        <f>EUconst_TJpa</f>
        <v>TJ / year</v>
      </c>
      <c r="I930" s="951" t="str">
        <f>IF(COUNT(I928:I929)=2,I928*I929/1000,"")</f>
        <v/>
      </c>
      <c r="J930" s="951" t="str">
        <f>IF(COUNT(J928:J929)=2,J928*J929/1000,"")</f>
        <v/>
      </c>
      <c r="K930" s="951" t="str">
        <f>IF(COUNT(K928:K929)=2,K928*K929/1000,"")</f>
        <v/>
      </c>
      <c r="L930" s="951" t="str">
        <f>IF(COUNT(L928:L929)=2,L928*L929/1000,"")</f>
        <v/>
      </c>
      <c r="M930" s="951" t="str">
        <f>IF(COUNT(M928:M929)=2,M928*M929/1000,"")</f>
        <v/>
      </c>
      <c r="N930" s="903"/>
      <c r="O930" s="17"/>
      <c r="P930" s="63" t="str">
        <f>EUconst_CNTR_WGFlared &amp; I793</f>
        <v>WasteGasFlare_</v>
      </c>
      <c r="R930" s="918" t="str">
        <f>IF(COUNT(S930:W930)&gt;0,AVERAGE(S930:W930),"")</f>
        <v/>
      </c>
      <c r="S930" s="808" t="str">
        <f>IF(S793,IF(ISNUMBER(I930),I930,0),"")</f>
        <v/>
      </c>
      <c r="T930" s="809" t="str">
        <f>IF(T793,IF(ISNUMBER(J930),J930,0),"")</f>
        <v/>
      </c>
      <c r="U930" s="809" t="str">
        <f>IF(U793,IF(ISNUMBER(K930),K930,0),"")</f>
        <v/>
      </c>
      <c r="V930" s="809" t="str">
        <f>IF(V793,IF(ISNUMBER(L930),L930,0),"")</f>
        <v/>
      </c>
      <c r="W930" s="810" t="str">
        <f>IF(W793,IF(ISNUMBER(M930),M930,0),"")</f>
        <v/>
      </c>
      <c r="AA930" s="815"/>
    </row>
    <row r="931" spans="2:27" ht="12.75" customHeight="1" thickBot="1" x14ac:dyDescent="0.3">
      <c r="B931" s="17"/>
      <c r="C931" s="900"/>
      <c r="D931" s="193" t="s">
        <v>421</v>
      </c>
      <c r="E931" s="1528" t="str">
        <f>Translations!$B$791</f>
        <v>Specific EF (flared waste gas)</v>
      </c>
      <c r="F931" s="1528"/>
      <c r="G931" s="1528"/>
      <c r="H931" s="154" t="str">
        <f>EUconst_tCO2pTJ</f>
        <v>t CO2 / TJ</v>
      </c>
      <c r="I931" s="311"/>
      <c r="J931" s="311"/>
      <c r="K931" s="311"/>
      <c r="L931" s="311"/>
      <c r="M931" s="311"/>
      <c r="N931" s="266"/>
      <c r="O931" s="17"/>
      <c r="P931" s="63" t="str">
        <f>EUconst_CNTR_WGFlaredEF &amp; I793</f>
        <v>WasteGasFlareEF_</v>
      </c>
      <c r="R931" s="952" t="str">
        <f>IF(COUNT(S931:W931)&gt;0,AVERAGE(S931:W931),"")</f>
        <v/>
      </c>
      <c r="S931" s="808" t="str">
        <f>IF(S793,SUM(I930)*SUM(I931),"")</f>
        <v/>
      </c>
      <c r="T931" s="809" t="str">
        <f>IF(T793,SUM(J930)*SUM(J931),"")</f>
        <v/>
      </c>
      <c r="U931" s="809" t="str">
        <f>IF(U793,SUM(K930)*SUM(K931),"")</f>
        <v/>
      </c>
      <c r="V931" s="809" t="str">
        <f>IF(V793,SUM(L930)*SUM(L931),"")</f>
        <v/>
      </c>
      <c r="W931" s="810" t="str">
        <f>IF(W793,SUM(M930)*SUM(M931),"")</f>
        <v/>
      </c>
      <c r="AA931" s="285" t="b">
        <f>AA929</f>
        <v>0</v>
      </c>
    </row>
    <row r="932" spans="2:27" ht="12.75" customHeight="1" x14ac:dyDescent="0.25">
      <c r="B932" s="17"/>
      <c r="C932" s="900"/>
      <c r="D932" s="342"/>
      <c r="E932" s="342"/>
      <c r="F932" s="342"/>
      <c r="G932" s="342"/>
      <c r="H932" s="342"/>
      <c r="I932" s="342"/>
      <c r="J932" s="342"/>
      <c r="K932" s="342"/>
      <c r="L932" s="342"/>
      <c r="M932" s="342"/>
      <c r="N932" s="266"/>
      <c r="O932" s="17"/>
      <c r="AA932" s="815"/>
    </row>
    <row r="933" spans="2:27" ht="12.75" customHeight="1" x14ac:dyDescent="0.25">
      <c r="B933" s="17"/>
      <c r="C933" s="900"/>
      <c r="D933" s="193" t="s">
        <v>422</v>
      </c>
      <c r="E933" s="1529" t="str">
        <f>Translations!$B$792</f>
        <v>Types of waste gases imported:</v>
      </c>
      <c r="F933" s="1529"/>
      <c r="G933" s="1529"/>
      <c r="H933" s="1529"/>
      <c r="I933" s="1530"/>
      <c r="J933" s="1531"/>
      <c r="K933" s="1531"/>
      <c r="L933" s="1531"/>
      <c r="M933" s="1532"/>
      <c r="N933" s="266"/>
      <c r="O933" s="17"/>
      <c r="AA933" s="285" t="b">
        <f>AA913</f>
        <v>0</v>
      </c>
    </row>
    <row r="934" spans="2:27" ht="5.0999999999999996" customHeight="1" x14ac:dyDescent="0.25">
      <c r="B934" s="17"/>
      <c r="C934" s="900"/>
      <c r="D934" s="193"/>
      <c r="E934" s="1535"/>
      <c r="F934" s="1511"/>
      <c r="G934" s="1511"/>
      <c r="H934" s="1511"/>
      <c r="I934" s="1511"/>
      <c r="J934" s="1511"/>
      <c r="K934" s="1511"/>
      <c r="L934" s="1511"/>
      <c r="M934" s="1511"/>
      <c r="N934" s="1536"/>
      <c r="O934" s="17"/>
      <c r="AA934" s="815"/>
    </row>
    <row r="935" spans="2:27" ht="12.75" customHeight="1" x14ac:dyDescent="0.25">
      <c r="B935" s="17"/>
      <c r="C935" s="900"/>
      <c r="D935" s="342"/>
      <c r="E935" s="1522"/>
      <c r="F935" s="1523"/>
      <c r="G935" s="1523"/>
      <c r="H935" s="152" t="str">
        <f>EUconst_Unit</f>
        <v>Unit</v>
      </c>
      <c r="I935" s="153">
        <f>I$1882</f>
        <v>2019</v>
      </c>
      <c r="J935" s="153">
        <f>J$1882</f>
        <v>2020</v>
      </c>
      <c r="K935" s="153">
        <f>K$1882</f>
        <v>2021</v>
      </c>
      <c r="L935" s="153">
        <f>L$1882</f>
        <v>2022</v>
      </c>
      <c r="M935" s="153">
        <f>M$1882</f>
        <v>2023</v>
      </c>
      <c r="N935" s="903"/>
      <c r="O935" s="17"/>
      <c r="AA935" s="815"/>
    </row>
    <row r="936" spans="2:27" ht="12.75" customHeight="1" thickBot="1" x14ac:dyDescent="0.3">
      <c r="B936" s="17"/>
      <c r="C936" s="900"/>
      <c r="D936" s="193" t="s">
        <v>423</v>
      </c>
      <c r="E936" s="1526" t="str">
        <f>Translations!$B$795</f>
        <v>Amounts imported</v>
      </c>
      <c r="F936" s="1526"/>
      <c r="G936" s="1526"/>
      <c r="H936" s="949" t="s">
        <v>427</v>
      </c>
      <c r="I936" s="889"/>
      <c r="J936" s="889"/>
      <c r="K936" s="889"/>
      <c r="L936" s="889"/>
      <c r="M936" s="889"/>
      <c r="N936" s="903"/>
      <c r="O936" s="17"/>
      <c r="AA936" s="285" t="b">
        <f>AA933</f>
        <v>0</v>
      </c>
    </row>
    <row r="937" spans="2:27" ht="12.75" customHeight="1" x14ac:dyDescent="0.25">
      <c r="B937" s="17"/>
      <c r="C937" s="900"/>
      <c r="D937" s="193" t="s">
        <v>430</v>
      </c>
      <c r="E937" s="1527" t="str">
        <f>Translations!$B$470</f>
        <v>Net calorific value</v>
      </c>
      <c r="F937" s="1527"/>
      <c r="G937" s="1527"/>
      <c r="H937" s="950" t="str">
        <f>IF(ISBLANK(H936),EUconst_GJperUnit,INDEX(EUconst_GJperTorKNm3,MATCH(H936,EUconst_TonnesOrkNm3pa,0)))</f>
        <v>GJ/1000Nm3</v>
      </c>
      <c r="I937" s="895"/>
      <c r="J937" s="895"/>
      <c r="K937" s="895"/>
      <c r="L937" s="895"/>
      <c r="M937" s="895"/>
      <c r="N937" s="903"/>
      <c r="O937" s="17"/>
      <c r="R937" s="459"/>
      <c r="S937" s="326">
        <f>I935</f>
        <v>2019</v>
      </c>
      <c r="T937" s="326">
        <f>J935</f>
        <v>2020</v>
      </c>
      <c r="U937" s="326">
        <f>K935</f>
        <v>2021</v>
      </c>
      <c r="V937" s="326">
        <f>L935</f>
        <v>2022</v>
      </c>
      <c r="W937" s="327">
        <f>M935</f>
        <v>2023</v>
      </c>
      <c r="AA937" s="285" t="b">
        <f>AA936</f>
        <v>0</v>
      </c>
    </row>
    <row r="938" spans="2:27" ht="12.75" customHeight="1" x14ac:dyDescent="0.25">
      <c r="B938" s="17"/>
      <c r="C938" s="900"/>
      <c r="D938" s="193" t="s">
        <v>431</v>
      </c>
      <c r="E938" s="1528" t="str">
        <f>Translations!$B$796</f>
        <v>Waste gas imported</v>
      </c>
      <c r="F938" s="1528"/>
      <c r="G938" s="1528"/>
      <c r="H938" s="154" t="str">
        <f>EUconst_TJpa</f>
        <v>TJ / year</v>
      </c>
      <c r="I938" s="163" t="str">
        <f>IF(COUNT(I936:I937)=2,I936*I937/1000,"")</f>
        <v/>
      </c>
      <c r="J938" s="163" t="str">
        <f>IF(COUNT(J936:J937)=2,J936*J937/1000,"")</f>
        <v/>
      </c>
      <c r="K938" s="163" t="str">
        <f>IF(COUNT(K936:K937)=2,K936*K937/1000,"")</f>
        <v/>
      </c>
      <c r="L938" s="163" t="str">
        <f>IF(COUNT(L936:L937)=2,L936*L937/1000,"")</f>
        <v/>
      </c>
      <c r="M938" s="163" t="str">
        <f>IF(COUNT(M936:M937)=2,M936*M937/1000,"")</f>
        <v/>
      </c>
      <c r="N938" s="903"/>
      <c r="O938" s="17"/>
      <c r="P938" s="63" t="str">
        <f>EUconst_CNTR_WGImport &amp; I793</f>
        <v>WasteGasIm_</v>
      </c>
      <c r="R938" s="464" t="str">
        <f>EUconst_ERR_AttrEmBMapplied &amp; I793</f>
        <v>ERR_AttrEmBM_</v>
      </c>
      <c r="S938" s="63">
        <f>IF(AND(I938&lt;&gt;"",EUconst_StatusOfDataCollection=FALSE),1,0)</f>
        <v>0</v>
      </c>
      <c r="T938" s="63">
        <f>IF(AND(J938&lt;&gt;"",EUconst_StatusOfDataCollection=FALSE),1,0)</f>
        <v>0</v>
      </c>
      <c r="U938" s="63">
        <f>IF(AND(K938&lt;&gt;"",EUconst_StatusOfDataCollection=FALSE),1,0)</f>
        <v>0</v>
      </c>
      <c r="V938" s="63">
        <f>IF(AND(L938&lt;&gt;"",EUconst_StatusOfDataCollection=FALSE),1,0)</f>
        <v>0</v>
      </c>
      <c r="W938" s="803">
        <f>IF(AND(M938&lt;&gt;"",EUconst_StatusOfDataCollection=FALSE),1,0)</f>
        <v>0</v>
      </c>
      <c r="AA938" s="815"/>
    </row>
    <row r="939" spans="2:27" ht="12.75" customHeight="1" thickBot="1" x14ac:dyDescent="0.3">
      <c r="B939" s="17"/>
      <c r="C939" s="900"/>
      <c r="D939" s="193" t="s">
        <v>432</v>
      </c>
      <c r="E939" s="1528" t="str">
        <f>Translations!$B$797</f>
        <v>Specific EF (imported waste gas)</v>
      </c>
      <c r="F939" s="1528"/>
      <c r="G939" s="1528"/>
      <c r="H939" s="154" t="str">
        <f>EUconst_tCO2pTJ</f>
        <v>t CO2 / TJ</v>
      </c>
      <c r="I939" s="311"/>
      <c r="J939" s="311"/>
      <c r="K939" s="311"/>
      <c r="L939" s="311"/>
      <c r="M939" s="311"/>
      <c r="N939" s="266"/>
      <c r="O939" s="17"/>
      <c r="P939" s="63" t="str">
        <f>EUconst_CNTR_WGImportEF &amp; I793</f>
        <v>WasteGasImEF_</v>
      </c>
      <c r="R939" s="460" t="str">
        <f>EUconst_CNTR_AttributedEmissions &amp; I793</f>
        <v>AttrEmissions_</v>
      </c>
      <c r="S939" s="389" t="str">
        <f>IF(S793,SUM(I938)*EUconst_FuelBMvalue,"")</f>
        <v/>
      </c>
      <c r="T939" s="389" t="str">
        <f>IF(T793,SUM(J938)*EUconst_FuelBMvalue,"")</f>
        <v/>
      </c>
      <c r="U939" s="389" t="str">
        <f>IF(U793,SUM(K938)*EUconst_FuelBMvalue,"")</f>
        <v/>
      </c>
      <c r="V939" s="389" t="str">
        <f>IF(V793,SUM(L938)*EUconst_FuelBMvalue,"")</f>
        <v/>
      </c>
      <c r="W939" s="390" t="str">
        <f>IF(W793,SUM(M938)*EUconst_FuelBMvalue,"")</f>
        <v/>
      </c>
      <c r="AA939" s="285" t="b">
        <f>AA937</f>
        <v>0</v>
      </c>
    </row>
    <row r="940" spans="2:27" ht="12.75" customHeight="1" x14ac:dyDescent="0.25">
      <c r="B940" s="17"/>
      <c r="C940" s="900"/>
      <c r="D940" s="342"/>
      <c r="E940" s="342"/>
      <c r="F940" s="342"/>
      <c r="G940" s="342"/>
      <c r="H940" s="342"/>
      <c r="I940" s="342"/>
      <c r="J940" s="342"/>
      <c r="K940" s="342"/>
      <c r="L940" s="342"/>
      <c r="M940" s="342"/>
      <c r="N940" s="266"/>
      <c r="O940" s="17"/>
      <c r="AA940" s="815"/>
    </row>
    <row r="941" spans="2:27" ht="12.75" customHeight="1" x14ac:dyDescent="0.25">
      <c r="B941" s="17"/>
      <c r="C941" s="900"/>
      <c r="D941" s="193" t="s">
        <v>433</v>
      </c>
      <c r="E941" s="1529" t="str">
        <f>Translations!$B$798</f>
        <v>Types of waste gases exported:</v>
      </c>
      <c r="F941" s="1529"/>
      <c r="G941" s="1529"/>
      <c r="H941" s="1529"/>
      <c r="I941" s="1530"/>
      <c r="J941" s="1531"/>
      <c r="K941" s="1531"/>
      <c r="L941" s="1531"/>
      <c r="M941" s="1532"/>
      <c r="N941" s="763"/>
      <c r="O941" s="17"/>
      <c r="AA941" s="285" t="b">
        <f>AA936</f>
        <v>0</v>
      </c>
    </row>
    <row r="942" spans="2:27" ht="5.0999999999999996" customHeight="1" x14ac:dyDescent="0.25">
      <c r="B942" s="17"/>
      <c r="C942" s="900"/>
      <c r="D942" s="193"/>
      <c r="E942" s="1533"/>
      <c r="F942" s="1512"/>
      <c r="G942" s="1512"/>
      <c r="H942" s="1512"/>
      <c r="I942" s="1512"/>
      <c r="J942" s="1512"/>
      <c r="K942" s="1512"/>
      <c r="L942" s="1512"/>
      <c r="M942" s="1512"/>
      <c r="N942" s="1513"/>
      <c r="O942" s="17"/>
      <c r="AA942" s="815"/>
    </row>
    <row r="943" spans="2:27" ht="12.75" customHeight="1" x14ac:dyDescent="0.25">
      <c r="B943" s="17"/>
      <c r="C943" s="900"/>
      <c r="D943" s="342"/>
      <c r="E943" s="1522"/>
      <c r="F943" s="1523"/>
      <c r="G943" s="1523"/>
      <c r="H943" s="152" t="str">
        <f>EUconst_Unit</f>
        <v>Unit</v>
      </c>
      <c r="I943" s="153">
        <f>I$1882</f>
        <v>2019</v>
      </c>
      <c r="J943" s="153">
        <f>J$1882</f>
        <v>2020</v>
      </c>
      <c r="K943" s="153">
        <f>K$1882</f>
        <v>2021</v>
      </c>
      <c r="L943" s="153">
        <f>L$1882</f>
        <v>2022</v>
      </c>
      <c r="M943" s="153">
        <f>M$1882</f>
        <v>2023</v>
      </c>
      <c r="N943" s="903"/>
      <c r="O943" s="17"/>
      <c r="AA943" s="815"/>
    </row>
    <row r="944" spans="2:27" ht="12.75" customHeight="1" x14ac:dyDescent="0.25">
      <c r="B944" s="17"/>
      <c r="C944" s="900"/>
      <c r="D944" s="193" t="s">
        <v>434</v>
      </c>
      <c r="E944" s="1526" t="str">
        <f>Translations!$B$800</f>
        <v>Amounts exported</v>
      </c>
      <c r="F944" s="1526"/>
      <c r="G944" s="1526"/>
      <c r="H944" s="949" t="s">
        <v>427</v>
      </c>
      <c r="I944" s="889"/>
      <c r="J944" s="889"/>
      <c r="K944" s="889"/>
      <c r="L944" s="889"/>
      <c r="M944" s="889"/>
      <c r="N944" s="903"/>
      <c r="O944" s="17"/>
      <c r="AA944" s="285" t="b">
        <f>AA941</f>
        <v>0</v>
      </c>
    </row>
    <row r="945" spans="2:27" ht="12.75" customHeight="1" thickBot="1" x14ac:dyDescent="0.3">
      <c r="B945" s="17"/>
      <c r="C945" s="900"/>
      <c r="D945" s="193" t="s">
        <v>435</v>
      </c>
      <c r="E945" s="1527" t="str">
        <f>Translations!$B$470</f>
        <v>Net calorific value</v>
      </c>
      <c r="F945" s="1527"/>
      <c r="G945" s="1527"/>
      <c r="H945" s="950" t="str">
        <f>IF(ISBLANK(H944),EUconst_GJperUnit,INDEX(EUconst_GJperTorKNm3,MATCH(H944,EUconst_TonnesOrkNm3pa,0)))</f>
        <v>GJ/1000Nm3</v>
      </c>
      <c r="I945" s="895"/>
      <c r="J945" s="895"/>
      <c r="K945" s="895"/>
      <c r="L945" s="895"/>
      <c r="M945" s="895"/>
      <c r="N945" s="903"/>
      <c r="O945" s="17"/>
      <c r="AA945" s="285" t="b">
        <f>AA944</f>
        <v>0</v>
      </c>
    </row>
    <row r="946" spans="2:27" ht="12.75" customHeight="1" x14ac:dyDescent="0.25">
      <c r="B946" s="17"/>
      <c r="C946" s="900"/>
      <c r="D946" s="193" t="s">
        <v>436</v>
      </c>
      <c r="E946" s="1528" t="str">
        <f>Translations!$B$801</f>
        <v>Waste gas exported</v>
      </c>
      <c r="F946" s="1528"/>
      <c r="G946" s="1528"/>
      <c r="H946" s="154" t="str">
        <f>EUconst_TJpa</f>
        <v>TJ / year</v>
      </c>
      <c r="I946" s="163" t="str">
        <f>IF(COUNT(I944:I945)=2,I944*I945/1000,"")</f>
        <v/>
      </c>
      <c r="J946" s="163" t="str">
        <f>IF(COUNT(J944:J945)=2,J944*J945/1000,"")</f>
        <v/>
      </c>
      <c r="K946" s="163" t="str">
        <f>IF(COUNT(K944:K945)=2,K944*K945/1000,"")</f>
        <v/>
      </c>
      <c r="L946" s="163" t="str">
        <f>IF(COUNT(L944:L945)=2,L944*L945/1000,"")</f>
        <v/>
      </c>
      <c r="M946" s="163" t="str">
        <f>IF(COUNT(M944:M945)=2,M944*M945/1000,"")</f>
        <v/>
      </c>
      <c r="N946" s="277"/>
      <c r="O946" s="17"/>
      <c r="P946" s="63" t="str">
        <f>EUconst_CNTR_WGExport &amp; I793</f>
        <v>WasteGasEx_</v>
      </c>
      <c r="R946" s="459"/>
      <c r="S946" s="326">
        <f>I943</f>
        <v>2019</v>
      </c>
      <c r="T946" s="326">
        <f>J943</f>
        <v>2020</v>
      </c>
      <c r="U946" s="326">
        <f>K943</f>
        <v>2021</v>
      </c>
      <c r="V946" s="326">
        <f>L943</f>
        <v>2022</v>
      </c>
      <c r="W946" s="327">
        <f>M943</f>
        <v>2023</v>
      </c>
      <c r="AA946" s="815"/>
    </row>
    <row r="947" spans="2:27" ht="12.75" customHeight="1" thickBot="1" x14ac:dyDescent="0.3">
      <c r="B947" s="17"/>
      <c r="C947" s="900"/>
      <c r="D947" s="193" t="s">
        <v>437</v>
      </c>
      <c r="E947" s="1528" t="str">
        <f>Translations!$B$802</f>
        <v>Specific EF (exported waste gas)</v>
      </c>
      <c r="F947" s="1528"/>
      <c r="G947" s="1528"/>
      <c r="H947" s="154" t="str">
        <f>EUconst_tCO2pTJ</f>
        <v>t CO2 / TJ</v>
      </c>
      <c r="I947" s="311"/>
      <c r="J947" s="311"/>
      <c r="K947" s="311"/>
      <c r="L947" s="311"/>
      <c r="M947" s="311"/>
      <c r="N947" s="266"/>
      <c r="O947" s="17"/>
      <c r="P947" s="63" t="str">
        <f>EUconst_CNTR_WGExportEF &amp; I793</f>
        <v>WasteGasExEF_</v>
      </c>
      <c r="R947" s="460" t="str">
        <f>EUconst_CNTR_AttributedEmissions &amp; I793</f>
        <v>AttrEmissions_</v>
      </c>
      <c r="S947" s="389" t="str">
        <f>IF(S793,-SUM(I946)*EUconst_NGEFvalue*EUconst_WasteGasCorrFactor,"")</f>
        <v/>
      </c>
      <c r="T947" s="389" t="str">
        <f>IF(T793,-SUM(J946)*EUconst_NGEFvalue*EUconst_WasteGasCorrFactor,"")</f>
        <v/>
      </c>
      <c r="U947" s="389" t="str">
        <f>IF(U793,-SUM(K946)*EUconst_NGEFvalue*EUconst_WasteGasCorrFactor,"")</f>
        <v/>
      </c>
      <c r="V947" s="389" t="str">
        <f>IF(V793,-SUM(L946)*EUconst_NGEFvalue*EUconst_WasteGasCorrFactor,"")</f>
        <v/>
      </c>
      <c r="W947" s="390" t="str">
        <f>IF(W793,-SUM(M946)*EUconst_NGEFvalue*EUconst_WasteGasCorrFactor,"")</f>
        <v/>
      </c>
      <c r="AA947" s="286" t="b">
        <f>AA945</f>
        <v>0</v>
      </c>
    </row>
    <row r="948" spans="2:27" ht="12.75" customHeight="1" x14ac:dyDescent="0.25">
      <c r="B948" s="17"/>
      <c r="C948" s="900"/>
      <c r="D948" s="342"/>
      <c r="E948" s="342"/>
      <c r="F948" s="342"/>
      <c r="G948" s="342"/>
      <c r="H948" s="342"/>
      <c r="I948" s="342"/>
      <c r="J948" s="342"/>
      <c r="K948" s="342"/>
      <c r="L948" s="342"/>
      <c r="M948" s="342"/>
      <c r="N948" s="266"/>
      <c r="O948" s="17"/>
    </row>
    <row r="949" spans="2:27" ht="12.75" customHeight="1" thickBot="1" x14ac:dyDescent="0.3">
      <c r="B949" s="17"/>
      <c r="C949" s="900"/>
      <c r="D949" s="157" t="s">
        <v>359</v>
      </c>
      <c r="E949" s="1511" t="str">
        <f>Translations!$B$420</f>
        <v>Electricity production</v>
      </c>
      <c r="F949" s="1512"/>
      <c r="G949" s="1512"/>
      <c r="H949" s="1512"/>
      <c r="I949" s="1512"/>
      <c r="J949" s="1512"/>
      <c r="K949" s="1512"/>
      <c r="L949" s="1512"/>
      <c r="M949" s="1512"/>
      <c r="N949" s="1513"/>
      <c r="O949" s="17"/>
    </row>
    <row r="950" spans="2:27" ht="12.75" customHeight="1" x14ac:dyDescent="0.25">
      <c r="B950" s="17"/>
      <c r="C950" s="900"/>
      <c r="D950" s="157"/>
      <c r="E950" s="1522"/>
      <c r="F950" s="1523"/>
      <c r="G950" s="1523"/>
      <c r="H950" s="152" t="str">
        <f>EUconst_Unit</f>
        <v>Unit</v>
      </c>
      <c r="I950" s="153">
        <f>I$1882</f>
        <v>2019</v>
      </c>
      <c r="J950" s="153">
        <f>J$1882</f>
        <v>2020</v>
      </c>
      <c r="K950" s="153">
        <f>K$1882</f>
        <v>2021</v>
      </c>
      <c r="L950" s="153">
        <f>L$1882</f>
        <v>2022</v>
      </c>
      <c r="M950" s="153">
        <f>M$1882</f>
        <v>2023</v>
      </c>
      <c r="N950" s="266"/>
      <c r="O950" s="17"/>
      <c r="R950" s="459"/>
      <c r="S950" s="326">
        <f>I950</f>
        <v>2019</v>
      </c>
      <c r="T950" s="326">
        <f>J950</f>
        <v>2020</v>
      </c>
      <c r="U950" s="326">
        <f>K950</f>
        <v>2021</v>
      </c>
      <c r="V950" s="326">
        <f>L950</f>
        <v>2022</v>
      </c>
      <c r="W950" s="327">
        <f>M950</f>
        <v>2023</v>
      </c>
    </row>
    <row r="951" spans="2:27" ht="12.75" customHeight="1" thickBot="1" x14ac:dyDescent="0.3">
      <c r="B951" s="17"/>
      <c r="C951" s="900"/>
      <c r="D951" s="193"/>
      <c r="E951" s="1528" t="str">
        <f>Translations!$B$805</f>
        <v>Electricity produced</v>
      </c>
      <c r="F951" s="1528"/>
      <c r="G951" s="1528"/>
      <c r="H951" s="154" t="str">
        <f>EUconst_MWhpa</f>
        <v>MWh / year</v>
      </c>
      <c r="I951" s="311"/>
      <c r="J951" s="311"/>
      <c r="K951" s="311"/>
      <c r="L951" s="311"/>
      <c r="M951" s="311"/>
      <c r="N951" s="903"/>
      <c r="O951" s="17"/>
      <c r="P951" s="63" t="str">
        <f>EUconst_CNTR_ElectricityExported &amp; I793</f>
        <v>ElecEx_</v>
      </c>
      <c r="R951" s="460" t="str">
        <f>EUconst_CNTR_AttributedEmissions &amp; I793</f>
        <v>AttrEmissions_</v>
      </c>
      <c r="S951" s="389" t="str">
        <f>IF(S793,-SUM(I951)*EUconst_ElBM,"")</f>
        <v/>
      </c>
      <c r="T951" s="389" t="str">
        <f>IF(T793,-SUM(J951)*EUconst_ElBM,"")</f>
        <v/>
      </c>
      <c r="U951" s="389" t="str">
        <f>IF(U793,-SUM(K951)*EUconst_ElBM,"")</f>
        <v/>
      </c>
      <c r="V951" s="389" t="str">
        <f>IF(V793,-SUM(L951)*EUconst_ElBM,"")</f>
        <v/>
      </c>
      <c r="W951" s="390" t="str">
        <f>IF(W793,-SUM(M951)*EUconst_ElBM,"")</f>
        <v/>
      </c>
    </row>
    <row r="952" spans="2:27" ht="12.75" customHeight="1" x14ac:dyDescent="0.25">
      <c r="B952" s="17"/>
      <c r="C952" s="900"/>
      <c r="D952" s="342"/>
      <c r="E952" s="342"/>
      <c r="F952" s="342"/>
      <c r="G952" s="342"/>
      <c r="H952" s="342"/>
      <c r="I952" s="342"/>
      <c r="J952" s="342"/>
      <c r="K952" s="342"/>
      <c r="L952" s="342"/>
      <c r="M952" s="342"/>
      <c r="N952" s="266"/>
      <c r="O952" s="17"/>
    </row>
    <row r="953" spans="2:27" ht="12.75" customHeight="1" thickBot="1" x14ac:dyDescent="0.3">
      <c r="B953" s="17"/>
      <c r="C953" s="900"/>
      <c r="D953" s="157" t="s">
        <v>361</v>
      </c>
      <c r="E953" s="1529" t="str">
        <f>Translations!$B$806</f>
        <v>Total amount of pulp produced</v>
      </c>
      <c r="F953" s="1529"/>
      <c r="G953" s="1529"/>
      <c r="H953" s="1529"/>
      <c r="I953" s="1529"/>
      <c r="J953" s="1529"/>
      <c r="K953" s="1529"/>
      <c r="L953" s="1529"/>
      <c r="M953" s="1529"/>
      <c r="N953" s="1534"/>
      <c r="O953" s="17"/>
    </row>
    <row r="954" spans="2:27" ht="12.75" customHeight="1" thickBot="1" x14ac:dyDescent="0.3">
      <c r="B954" s="17"/>
      <c r="C954" s="900"/>
      <c r="D954" s="193"/>
      <c r="E954" s="1510" t="str">
        <f>IF(I793="","",IF(INDEX(EUconst_BMlistPulp,MATCH(I793,EUconst_BMlistNames,0)),I793,""))</f>
        <v/>
      </c>
      <c r="F954" s="1510"/>
      <c r="G954" s="1510"/>
      <c r="H954" s="154" t="str">
        <f>EUconst_Tons</f>
        <v>tonnes</v>
      </c>
      <c r="I954" s="311"/>
      <c r="J954" s="311"/>
      <c r="K954" s="311"/>
      <c r="L954" s="311"/>
      <c r="M954" s="311"/>
      <c r="N954" s="903"/>
      <c r="O954" s="17"/>
      <c r="P954" s="63" t="str">
        <f>EUconst_CNTR_HALPulpTotal &amp; I793</f>
        <v>HALPulpTotal_</v>
      </c>
      <c r="AA954" s="410" t="b">
        <f>IF(I793&lt;&gt;"",IF(INDEX(EUconst_BMlistPulp,MATCH(I793,EUconst_BMlistNames,0))=TRUE,FALSE,TRUE),FALSE)</f>
        <v>0</v>
      </c>
    </row>
    <row r="955" spans="2:27" ht="12.75" customHeight="1" x14ac:dyDescent="0.25">
      <c r="B955" s="17"/>
      <c r="C955" s="900"/>
      <c r="D955" s="193"/>
      <c r="E955" s="193"/>
      <c r="F955" s="193"/>
      <c r="G955" s="193"/>
      <c r="H955" s="193"/>
      <c r="I955" s="193"/>
      <c r="J955" s="193"/>
      <c r="K955" s="193"/>
      <c r="L955" s="193"/>
      <c r="M955" s="193"/>
      <c r="N955" s="903"/>
      <c r="O955" s="17"/>
    </row>
    <row r="956" spans="2:27" ht="12.75" customHeight="1" thickBot="1" x14ac:dyDescent="0.3">
      <c r="B956" s="17"/>
      <c r="C956" s="900"/>
      <c r="D956" s="157" t="s">
        <v>362</v>
      </c>
      <c r="E956" s="1511" t="str">
        <f>Translations!$B$810</f>
        <v>Import or export of intermediate products covered by product benchmarks</v>
      </c>
      <c r="F956" s="1512"/>
      <c r="G956" s="1512"/>
      <c r="H956" s="1512"/>
      <c r="I956" s="1512"/>
      <c r="J956" s="1512"/>
      <c r="K956" s="1512"/>
      <c r="L956" s="1512"/>
      <c r="M956" s="1512"/>
      <c r="N956" s="1513"/>
      <c r="O956" s="17"/>
    </row>
    <row r="957" spans="2:27" ht="12.75" customHeight="1" thickBot="1" x14ac:dyDescent="0.3">
      <c r="B957" s="17"/>
      <c r="C957" s="900"/>
      <c r="D957" s="193" t="s">
        <v>206</v>
      </c>
      <c r="E957" s="1514" t="str">
        <f>Translations!$B$813</f>
        <v>Is there any import or export of intermediate products covered by product benchmarks?</v>
      </c>
      <c r="F957" s="1514"/>
      <c r="G957" s="1514"/>
      <c r="H957" s="1514"/>
      <c r="I957" s="1514"/>
      <c r="J957" s="1514"/>
      <c r="K957" s="1515"/>
      <c r="L957" s="194"/>
      <c r="M957" s="342"/>
      <c r="N957" s="277"/>
      <c r="O957" s="17"/>
      <c r="W957" s="288" t="s">
        <v>418</v>
      </c>
      <c r="X957" s="215" t="b">
        <f>IF(AND(I793&lt;&gt;"",ISBLANK(L957)),EUconst_Error&amp;"BM"&amp;C793,FALSE)</f>
        <v>0</v>
      </c>
    </row>
    <row r="958" spans="2:27" ht="5.0999999999999996" customHeight="1" x14ac:dyDescent="0.25">
      <c r="B958" s="17"/>
      <c r="C958" s="900"/>
      <c r="D958" s="193"/>
      <c r="E958" s="193"/>
      <c r="F958" s="193"/>
      <c r="G958" s="193"/>
      <c r="H958" s="193"/>
      <c r="I958" s="193"/>
      <c r="J958" s="193"/>
      <c r="K958" s="193"/>
      <c r="L958" s="193"/>
      <c r="M958" s="193"/>
      <c r="N958" s="903"/>
      <c r="O958" s="17"/>
    </row>
    <row r="959" spans="2:27" ht="12.75" customHeight="1" thickBot="1" x14ac:dyDescent="0.3">
      <c r="B959" s="17"/>
      <c r="C959" s="900"/>
      <c r="D959" s="157"/>
      <c r="E959" s="1522" t="str">
        <f>Translations!$B$814</f>
        <v>Imported amounts:</v>
      </c>
      <c r="F959" s="1523"/>
      <c r="G959" s="1523"/>
      <c r="H959" s="192" t="str">
        <f>EUconst_Unit</f>
        <v>Unit</v>
      </c>
      <c r="I959" s="153">
        <f>I$1882</f>
        <v>2019</v>
      </c>
      <c r="J959" s="153">
        <f>J$1882</f>
        <v>2020</v>
      </c>
      <c r="K959" s="153">
        <f>K$1882</f>
        <v>2021</v>
      </c>
      <c r="L959" s="153">
        <f>L$1882</f>
        <v>2022</v>
      </c>
      <c r="M959" s="153">
        <f>M$1882</f>
        <v>2023</v>
      </c>
      <c r="N959" s="903"/>
      <c r="O959" s="17"/>
      <c r="AA959" s="145" t="s">
        <v>396</v>
      </c>
    </row>
    <row r="960" spans="2:27" ht="12.75" customHeight="1" x14ac:dyDescent="0.25">
      <c r="B960" s="17"/>
      <c r="C960" s="900"/>
      <c r="D960" s="193" t="s">
        <v>208</v>
      </c>
      <c r="E960" s="1524"/>
      <c r="F960" s="1524"/>
      <c r="G960" s="1524"/>
      <c r="H960" s="853" t="str">
        <f>IF(E960&lt;&gt;"",INDEX(EUconst_BMlistUnits,MATCH(E960,EUconst_BMlistNames,0)),EUconst_Tons)</f>
        <v>tonnes</v>
      </c>
      <c r="I960" s="953"/>
      <c r="J960" s="953"/>
      <c r="K960" s="953"/>
      <c r="L960" s="953"/>
      <c r="M960" s="953"/>
      <c r="N960" s="903"/>
      <c r="O960" s="17"/>
      <c r="P960" s="63" t="str">
        <f>EUconst_CNTR_IntermediateImport &amp; R960 &amp; "_" &amp; I793</f>
        <v>IntImp_1_</v>
      </c>
      <c r="R960" s="63">
        <v>1</v>
      </c>
      <c r="AA960" s="316" t="b">
        <f>AND(NOT(ISBLANK(L957)),L957=FALSE)</f>
        <v>0</v>
      </c>
    </row>
    <row r="961" spans="2:27" ht="12.75" customHeight="1" x14ac:dyDescent="0.25">
      <c r="B961" s="17"/>
      <c r="C961" s="900"/>
      <c r="D961" s="193" t="s">
        <v>209</v>
      </c>
      <c r="E961" s="1525"/>
      <c r="F961" s="1525"/>
      <c r="G961" s="1525"/>
      <c r="H961" s="950" t="str">
        <f>IF(E961&lt;&gt;"",INDEX(EUconst_BMlistUnits,MATCH(E961,EUconst_BMlistNames,0)),EUconst_Tons)</f>
        <v>tonnes</v>
      </c>
      <c r="I961" s="954"/>
      <c r="J961" s="954"/>
      <c r="K961" s="954"/>
      <c r="L961" s="954"/>
      <c r="M961" s="954"/>
      <c r="N961" s="903"/>
      <c r="O961" s="17"/>
      <c r="P961" s="63" t="str">
        <f>EUconst_CNTR_IntermediateImport &amp; R961 &amp; "_" &amp; I793</f>
        <v>IntImp_2_</v>
      </c>
      <c r="R961" s="63">
        <v>2</v>
      </c>
      <c r="AA961" s="285" t="b">
        <f>AA960</f>
        <v>0</v>
      </c>
    </row>
    <row r="962" spans="2:27" ht="5.0999999999999996" customHeight="1" x14ac:dyDescent="0.25">
      <c r="B962" s="17"/>
      <c r="C962" s="900"/>
      <c r="D962" s="193"/>
      <c r="E962" s="193"/>
      <c r="F962" s="193"/>
      <c r="G962" s="193"/>
      <c r="H962" s="193"/>
      <c r="I962" s="193"/>
      <c r="J962" s="193"/>
      <c r="K962" s="193"/>
      <c r="L962" s="193"/>
      <c r="M962" s="193"/>
      <c r="N962" s="903"/>
      <c r="O962" s="17"/>
      <c r="AA962" s="815"/>
    </row>
    <row r="963" spans="2:27" ht="12.75" customHeight="1" x14ac:dyDescent="0.25">
      <c r="B963" s="17"/>
      <c r="C963" s="900"/>
      <c r="D963" s="157"/>
      <c r="E963" s="1522" t="str">
        <f>Translations!$B$815</f>
        <v>Exported amounts:</v>
      </c>
      <c r="F963" s="1523"/>
      <c r="G963" s="1523"/>
      <c r="H963" s="192" t="str">
        <f>EUconst_Unit</f>
        <v>Unit</v>
      </c>
      <c r="I963" s="153">
        <f>I$1882</f>
        <v>2019</v>
      </c>
      <c r="J963" s="153">
        <f>J$1882</f>
        <v>2020</v>
      </c>
      <c r="K963" s="153">
        <f>K$1882</f>
        <v>2021</v>
      </c>
      <c r="L963" s="153">
        <f>L$1882</f>
        <v>2022</v>
      </c>
      <c r="M963" s="153">
        <f>M$1882</f>
        <v>2023</v>
      </c>
      <c r="N963" s="903"/>
      <c r="O963" s="17"/>
      <c r="AA963" s="815"/>
    </row>
    <row r="964" spans="2:27" ht="12.75" customHeight="1" x14ac:dyDescent="0.25">
      <c r="B964" s="17"/>
      <c r="C964" s="900"/>
      <c r="D964" s="193" t="s">
        <v>210</v>
      </c>
      <c r="E964" s="1524"/>
      <c r="F964" s="1524"/>
      <c r="G964" s="1524"/>
      <c r="H964" s="853" t="str">
        <f>IF(E964&lt;&gt;"",INDEX(EUconst_BMlistUnits,MATCH(E964,EUconst_BMlistNames,0)),EUconst_Tons)</f>
        <v>tonnes</v>
      </c>
      <c r="I964" s="953"/>
      <c r="J964" s="953"/>
      <c r="K964" s="953"/>
      <c r="L964" s="953"/>
      <c r="M964" s="953"/>
      <c r="N964" s="903"/>
      <c r="O964" s="17"/>
      <c r="P964" s="63" t="str">
        <f>EUconst_CNTR_IntermediateExport &amp; R960 &amp; "_" &amp; I793</f>
        <v>IntExp_1_</v>
      </c>
      <c r="R964" s="63">
        <v>1</v>
      </c>
      <c r="U964" s="955"/>
      <c r="V964" s="955"/>
      <c r="AA964" s="285" t="b">
        <f>AA960</f>
        <v>0</v>
      </c>
    </row>
    <row r="965" spans="2:27" ht="12.75" customHeight="1" x14ac:dyDescent="0.25">
      <c r="B965" s="17"/>
      <c r="C965" s="900"/>
      <c r="D965" s="193" t="s">
        <v>220</v>
      </c>
      <c r="E965" s="1525"/>
      <c r="F965" s="1525"/>
      <c r="G965" s="1525"/>
      <c r="H965" s="950" t="str">
        <f>IF(E965&lt;&gt;"",INDEX(EUconst_BMlistUnits,MATCH(E965,EUconst_BMlistNames,0)),EUconst_Tons)</f>
        <v>tonnes</v>
      </c>
      <c r="I965" s="954"/>
      <c r="J965" s="954"/>
      <c r="K965" s="954"/>
      <c r="L965" s="954"/>
      <c r="M965" s="954"/>
      <c r="N965" s="903"/>
      <c r="O965" s="17"/>
      <c r="P965" s="63" t="str">
        <f>EUconst_CNTR_IntermediateExport &amp; R965 &amp; "_" &amp; I793</f>
        <v>IntExp_2_</v>
      </c>
      <c r="R965" s="63">
        <v>2</v>
      </c>
      <c r="U965" s="955"/>
      <c r="V965" s="955"/>
      <c r="AA965" s="285" t="b">
        <f>AA960</f>
        <v>0</v>
      </c>
    </row>
    <row r="966" spans="2:27" ht="5.0999999999999996" customHeight="1" x14ac:dyDescent="0.25">
      <c r="B966" s="17"/>
      <c r="C966" s="900"/>
      <c r="D966" s="193"/>
      <c r="E966" s="193"/>
      <c r="F966" s="193"/>
      <c r="G966" s="193"/>
      <c r="H966" s="193"/>
      <c r="I966" s="193"/>
      <c r="J966" s="193"/>
      <c r="K966" s="193"/>
      <c r="L966" s="193"/>
      <c r="M966" s="193"/>
      <c r="N966" s="903"/>
      <c r="O966" s="17"/>
      <c r="U966" s="955"/>
      <c r="V966" s="955"/>
      <c r="AA966" s="815"/>
    </row>
    <row r="967" spans="2:27" ht="12.75" customHeight="1" x14ac:dyDescent="0.25">
      <c r="B967" s="17"/>
      <c r="C967" s="900"/>
      <c r="D967" s="193" t="s">
        <v>221</v>
      </c>
      <c r="E967" s="1514" t="str">
        <f>Translations!$B$816</f>
        <v>Description of the intermediate products imported or exported</v>
      </c>
      <c r="F967" s="1514"/>
      <c r="G967" s="1514"/>
      <c r="H967" s="1514"/>
      <c r="I967" s="1514"/>
      <c r="J967" s="1514"/>
      <c r="K967" s="1514"/>
      <c r="L967" s="1514"/>
      <c r="M967" s="1514"/>
      <c r="N967" s="903"/>
      <c r="O967" s="17"/>
      <c r="U967" s="955"/>
      <c r="V967" s="955"/>
      <c r="AA967" s="815"/>
    </row>
    <row r="968" spans="2:27" ht="12.75" customHeight="1" x14ac:dyDescent="0.25">
      <c r="B968" s="17"/>
      <c r="C968" s="900"/>
      <c r="D968" s="193"/>
      <c r="E968" s="1516"/>
      <c r="F968" s="1517"/>
      <c r="G968" s="1517"/>
      <c r="H968" s="1517"/>
      <c r="I968" s="1517"/>
      <c r="J968" s="1517"/>
      <c r="K968" s="1517"/>
      <c r="L968" s="1517"/>
      <c r="M968" s="1518"/>
      <c r="N968" s="903"/>
      <c r="O968" s="17"/>
      <c r="U968" s="955"/>
      <c r="V968" s="955"/>
      <c r="AA968" s="285" t="b">
        <f>AA960</f>
        <v>0</v>
      </c>
    </row>
    <row r="969" spans="2:27" ht="12.75" customHeight="1" thickBot="1" x14ac:dyDescent="0.3">
      <c r="B969" s="17"/>
      <c r="C969" s="900"/>
      <c r="D969" s="193"/>
      <c r="E969" s="1519"/>
      <c r="F969" s="1520"/>
      <c r="G969" s="1520"/>
      <c r="H969" s="1520"/>
      <c r="I969" s="1520"/>
      <c r="J969" s="1520"/>
      <c r="K969" s="1520"/>
      <c r="L969" s="1520"/>
      <c r="M969" s="1521"/>
      <c r="N969" s="903"/>
      <c r="O969" s="17"/>
      <c r="U969" s="955"/>
      <c r="V969" s="955"/>
      <c r="AA969" s="286" t="b">
        <f>AA960</f>
        <v>0</v>
      </c>
    </row>
    <row r="970" spans="2:27" ht="12.75" customHeight="1" thickBot="1" x14ac:dyDescent="0.3">
      <c r="B970" s="17"/>
      <c r="C970" s="956"/>
      <c r="D970" s="465"/>
      <c r="E970" s="465"/>
      <c r="F970" s="465"/>
      <c r="G970" s="465"/>
      <c r="H970" s="465"/>
      <c r="I970" s="465"/>
      <c r="J970" s="465"/>
      <c r="K970" s="465"/>
      <c r="L970" s="465"/>
      <c r="M970" s="465"/>
      <c r="N970" s="466"/>
      <c r="O970" s="17"/>
    </row>
    <row r="971" spans="2:27" ht="13.8" thickBot="1" x14ac:dyDescent="0.3">
      <c r="B971" s="17"/>
      <c r="C971" s="17"/>
      <c r="D971" s="17"/>
      <c r="E971" s="17"/>
      <c r="F971" s="17"/>
      <c r="G971" s="17"/>
      <c r="H971" s="17"/>
      <c r="I971" s="17"/>
      <c r="J971" s="17"/>
      <c r="K971" s="17"/>
      <c r="L971" s="17"/>
      <c r="M971" s="17"/>
      <c r="N971" s="17"/>
      <c r="O971" s="17"/>
      <c r="P971" s="372" t="str">
        <f>IF(OR(AND(CNTR_ExistProductSubEntries=FALSE,P793=1),AND(I793&lt;&gt;"",COUNTIF(P972:$P$1876,"PRINT")=0)),"PRINT","")</f>
        <v/>
      </c>
      <c r="Q971" s="145" t="s">
        <v>442</v>
      </c>
    </row>
    <row r="972" spans="2:27" ht="5.0999999999999996" customHeight="1" thickBot="1" x14ac:dyDescent="0.3">
      <c r="B972" s="17"/>
      <c r="C972" s="957"/>
      <c r="D972" s="957"/>
      <c r="E972" s="957"/>
      <c r="F972" s="957"/>
      <c r="G972" s="957"/>
      <c r="H972" s="957"/>
      <c r="I972" s="957"/>
      <c r="J972" s="957"/>
      <c r="K972" s="957"/>
      <c r="L972" s="957"/>
      <c r="M972" s="957"/>
      <c r="N972" s="957"/>
      <c r="O972" s="17"/>
    </row>
    <row r="973" spans="2:27" ht="14.4" thickBot="1" x14ac:dyDescent="0.3">
      <c r="B973" s="17"/>
      <c r="C973" s="456">
        <f>C793+1</f>
        <v>6</v>
      </c>
      <c r="D973" s="1234" t="str">
        <f>EUconst_BMSubinst &amp; ":"</f>
        <v>Sub-installation with product benchmark:</v>
      </c>
      <c r="E973" s="1176"/>
      <c r="F973" s="1176"/>
      <c r="G973" s="1176"/>
      <c r="H973" s="1260"/>
      <c r="I973" s="1550" t="str">
        <f>IF(INDEX(CNTR_SubInstListIsProdBM,$C973),INDEX(CNTR_SubInstListNames,$C973),"")</f>
        <v/>
      </c>
      <c r="J973" s="1509"/>
      <c r="K973" s="1509"/>
      <c r="L973" s="1509"/>
      <c r="M973" s="1509"/>
      <c r="N973" s="1189"/>
      <c r="O973" s="17"/>
      <c r="P973" s="372">
        <f>C973</f>
        <v>6</v>
      </c>
      <c r="Q973" s="288" t="s">
        <v>296</v>
      </c>
      <c r="R973" s="457" t="str">
        <f>IF(I973="","",INDEX(CNTR_SubInstStartDate,MATCH($I973,CNTR_SubInstListNames,0)))</f>
        <v/>
      </c>
      <c r="S973" s="458" t="b">
        <f>IF($I973="",FALSE,AND(I$1885, IF($R973&lt;DATE($L$1882,1,1),YEAR($R973)&lt;=I$1882,YEAR($R973-1)&lt;I$1882) ) )</f>
        <v>0</v>
      </c>
      <c r="T973" s="458" t="b">
        <f>IF($I973="",FALSE,AND(J$1885, IF($R973&lt;DATE($L$1882,1,1),YEAR($R973)&lt;=J$1882,YEAR($R973-1)&lt;J$1882) ) )</f>
        <v>0</v>
      </c>
      <c r="U973" s="458" t="b">
        <f>IF($I973="",FALSE,AND(K$1885, IF($R973&lt;DATE($L$1882,1,1),YEAR($R973)&lt;=K$1882,YEAR($R973-1)&lt;K$1882) ) )</f>
        <v>0</v>
      </c>
      <c r="V973" s="458" t="b">
        <f>IF($I973="",FALSE,AND(L$1885, IF($R973&lt;DATE($L$1882,1,1),YEAR($R973)&lt;=L$1882,YEAR($R973-1)&lt;L$1882) ) )</f>
        <v>0</v>
      </c>
      <c r="W973" s="458" t="b">
        <f>IF($I973="",FALSE,AND(M$1885, IF($R973&lt;DATE($L$1882,1,1),YEAR($R973)&lt;=M$1882,YEAR($R973-1)&lt;M$1882) ) )</f>
        <v>0</v>
      </c>
      <c r="Z973" s="288" t="s">
        <v>390</v>
      </c>
      <c r="AA973" s="410" t="b">
        <f>AND(CNTR_ExistSubInstEntries,I973="")</f>
        <v>0</v>
      </c>
    </row>
    <row r="974" spans="2:27" ht="5.0999999999999996" customHeight="1" x14ac:dyDescent="0.25">
      <c r="B974" s="17"/>
      <c r="C974" s="17"/>
      <c r="D974" s="17"/>
      <c r="E974" s="17"/>
      <c r="F974" s="17"/>
      <c r="G974" s="17"/>
      <c r="H974" s="17"/>
      <c r="I974" s="17"/>
      <c r="J974" s="17"/>
      <c r="K974" s="17"/>
      <c r="L974" s="17"/>
      <c r="M974" s="17"/>
      <c r="N974" s="17"/>
      <c r="O974" s="17"/>
    </row>
    <row r="975" spans="2:27" ht="12.75" customHeight="1" x14ac:dyDescent="0.25">
      <c r="B975" s="17"/>
      <c r="C975" s="17"/>
      <c r="D975" s="17"/>
      <c r="E975" s="1413" t="str">
        <f>CONCATENATE(EUconst_MsgSeeFirst," (F.I.1)")</f>
        <v>Detailed instructions for data entries in this tool can be found at the first copy of this tool.  (F.I.1)</v>
      </c>
      <c r="F975" s="1413"/>
      <c r="G975" s="1413"/>
      <c r="H975" s="1413"/>
      <c r="I975" s="1413"/>
      <c r="J975" s="1413"/>
      <c r="K975" s="1413"/>
      <c r="L975" s="1413"/>
      <c r="M975" s="1413"/>
      <c r="N975" s="1413"/>
      <c r="O975" s="17"/>
    </row>
    <row r="976" spans="2:27" ht="5.0999999999999996" customHeight="1" x14ac:dyDescent="0.25">
      <c r="B976" s="17"/>
      <c r="C976" s="17"/>
      <c r="D976" s="17"/>
      <c r="E976" s="17"/>
      <c r="F976" s="17"/>
      <c r="G976" s="17"/>
      <c r="H976" s="17"/>
      <c r="I976" s="17"/>
      <c r="J976" s="17"/>
      <c r="K976" s="17"/>
      <c r="L976" s="17"/>
      <c r="M976" s="17"/>
      <c r="N976" s="17"/>
      <c r="O976" s="17"/>
    </row>
    <row r="977" spans="2:27" ht="13.8" thickBot="1" x14ac:dyDescent="0.3">
      <c r="B977" s="17"/>
      <c r="C977" s="17"/>
      <c r="D977" s="15" t="s">
        <v>190</v>
      </c>
      <c r="E977" s="1165" t="str">
        <f>Translations!$B$670</f>
        <v>Historic activity levels</v>
      </c>
      <c r="F977" s="1176"/>
      <c r="G977" s="1176"/>
      <c r="H977" s="1176"/>
      <c r="I977" s="1176"/>
      <c r="J977" s="1176"/>
      <c r="K977" s="1176"/>
      <c r="L977" s="1176"/>
      <c r="M977" s="1176"/>
      <c r="N977" s="1176"/>
      <c r="O977" s="17"/>
    </row>
    <row r="978" spans="2:27" ht="13.5" customHeight="1" thickBot="1" x14ac:dyDescent="0.3">
      <c r="B978" s="17"/>
      <c r="C978" s="17"/>
      <c r="D978" s="15"/>
      <c r="E978" s="1259" t="str">
        <f>Translations!$B$676</f>
        <v>Annual activity levels:</v>
      </c>
      <c r="F978" s="1259"/>
      <c r="G978" s="1259"/>
      <c r="H978" s="23" t="str">
        <f>EUconst_Unit</f>
        <v>Unit</v>
      </c>
      <c r="I978" s="128">
        <f>I$1882</f>
        <v>2019</v>
      </c>
      <c r="J978" s="128">
        <f>J$1882</f>
        <v>2020</v>
      </c>
      <c r="K978" s="128">
        <f>K$1882</f>
        <v>2021</v>
      </c>
      <c r="L978" s="128">
        <f>L$1882</f>
        <v>2022</v>
      </c>
      <c r="M978" s="144">
        <f>M$1882</f>
        <v>2023</v>
      </c>
      <c r="N978" s="376" t="str">
        <f>IF(I973="","",IF(S983,YEAR(R973)+1,""))</f>
        <v/>
      </c>
      <c r="O978" s="17"/>
      <c r="Q978" s="147" t="s">
        <v>395</v>
      </c>
      <c r="R978" s="920"/>
      <c r="S978" s="920"/>
      <c r="T978" s="920"/>
      <c r="U978" s="920"/>
      <c r="V978" s="920"/>
      <c r="W978" s="921"/>
      <c r="Y978" s="316" t="b">
        <f>IF(CNTR_ExistSubInstEntries,IF(I973&lt;&gt;"",NOT(S983),TRUE),FALSE)</f>
        <v>0</v>
      </c>
      <c r="AA978" s="145" t="s">
        <v>396</v>
      </c>
    </row>
    <row r="979" spans="2:27" ht="13.8" thickBot="1" x14ac:dyDescent="0.3">
      <c r="B979" s="17"/>
      <c r="C979" s="17"/>
      <c r="D979" s="113" t="s">
        <v>206</v>
      </c>
      <c r="E979" s="1560" t="str">
        <f>I973</f>
        <v/>
      </c>
      <c r="F979" s="1560"/>
      <c r="G979" s="1560"/>
      <c r="H979" s="820" t="str">
        <f>IF(INDEX(CNTR_SubInstListIsProdBM,$C973),INDEX(CNTR_SubInstListHALUnit,$C973),EUconst_Tons)</f>
        <v>tonnes</v>
      </c>
      <c r="I979" s="231"/>
      <c r="J979" s="231"/>
      <c r="K979" s="231"/>
      <c r="L979" s="231"/>
      <c r="M979" s="375"/>
      <c r="N979" s="922"/>
      <c r="O979" s="17"/>
      <c r="P979" s="392" t="s">
        <v>397</v>
      </c>
      <c r="Q979" s="581" t="s">
        <v>398</v>
      </c>
      <c r="R979" s="65" t="s">
        <v>399</v>
      </c>
      <c r="S979" s="808">
        <f>I978</f>
        <v>2019</v>
      </c>
      <c r="T979" s="809">
        <f>J978</f>
        <v>2020</v>
      </c>
      <c r="U979" s="809">
        <f>K978</f>
        <v>2021</v>
      </c>
      <c r="V979" s="809">
        <f>L978</f>
        <v>2022</v>
      </c>
      <c r="W979" s="810">
        <f>M978</f>
        <v>2023</v>
      </c>
      <c r="Y979" s="406" t="b">
        <f>IF(CNTR_ExistSubInstEntries,IF(AND(I973&lt;&gt;"",N980=""),NOT(S983),TRUE),FALSE)</f>
        <v>0</v>
      </c>
      <c r="AA979" s="316" t="b">
        <f>IF(CNTR_ExistSubInstEntries,AND(I973&lt;&gt;"",Q983),FALSE)</f>
        <v>0</v>
      </c>
    </row>
    <row r="980" spans="2:27" ht="13.8" thickBot="1" x14ac:dyDescent="0.3">
      <c r="B980" s="17"/>
      <c r="C980" s="17"/>
      <c r="D980" s="113" t="s">
        <v>208</v>
      </c>
      <c r="E980" s="1560" t="str">
        <f>Translations!$B$677</f>
        <v>From sheet "H_SpecialBM":</v>
      </c>
      <c r="F980" s="1560"/>
      <c r="G980" s="1560"/>
      <c r="H980" s="820" t="str">
        <f>H979</f>
        <v>tonnes</v>
      </c>
      <c r="I980" s="148" t="str">
        <f>IF($I973="","",IF($Q983,SUMIF(H_SpecialBM!$P$9:$P$384,$P980,H_SpecialBM!I$9:I$384),""))</f>
        <v/>
      </c>
      <c r="J980" s="148" t="str">
        <f>IF($I973="","",IF($Q983,SUMIF(H_SpecialBM!$P$9:$P$384,$P980,H_SpecialBM!J$9:J$384),""))</f>
        <v/>
      </c>
      <c r="K980" s="148" t="str">
        <f>IF($I973="","",IF($Q983,SUMIF(H_SpecialBM!$P$9:$P$384,$P980,H_SpecialBM!K$9:K$384),""))</f>
        <v/>
      </c>
      <c r="L980" s="148" t="str">
        <f>IF($I973="","",IF($Q983,SUMIF(H_SpecialBM!$P$9:$P$384,$P980,H_SpecialBM!L$9:L$384),""))</f>
        <v/>
      </c>
      <c r="M980" s="923" t="str">
        <f>IF($I973="","",IF($Q983,SUMIF(H_SpecialBM!$P$9:$P$384,$P980,H_SpecialBM!M$9:M$384),""))</f>
        <v/>
      </c>
      <c r="N980" s="924" t="str">
        <f>IF($I973="","",IF(AND($Q983,$S983),SUMIF(H_SpecialBM!$P$9:$P$384,$P980,H_SpecialBM!N$9:N$384),""))</f>
        <v/>
      </c>
      <c r="O980" s="17"/>
      <c r="P980" s="392" t="str">
        <f>EUconst_CNTR_HALspecial&amp;I973</f>
        <v>HALspecial_</v>
      </c>
      <c r="Q980" s="391" t="str">
        <f>IF(COUNT($U980:$V980)&gt;0,SUM($U980:$V980),"")</f>
        <v/>
      </c>
      <c r="R980" s="925" t="str">
        <f>IF(COUNT(S980:W980)&gt;0,AVERAGE(S980:W980),"")</f>
        <v/>
      </c>
      <c r="S980" s="385" t="str">
        <f>IF(S973,IF(ISNUMBER(I980),I980,""),"")</f>
        <v/>
      </c>
      <c r="T980" s="926" t="str">
        <f>IF(T973,IF(ISNUMBER(J980),J980,""),"")</f>
        <v/>
      </c>
      <c r="U980" s="926" t="str">
        <f>IF(U973,IF(ISNUMBER(K980),K980,""),"")</f>
        <v/>
      </c>
      <c r="V980" s="926" t="str">
        <f>IF(V973,IF(ISNUMBER(L980),L980,""),"")</f>
        <v/>
      </c>
      <c r="W980" s="925" t="str">
        <f>IF(W973,IF(ISNUMBER(M980),M980,""),"")</f>
        <v/>
      </c>
      <c r="Y980" s="406" t="b">
        <f>OR(Y978,AA980)</f>
        <v>0</v>
      </c>
      <c r="AA980" s="317" t="b">
        <f>Q983=FALSE</f>
        <v>0</v>
      </c>
    </row>
    <row r="981" spans="2:27" ht="13.8" thickBot="1" x14ac:dyDescent="0.3">
      <c r="B981" s="17"/>
      <c r="C981" s="17"/>
      <c r="D981" s="113" t="s">
        <v>209</v>
      </c>
      <c r="E981" s="1560" t="str">
        <f>Translations!$B$678</f>
        <v>Values used for calculation:</v>
      </c>
      <c r="F981" s="1560"/>
      <c r="G981" s="1560"/>
      <c r="H981" s="820" t="str">
        <f>H980</f>
        <v>tonnes</v>
      </c>
      <c r="I981" s="148" t="str">
        <f>IF($I973="","",IF($Q983=TRUE,IF(ISNUMBER(I980),I980,0),IF(ISNUMBER(I979),I979,0)))</f>
        <v/>
      </c>
      <c r="J981" s="148" t="str">
        <f>IF($I973="","",IF($Q983=TRUE,IF(ISNUMBER(J980),J980,0),IF(ISNUMBER(J979),J979,0)))</f>
        <v/>
      </c>
      <c r="K981" s="148" t="str">
        <f>IF($I973="","",IF($Q983=TRUE,IF(ISNUMBER(K980),K980,0),IF(ISNUMBER(K979),K979,0)))</f>
        <v/>
      </c>
      <c r="L981" s="148" t="str">
        <f>IF($I973="","",IF($Q983=TRUE,IF(ISNUMBER(L980),L980,0),IF(ISNUMBER(L979),L979,0)))</f>
        <v/>
      </c>
      <c r="M981" s="923" t="str">
        <f>IF($I973="","",IF($Q983=TRUE,IF(ISNUMBER(M980),M980,0),IF(ISNUMBER(M979),M979,0)))</f>
        <v/>
      </c>
      <c r="N981" s="924" t="str">
        <f>IF($I973="","",IF(S983,IF($Q983=TRUE,IF(ISNUMBER(N980),N980,0),IF(ISNUMBER(N979),N979,0)),""))</f>
        <v/>
      </c>
      <c r="O981" s="17"/>
      <c r="P981" s="392" t="str">
        <f>EUconst_CNTR_HAL&amp;I973</f>
        <v>HAL_</v>
      </c>
      <c r="Q981" s="286" t="str">
        <f>IF(COUNT($U981:$V981)&gt;0,SUM($U981:$V981),"")</f>
        <v/>
      </c>
      <c r="R981" s="390" t="str">
        <f>IF(COUNT(S981:W981)&gt;0,AVERAGE(S981:W981),"")</f>
        <v/>
      </c>
      <c r="S981" s="388" t="str">
        <f>IF(S973,IF(ISNUMBER(I981),I981,""),"")</f>
        <v/>
      </c>
      <c r="T981" s="389" t="str">
        <f>IF(T973,IF(ISNUMBER(J981),J981,""),"")</f>
        <v/>
      </c>
      <c r="U981" s="389" t="str">
        <f>IF(U973,IF(ISNUMBER(K981),K981,""),"")</f>
        <v/>
      </c>
      <c r="V981" s="389" t="str">
        <f>IF(V973,IF(ISNUMBER(L981),L981,""),"")</f>
        <v/>
      </c>
      <c r="W981" s="390" t="str">
        <f>IF(W973,IF(ISNUMBER(M981),M981,""),"")</f>
        <v/>
      </c>
      <c r="Y981" s="286" t="b">
        <f>Y978</f>
        <v>0</v>
      </c>
    </row>
    <row r="982" spans="2:27" ht="5.0999999999999996" customHeight="1" x14ac:dyDescent="0.25">
      <c r="B982" s="17"/>
      <c r="C982" s="17"/>
      <c r="D982" s="17"/>
      <c r="E982" s="17"/>
      <c r="F982" s="17"/>
      <c r="G982" s="17"/>
      <c r="H982" s="17"/>
      <c r="I982" s="17"/>
      <c r="J982" s="17"/>
      <c r="K982" s="17"/>
      <c r="L982" s="17"/>
      <c r="M982" s="17"/>
      <c r="N982" s="17"/>
      <c r="O982" s="17"/>
    </row>
    <row r="983" spans="2:27" x14ac:dyDescent="0.25">
      <c r="B983" s="17"/>
      <c r="C983" s="17"/>
      <c r="D983" s="15" t="s">
        <v>192</v>
      </c>
      <c r="E983" s="1165" t="str">
        <f>Translations!$B$679</f>
        <v>Special reporting requirements:</v>
      </c>
      <c r="F983" s="1165"/>
      <c r="G983" s="1425"/>
      <c r="H983" s="1561" t="str">
        <f>IF(I973="","",HYPERLINK(INDEX(EUconst_BMlistSpecialJumpTable,MATCH(I973,EUconst_BMlistNames,0)),INDEX(EUconst_BMlistSpecialReporting,MATCH(I973,EUconst_BMlistNames,0))))</f>
        <v/>
      </c>
      <c r="I983" s="1562"/>
      <c r="J983" s="1562"/>
      <c r="K983" s="1562"/>
      <c r="L983" s="1562"/>
      <c r="M983" s="1562"/>
      <c r="N983" s="1563"/>
      <c r="O983" s="17"/>
      <c r="P983" s="288" t="s">
        <v>400</v>
      </c>
      <c r="Q983" s="63" t="str">
        <f>IF(I973="","",IF(AND(INDEX(EUconst_BMlistSpecialJumpTable,MATCH(I973,EUconst_BMlistNames,0))&lt;&gt;"",MATCH(I973,EUconst_BMlistNames,0)&lt;&gt;47),TRUE,FALSE))</f>
        <v/>
      </c>
      <c r="R983" s="288" t="s">
        <v>304</v>
      </c>
      <c r="S983" s="63" t="b">
        <f>IF(I973="",FALSE,INDEX(CNTR_SubInstLess1Year,MATCH(I973,CNTR_SubInstListNames,0)))</f>
        <v>0</v>
      </c>
    </row>
    <row r="984" spans="2:27" ht="12.75" customHeight="1" x14ac:dyDescent="0.25">
      <c r="B984" s="17"/>
      <c r="C984" s="17"/>
      <c r="D984" s="17"/>
      <c r="E984" s="17"/>
      <c r="F984" s="17"/>
      <c r="G984" s="17"/>
      <c r="H984" s="17"/>
      <c r="I984" s="17"/>
      <c r="J984" s="17"/>
      <c r="K984" s="17"/>
      <c r="L984" s="17"/>
      <c r="M984" s="17"/>
      <c r="N984" s="17"/>
      <c r="O984" s="17"/>
    </row>
    <row r="985" spans="2:27" ht="15" customHeight="1" x14ac:dyDescent="0.25">
      <c r="B985" s="17"/>
      <c r="C985" s="17"/>
      <c r="D985" s="1234" t="str">
        <f>Translations!$B$681</f>
        <v>Further correction factors</v>
      </c>
      <c r="E985" s="1176"/>
      <c r="F985" s="1176"/>
      <c r="G985" s="1176"/>
      <c r="H985" s="1176"/>
      <c r="I985" s="1176"/>
      <c r="J985" s="1176"/>
      <c r="K985" s="1176"/>
      <c r="L985" s="1176"/>
      <c r="M985" s="1176"/>
      <c r="N985" s="1176"/>
      <c r="O985" s="17"/>
    </row>
    <row r="986" spans="2:27" ht="5.0999999999999996" customHeight="1" x14ac:dyDescent="0.25">
      <c r="B986" s="17"/>
      <c r="C986" s="17"/>
      <c r="D986" s="17"/>
      <c r="E986" s="17"/>
      <c r="F986" s="17"/>
      <c r="G986" s="17"/>
      <c r="H986" s="17"/>
      <c r="I986" s="17"/>
      <c r="J986" s="17"/>
      <c r="K986" s="17"/>
      <c r="L986" s="17"/>
      <c r="M986" s="17"/>
      <c r="N986" s="17"/>
      <c r="O986" s="17"/>
    </row>
    <row r="987" spans="2:27" ht="13.8" thickBot="1" x14ac:dyDescent="0.3">
      <c r="B987" s="17"/>
      <c r="C987" s="17"/>
      <c r="D987" s="15" t="s">
        <v>195</v>
      </c>
      <c r="E987" s="1165" t="str">
        <f>Translations!$B$682</f>
        <v>Exchangeability of fuel and electricity:</v>
      </c>
      <c r="F987" s="1176"/>
      <c r="G987" s="1176"/>
      <c r="H987" s="1176"/>
      <c r="I987" s="1260"/>
      <c r="J987" s="1561" t="str">
        <f>IF(I973="","",IF(INDEX(EUconst_BMlistElExchangability,MATCH(I973,EUconst_BMlistNames,0))=TRUE,"",HYPERLINK(Q987,EUconst_MsgGoOn)))</f>
        <v/>
      </c>
      <c r="K987" s="1564"/>
      <c r="L987" s="1564"/>
      <c r="M987" s="1564"/>
      <c r="N987" s="1205"/>
      <c r="O987" s="17"/>
      <c r="P987" s="145" t="s">
        <v>334</v>
      </c>
      <c r="Q987" s="372" t="str">
        <f>"#"&amp;ADDRESS(ROW(D995),COLUMN(D995))</f>
        <v>#$D$995</v>
      </c>
    </row>
    <row r="988" spans="2:27" ht="13.8" thickBot="1" x14ac:dyDescent="0.3">
      <c r="B988" s="17"/>
      <c r="C988" s="17"/>
      <c r="D988" s="15"/>
      <c r="E988" s="1259" t="str">
        <f>Translations!$B$686</f>
        <v>Parameter</v>
      </c>
      <c r="F988" s="1212"/>
      <c r="G988" s="1212"/>
      <c r="H988" s="23" t="str">
        <f>EUconst_Unit</f>
        <v>Unit</v>
      </c>
      <c r="I988" s="128">
        <f>I$66</f>
        <v>2019</v>
      </c>
      <c r="J988" s="128">
        <f>J$66</f>
        <v>2020</v>
      </c>
      <c r="K988" s="128">
        <f>K$66</f>
        <v>2021</v>
      </c>
      <c r="L988" s="128">
        <f>L$66</f>
        <v>2022</v>
      </c>
      <c r="M988" s="144">
        <f>M$66</f>
        <v>2023</v>
      </c>
      <c r="N988" s="376" t="str">
        <f>IF(AA989=FALSE,N978,"")</f>
        <v/>
      </c>
      <c r="O988" s="17"/>
      <c r="Y988" s="316" t="b">
        <f>OR(Y978,AA989)</f>
        <v>0</v>
      </c>
      <c r="AA988" s="145" t="s">
        <v>402</v>
      </c>
    </row>
    <row r="989" spans="2:27" ht="13.8" thickBot="1" x14ac:dyDescent="0.3">
      <c r="B989" s="17"/>
      <c r="C989" s="17"/>
      <c r="D989" s="113" t="s">
        <v>206</v>
      </c>
      <c r="E989" s="1248" t="str">
        <f>Translations!$B$687</f>
        <v>Direct emissions</v>
      </c>
      <c r="F989" s="1248"/>
      <c r="G989" s="1248"/>
      <c r="H989" s="222" t="str">
        <f>EUconst_tCO2pa</f>
        <v>t CO2 / year</v>
      </c>
      <c r="I989" s="331"/>
      <c r="J989" s="331"/>
      <c r="K989" s="332"/>
      <c r="L989" s="331"/>
      <c r="M989" s="377"/>
      <c r="N989" s="383"/>
      <c r="O989" s="17"/>
      <c r="Y989" s="285" t="b">
        <f>Y988</f>
        <v>0</v>
      </c>
      <c r="AA989" s="316" t="b">
        <f>IF(CNTR_ExistSubInstEntries,IF(I973&lt;&gt;"",IF(INDEX(EUconst_BMlistElExchangability,MATCH(I973,EUconst_BMlistNames,0)),FALSE,TRUE),TRUE),FALSE)</f>
        <v>0</v>
      </c>
    </row>
    <row r="990" spans="2:27" x14ac:dyDescent="0.25">
      <c r="B990" s="17"/>
      <c r="C990" s="17"/>
      <c r="D990" s="113" t="s">
        <v>208</v>
      </c>
      <c r="E990" s="1251" t="str">
        <f>Translations!$B$688</f>
        <v>Net imported heat</v>
      </c>
      <c r="F990" s="1251"/>
      <c r="G990" s="1251"/>
      <c r="H990" s="225" t="str">
        <f>EUconst_TJpa</f>
        <v>TJ / year</v>
      </c>
      <c r="I990" s="226" t="str">
        <f>IF($I973&lt;&gt;"",IF(INDEX(EUconst_BMlistElExchangability,MATCH($I973,EUconst_BMlistNames,0)),SUM(I1074),""),"")</f>
        <v/>
      </c>
      <c r="J990" s="226" t="str">
        <f>IF($I973&lt;&gt;"",IF(INDEX(EUconst_BMlistElExchangability,MATCH($I973,EUconst_BMlistNames,0)),SUM(J1074),""),"")</f>
        <v/>
      </c>
      <c r="K990" s="226" t="str">
        <f>IF($I973&lt;&gt;"",IF(INDEX(EUconst_BMlistElExchangability,MATCH($I973,EUconst_BMlistNames,0)),SUM(K1074),""),"")</f>
        <v/>
      </c>
      <c r="L990" s="226" t="str">
        <f>IF($I973&lt;&gt;"",IF(INDEX(EUconst_BMlistElExchangability,MATCH($I973,EUconst_BMlistNames,0)),SUM(L1074),""),"")</f>
        <v/>
      </c>
      <c r="M990" s="378" t="str">
        <f>IF($I973&lt;&gt;"",IF(INDEX(EUconst_BMlistElExchangability,MATCH($I973,EUconst_BMlistNames,0)),SUM(M1074),""),"")</f>
        <v/>
      </c>
      <c r="N990" s="384"/>
      <c r="O990" s="17"/>
      <c r="R990" s="459"/>
      <c r="S990" s="326">
        <f>I988</f>
        <v>2019</v>
      </c>
      <c r="T990" s="326">
        <f>J988</f>
        <v>2020</v>
      </c>
      <c r="U990" s="326">
        <f>K988</f>
        <v>2021</v>
      </c>
      <c r="V990" s="326">
        <f>L988</f>
        <v>2022</v>
      </c>
      <c r="W990" s="327">
        <f>M988</f>
        <v>2023</v>
      </c>
      <c r="Y990" s="285" t="b">
        <f>Y989</f>
        <v>0</v>
      </c>
      <c r="AA990" s="285" t="b">
        <f>AA989</f>
        <v>0</v>
      </c>
    </row>
    <row r="991" spans="2:27" ht="12.75" customHeight="1" thickBot="1" x14ac:dyDescent="0.3">
      <c r="B991" s="17"/>
      <c r="C991" s="17"/>
      <c r="D991" s="113" t="s">
        <v>209</v>
      </c>
      <c r="E991" s="1565" t="str">
        <f>Translations!$B$689</f>
        <v>Relevant electricity consumption</v>
      </c>
      <c r="F991" s="1565"/>
      <c r="G991" s="1565"/>
      <c r="H991" s="927" t="str">
        <f>EUconst_MWhpa</f>
        <v>MWh / year</v>
      </c>
      <c r="I991" s="928"/>
      <c r="J991" s="928"/>
      <c r="K991" s="928"/>
      <c r="L991" s="928"/>
      <c r="M991" s="929"/>
      <c r="N991" s="930"/>
      <c r="O991" s="17"/>
      <c r="P991" s="63" t="str">
        <f>EUconst_CNTR_HAL&amp;EUconst_CNTR_ELEXCH</f>
        <v>HAL_ELEXCH_</v>
      </c>
      <c r="Q991" s="63" t="str">
        <f>EUconst_CNTR_HAL&amp;EUconst_CNTR_ELEXCH &amp; I973</f>
        <v>HAL_ELEXCH_</v>
      </c>
      <c r="R991" s="460" t="str">
        <f>EUconst_CNTR_AttributedEmissions &amp; I973</f>
        <v>AttrEmissions_</v>
      </c>
      <c r="S991" s="389" t="str">
        <f>IF(S973,SUM(I991)*EUconst_ElBM,"")</f>
        <v/>
      </c>
      <c r="T991" s="389" t="str">
        <f>IF(T973,SUM(J991)*EUconst_ElBM,"")</f>
        <v/>
      </c>
      <c r="U991" s="389" t="str">
        <f>IF(U973,SUM(K991)*EUconst_ElBM,"")</f>
        <v/>
      </c>
      <c r="V991" s="389" t="str">
        <f>IF(V973,SUM(L991)*EUconst_ElBM,"")</f>
        <v/>
      </c>
      <c r="W991" s="390" t="str">
        <f>IF(W973,SUM(M991)*EUconst_ElBM,"")</f>
        <v/>
      </c>
      <c r="X991" s="145" t="str">
        <f>N988</f>
        <v/>
      </c>
      <c r="Y991" s="285" t="b">
        <f>Y990</f>
        <v>0</v>
      </c>
      <c r="AA991" s="285" t="b">
        <f>AA990</f>
        <v>0</v>
      </c>
    </row>
    <row r="992" spans="2:27" ht="13.8" thickBot="1" x14ac:dyDescent="0.3">
      <c r="B992" s="17"/>
      <c r="C992" s="17"/>
      <c r="D992" s="113" t="s">
        <v>210</v>
      </c>
      <c r="E992" s="1248" t="str">
        <f>Translations!$B$690</f>
        <v>Total direct emissions</v>
      </c>
      <c r="F992" s="1248"/>
      <c r="G992" s="1248"/>
      <c r="H992" s="222" t="str">
        <f>EUconst_tCO2pa</f>
        <v>t CO2 / year</v>
      </c>
      <c r="I992" s="223" t="str">
        <f>IF(ISNUMBER(I989),I989+SUM(I990)*EUconst_HeatBMvalue,"")</f>
        <v/>
      </c>
      <c r="J992" s="223" t="str">
        <f>IF(ISNUMBER(J989),J989+SUM(J990)*EUconst_HeatBMvalue,"")</f>
        <v/>
      </c>
      <c r="K992" s="224" t="str">
        <f>IF(ISNUMBER(K989),K989+SUM(K990)*EUconst_HeatBMvalue,"")</f>
        <v/>
      </c>
      <c r="L992" s="223" t="str">
        <f>IF(ISNUMBER(L989),L989+SUM(L990)*EUconst_HeatBMvalue,"")</f>
        <v/>
      </c>
      <c r="M992" s="379" t="str">
        <f>IF(ISNUMBER(M989),M989+SUM(M990)*EUconst_HeatBMvalue,"")</f>
        <v/>
      </c>
      <c r="N992" s="381" t="str">
        <f>IF(AND(S983,ISNUMBER(N989)),N989+SUM(N990)*EUconst_HeatBMvalue,"")</f>
        <v/>
      </c>
      <c r="O992" s="17"/>
      <c r="R992" s="288" t="s">
        <v>403</v>
      </c>
      <c r="S992" s="385" t="str">
        <f>IF(S973,IF(ISNUMBER(I992),I992,0),"")</f>
        <v/>
      </c>
      <c r="T992" s="386" t="str">
        <f>IF(T973,IF(ISNUMBER(J992),J992,0),"")</f>
        <v/>
      </c>
      <c r="U992" s="386" t="str">
        <f>IF(U973,IF(ISNUMBER(K992),K992,0),"")</f>
        <v/>
      </c>
      <c r="V992" s="386" t="str">
        <f>IF(V973,IF(ISNUMBER(L992),L992,0),"")</f>
        <v/>
      </c>
      <c r="W992" s="387" t="str">
        <f>IF(W973,IF(ISNUMBER(M992),M992,0),"")</f>
        <v/>
      </c>
      <c r="X992" s="391" t="str">
        <f>IF(S983,IF(ISNUMBER(N992),N992,0),"")</f>
        <v/>
      </c>
      <c r="Y992" s="285" t="b">
        <f>Y991</f>
        <v>0</v>
      </c>
      <c r="AA992" s="285" t="b">
        <f>AA991</f>
        <v>0</v>
      </c>
    </row>
    <row r="993" spans="2:27" ht="13.8" thickBot="1" x14ac:dyDescent="0.3">
      <c r="B993" s="17"/>
      <c r="C993" s="17"/>
      <c r="D993" s="113" t="s">
        <v>220</v>
      </c>
      <c r="E993" s="1254" t="str">
        <f>Translations!$B$691</f>
        <v>Indirect emissions</v>
      </c>
      <c r="F993" s="1254"/>
      <c r="G993" s="1254"/>
      <c r="H993" s="227" t="str">
        <f>EUconst_tCO2pa</f>
        <v>t CO2 / year</v>
      </c>
      <c r="I993" s="228" t="str">
        <f t="shared" ref="I993:N993" si="20">IF(ISNUMBER(I991),I991*EUconst_ElBM,"")</f>
        <v/>
      </c>
      <c r="J993" s="228" t="str">
        <f t="shared" si="20"/>
        <v/>
      </c>
      <c r="K993" s="229" t="str">
        <f t="shared" si="20"/>
        <v/>
      </c>
      <c r="L993" s="228" t="str">
        <f t="shared" si="20"/>
        <v/>
      </c>
      <c r="M993" s="380" t="str">
        <f t="shared" si="20"/>
        <v/>
      </c>
      <c r="N993" s="382" t="str">
        <f t="shared" si="20"/>
        <v/>
      </c>
      <c r="O993" s="17"/>
      <c r="P993" s="392" t="str">
        <f>EUconst_CNTR_ELEXCH &amp; I973</f>
        <v>ELEXCH_</v>
      </c>
      <c r="Q993" s="393" t="str">
        <f>IF(SUM(S993:X993)&lt;&gt;0,SUM(S992:X992)/SUM(S993:X993),EUconst_NA)</f>
        <v>N.A.</v>
      </c>
      <c r="R993" s="288" t="s">
        <v>323</v>
      </c>
      <c r="S993" s="388" t="str">
        <f>IF(S973,IF(COUNT(I992:I993)&gt;0,SUM(I992:I993),0),"")</f>
        <v/>
      </c>
      <c r="T993" s="389" t="str">
        <f>IF(T973,IF(COUNT(J992:J993)&gt;0,SUM(J992:J993),0),"")</f>
        <v/>
      </c>
      <c r="U993" s="389" t="str">
        <f>IF(U973,IF(COUNT(K992:K993)&gt;0,SUM(K992:K993),0),"")</f>
        <v/>
      </c>
      <c r="V993" s="389" t="str">
        <f>IF(V973,IF(COUNT(L992:L993)&gt;0,SUM(L992:L993),0),"")</f>
        <v/>
      </c>
      <c r="W993" s="390" t="str">
        <f>IF(W973,IF(COUNT(M992:M993)&gt;0,SUM(M992:M993),0),"")</f>
        <v/>
      </c>
      <c r="X993" s="286" t="str">
        <f>IF(S983,IF(COUNT(N992:N993)&gt;0,SUM(N992:N993),0),"")</f>
        <v/>
      </c>
      <c r="Y993" s="286" t="b">
        <f>Y992</f>
        <v>0</v>
      </c>
      <c r="AA993" s="286" t="b">
        <f>AA992</f>
        <v>0</v>
      </c>
    </row>
    <row r="994" spans="2:27" ht="5.0999999999999996" customHeight="1" x14ac:dyDescent="0.25">
      <c r="B994" s="17"/>
      <c r="C994" s="17"/>
      <c r="D994" s="17"/>
      <c r="E994" s="17"/>
      <c r="F994" s="17"/>
      <c r="G994" s="17"/>
      <c r="H994" s="17"/>
      <c r="I994" s="17"/>
      <c r="J994" s="17"/>
      <c r="K994" s="17"/>
      <c r="L994" s="17"/>
      <c r="M994" s="17"/>
      <c r="N994" s="17"/>
      <c r="O994" s="17"/>
    </row>
    <row r="995" spans="2:27" x14ac:dyDescent="0.25">
      <c r="B995" s="17"/>
      <c r="C995" s="17"/>
      <c r="D995" s="15" t="s">
        <v>197</v>
      </c>
      <c r="E995" s="1165" t="str">
        <f>Translations!$B$692</f>
        <v>Heat imported from non-ETS installations or entities:</v>
      </c>
      <c r="F995" s="1165"/>
      <c r="G995" s="1165"/>
      <c r="H995" s="1165"/>
      <c r="I995" s="1425"/>
      <c r="J995" s="1561" t="str">
        <f>IF(I973="","",HYPERLINK(Q995,EUconst_MsgGoOnIfNotRelevant))</f>
        <v/>
      </c>
      <c r="K995" s="1564"/>
      <c r="L995" s="1564"/>
      <c r="M995" s="1564"/>
      <c r="N995" s="1205"/>
      <c r="O995" s="17"/>
      <c r="P995" s="145" t="s">
        <v>334</v>
      </c>
      <c r="Q995" s="372" t="str">
        <f>"#"&amp;ADDRESS(ROW(D1002),COLUMN(D1002))</f>
        <v>#$D$1002</v>
      </c>
    </row>
    <row r="996" spans="2:27" ht="13.5" customHeight="1" thickBot="1" x14ac:dyDescent="0.3">
      <c r="B996" s="17"/>
      <c r="C996" s="17"/>
      <c r="D996" s="17"/>
      <c r="E996" s="1223"/>
      <c r="F996" s="1223"/>
      <c r="G996" s="1223"/>
      <c r="H996" s="1223"/>
      <c r="I996" s="1223"/>
      <c r="J996" s="1223"/>
      <c r="K996" s="1223"/>
      <c r="L996" s="1223"/>
      <c r="M996" s="1223"/>
      <c r="N996" s="1223"/>
      <c r="O996" s="17"/>
      <c r="Y996" s="145" t="s">
        <v>394</v>
      </c>
    </row>
    <row r="997" spans="2:27" ht="13.8" thickBot="1" x14ac:dyDescent="0.3">
      <c r="B997" s="17"/>
      <c r="C997" s="17"/>
      <c r="D997" s="15"/>
      <c r="E997" s="1259" t="str">
        <f>Translations!$B$686</f>
        <v>Parameter</v>
      </c>
      <c r="F997" s="1212"/>
      <c r="G997" s="1212"/>
      <c r="H997" s="23" t="str">
        <f>EUconst_Unit</f>
        <v>Unit</v>
      </c>
      <c r="I997" s="128">
        <f>I$66</f>
        <v>2019</v>
      </c>
      <c r="J997" s="128">
        <f>J$66</f>
        <v>2020</v>
      </c>
      <c r="K997" s="128">
        <f>K$66</f>
        <v>2021</v>
      </c>
      <c r="L997" s="128">
        <f>L$66</f>
        <v>2022</v>
      </c>
      <c r="M997" s="144">
        <f>M$66</f>
        <v>2023</v>
      </c>
      <c r="N997" s="376" t="str">
        <f>N988</f>
        <v/>
      </c>
      <c r="O997" s="17"/>
      <c r="Q997" s="28"/>
      <c r="S997" s="28">
        <f t="shared" ref="S997:X997" si="21">I997</f>
        <v>2019</v>
      </c>
      <c r="T997" s="28">
        <f t="shared" si="21"/>
        <v>2020</v>
      </c>
      <c r="U997" s="28">
        <f t="shared" si="21"/>
        <v>2021</v>
      </c>
      <c r="V997" s="28">
        <f t="shared" si="21"/>
        <v>2022</v>
      </c>
      <c r="W997" s="28">
        <f t="shared" si="21"/>
        <v>2023</v>
      </c>
      <c r="X997" s="145" t="str">
        <f t="shared" si="21"/>
        <v/>
      </c>
      <c r="Y997" s="295" t="b">
        <f>Y978</f>
        <v>0</v>
      </c>
      <c r="Z997" s="28"/>
      <c r="AA997" s="145" t="s">
        <v>396</v>
      </c>
    </row>
    <row r="998" spans="2:27" ht="13.8" thickBot="1" x14ac:dyDescent="0.3">
      <c r="B998" s="17"/>
      <c r="C998" s="17"/>
      <c r="D998" s="113" t="s">
        <v>206</v>
      </c>
      <c r="E998" s="1412" t="str">
        <f>Translations!$B$697</f>
        <v>Measurable heat imported from non-ETS:</v>
      </c>
      <c r="F998" s="1412"/>
      <c r="G998" s="1412"/>
      <c r="H998" s="43" t="str">
        <f>EUconst_TJpa</f>
        <v>TJ / year</v>
      </c>
      <c r="I998" s="293"/>
      <c r="J998" s="293"/>
      <c r="K998" s="293"/>
      <c r="L998" s="293"/>
      <c r="M998" s="931"/>
      <c r="N998" s="397"/>
      <c r="O998" s="17"/>
      <c r="P998" s="63" t="str">
        <f>EUconst_CNTR_HAL&amp;EUconst_CNTR_nonETSMeasHeat</f>
        <v>HAL_non-ETS measurable heat</v>
      </c>
      <c r="S998" s="808" t="str">
        <f>IF(S973,IF(ISNUMBER(I998),I998,0),"")</f>
        <v/>
      </c>
      <c r="T998" s="809" t="str">
        <f>IF(T973,IF(ISNUMBER(J998),J998,0),"")</f>
        <v/>
      </c>
      <c r="U998" s="809" t="str">
        <f>IF(U973,IF(ISNUMBER(K998),K998,0),"")</f>
        <v/>
      </c>
      <c r="V998" s="809" t="str">
        <f>IF(V973,IF(ISNUMBER(L998),L998,0),"")</f>
        <v/>
      </c>
      <c r="W998" s="810" t="str">
        <f>IF(W973,IF(ISNUMBER(M998),M998,0),"")</f>
        <v/>
      </c>
      <c r="X998" s="215" t="str">
        <f>IF(S983,IF(ISNUMBER(N998),N998,0),"")</f>
        <v/>
      </c>
      <c r="Y998" s="286" t="b">
        <f>Y997</f>
        <v>0</v>
      </c>
      <c r="AA998" s="316" t="b">
        <f>AND(CNTR_ExistSubInstEntries,I973="")</f>
        <v>0</v>
      </c>
    </row>
    <row r="999" spans="2:27" ht="25.5" customHeight="1" thickBot="1" x14ac:dyDescent="0.3">
      <c r="B999" s="17"/>
      <c r="C999" s="17"/>
      <c r="D999" s="113" t="s">
        <v>208</v>
      </c>
      <c r="E999" s="1248" t="str">
        <f>Translations!$B$698</f>
        <v>Consistency check with sheet "E_Energy flows":</v>
      </c>
      <c r="F999" s="1248"/>
      <c r="G999" s="1248"/>
      <c r="H999" s="856" t="s">
        <v>354</v>
      </c>
      <c r="I999" s="932" t="str">
        <f>IF(AND(ISNUMBER(I998),ISNUMBER(E_EnergyFlows!I$102)), I998/E_EnergyFlows!I$102*100,"")</f>
        <v/>
      </c>
      <c r="J999" s="932" t="str">
        <f>IF(AND(ISNUMBER(J998),ISNUMBER(E_EnergyFlows!J$102)), J998/E_EnergyFlows!J$102*100,"")</f>
        <v/>
      </c>
      <c r="K999" s="932" t="str">
        <f>IF(AND(ISNUMBER(K998),ISNUMBER(E_EnergyFlows!K$102)), K998/E_EnergyFlows!K$102*100,"")</f>
        <v/>
      </c>
      <c r="L999" s="932" t="str">
        <f>IF(AND(ISNUMBER(L998),ISNUMBER(E_EnergyFlows!L$102)), L998/E_EnergyFlows!L$102*100,"")</f>
        <v/>
      </c>
      <c r="M999" s="933" t="str">
        <f>IF(AND(ISNUMBER(M998),ISNUMBER(E_EnergyFlows!M$102)), M998/E_EnergyFlows!M$102*100,"")</f>
        <v/>
      </c>
      <c r="N999" s="646"/>
      <c r="O999" s="17"/>
      <c r="P999" s="392" t="str">
        <f>EUconst_CNTR_HEAT &amp; I973</f>
        <v>HEAT_</v>
      </c>
      <c r="Q999" s="109" t="str">
        <f>IF(COUNT(S998:X998)&gt;0,AVERAGE(S998:X998)*EUconst_HeatBMvalue,EUconst_NA)</f>
        <v>N.A.</v>
      </c>
      <c r="AA999" s="815"/>
    </row>
    <row r="1000" spans="2:27" ht="12.75" customHeight="1" x14ac:dyDescent="0.25">
      <c r="B1000" s="17"/>
      <c r="C1000" s="17"/>
      <c r="D1000" s="113" t="s">
        <v>209</v>
      </c>
      <c r="E1000" s="1254" t="str">
        <f>Translations!$B$699</f>
        <v>Consistency check with point (k)(i):</v>
      </c>
      <c r="F1000" s="1254"/>
      <c r="G1000" s="1254"/>
      <c r="H1000" s="860" t="s">
        <v>354</v>
      </c>
      <c r="I1000" s="934" t="str">
        <f>IF(AND(I1074&gt;0,ISNUMBER(I998)), I998/I1074*100,"")</f>
        <v/>
      </c>
      <c r="J1000" s="934" t="str">
        <f>IF(AND(J1074&gt;0,ISNUMBER(J998)), J998/J1074*100,"")</f>
        <v/>
      </c>
      <c r="K1000" s="934" t="str">
        <f>IF(AND(K1074&gt;0,ISNUMBER(K998)), K998/K1074*100,"")</f>
        <v/>
      </c>
      <c r="L1000" s="934" t="str">
        <f>IF(AND(L1074&gt;0,ISNUMBER(L998)), L998/L1074*100,"")</f>
        <v/>
      </c>
      <c r="M1000" s="935" t="str">
        <f>IF(AND(M1074&gt;0,ISNUMBER(M998)), M998/M1074*100,"")</f>
        <v/>
      </c>
      <c r="N1000" s="646"/>
      <c r="O1000" s="17"/>
      <c r="AA1000" s="815"/>
    </row>
    <row r="1001" spans="2:27" ht="12.75" customHeight="1" x14ac:dyDescent="0.25">
      <c r="B1001" s="17"/>
      <c r="C1001" s="17"/>
      <c r="D1001" s="17"/>
      <c r="E1001" s="17"/>
      <c r="F1001" s="17"/>
      <c r="G1001" s="17"/>
      <c r="H1001" s="17"/>
      <c r="I1001" s="31"/>
      <c r="J1001" s="17"/>
      <c r="K1001" s="17"/>
      <c r="L1001" s="17"/>
      <c r="M1001" s="17"/>
      <c r="N1001" s="17"/>
      <c r="O1001" s="17"/>
      <c r="P1001" s="44"/>
      <c r="AA1001" s="815"/>
    </row>
    <row r="1002" spans="2:27" ht="13.8" x14ac:dyDescent="0.25">
      <c r="B1002" s="17"/>
      <c r="C1002" s="338"/>
      <c r="D1002" s="1234" t="str">
        <f>Translations!$B$700</f>
        <v>Production details</v>
      </c>
      <c r="E1002" s="1176"/>
      <c r="F1002" s="1176"/>
      <c r="G1002" s="1176"/>
      <c r="H1002" s="1176"/>
      <c r="I1002" s="1176"/>
      <c r="J1002" s="1176"/>
      <c r="K1002" s="1176"/>
      <c r="L1002" s="1176"/>
      <c r="M1002" s="1176"/>
      <c r="N1002" s="1176"/>
      <c r="O1002" s="17"/>
      <c r="AA1002" s="815"/>
    </row>
    <row r="1003" spans="2:27" ht="5.0999999999999996" customHeight="1" x14ac:dyDescent="0.25">
      <c r="B1003" s="17"/>
      <c r="C1003" s="17"/>
      <c r="D1003" s="17"/>
      <c r="E1003" s="17"/>
      <c r="F1003" s="17"/>
      <c r="G1003" s="17"/>
      <c r="H1003" s="17"/>
      <c r="I1003" s="17"/>
      <c r="J1003" s="17"/>
      <c r="K1003" s="17"/>
      <c r="L1003" s="17"/>
      <c r="M1003" s="17"/>
      <c r="N1003" s="17"/>
      <c r="O1003" s="17"/>
      <c r="AA1003" s="815"/>
    </row>
    <row r="1004" spans="2:27" x14ac:dyDescent="0.25">
      <c r="B1004" s="17"/>
      <c r="C1004" s="15"/>
      <c r="D1004" s="15" t="s">
        <v>202</v>
      </c>
      <c r="E1004" s="1165" t="str">
        <f>Translations!$B$701</f>
        <v>Identification of products included in this product benchmark sub-installation</v>
      </c>
      <c r="F1004" s="1176"/>
      <c r="G1004" s="1176"/>
      <c r="H1004" s="1176"/>
      <c r="I1004" s="1176"/>
      <c r="J1004" s="1176"/>
      <c r="K1004" s="1176"/>
      <c r="L1004" s="1176"/>
      <c r="M1004" s="1176"/>
      <c r="N1004" s="1176"/>
      <c r="O1004" s="17"/>
      <c r="AA1004" s="815"/>
    </row>
    <row r="1005" spans="2:27" ht="13.2" customHeight="1" x14ac:dyDescent="0.25">
      <c r="B1005" s="17"/>
      <c r="C1005" s="17"/>
      <c r="D1005" s="17"/>
      <c r="E1005" s="1223" t="s">
        <v>443</v>
      </c>
      <c r="F1005" s="1176"/>
      <c r="G1005" s="1176"/>
      <c r="H1005" s="1176"/>
      <c r="I1005" s="1176"/>
      <c r="J1005" s="1176"/>
      <c r="K1005" s="1176"/>
      <c r="L1005" s="1176"/>
      <c r="M1005" s="1176"/>
      <c r="N1005" s="1176"/>
      <c r="O1005" s="17"/>
      <c r="AA1005" s="815"/>
    </row>
    <row r="1006" spans="2:27" x14ac:dyDescent="0.25">
      <c r="B1006" s="17"/>
      <c r="C1006" s="17"/>
      <c r="D1006" s="17"/>
      <c r="E1006" s="1554" t="s">
        <v>408</v>
      </c>
      <c r="F1006" s="1555"/>
      <c r="G1006" s="1555"/>
      <c r="H1006" s="1555"/>
      <c r="I1006" s="1555"/>
      <c r="J1006" s="1555"/>
      <c r="K1006" s="1555"/>
      <c r="L1006" s="1555"/>
      <c r="M1006" s="1555"/>
      <c r="N1006" s="1555"/>
      <c r="O1006" s="17"/>
      <c r="AA1006" s="815"/>
    </row>
    <row r="1007" spans="2:27" ht="5.0999999999999996" customHeight="1" x14ac:dyDescent="0.25">
      <c r="B1007" s="17"/>
      <c r="C1007" s="17"/>
      <c r="D1007" s="17"/>
      <c r="E1007" s="17"/>
      <c r="F1007" s="17"/>
      <c r="G1007" s="17"/>
      <c r="H1007" s="17"/>
      <c r="I1007" s="17"/>
      <c r="J1007" s="17"/>
      <c r="K1007" s="17"/>
      <c r="L1007" s="17"/>
      <c r="M1007" s="17"/>
      <c r="N1007" s="17"/>
      <c r="O1007" s="17"/>
      <c r="AA1007" s="815"/>
    </row>
    <row r="1008" spans="2:27" x14ac:dyDescent="0.25">
      <c r="B1008" s="17"/>
      <c r="C1008" s="15"/>
      <c r="D1008" s="15" t="s">
        <v>199</v>
      </c>
      <c r="E1008" s="1165" t="str">
        <f>Translations!$B$706</f>
        <v>Individual production levels of products included in this product benchmark sub-installation</v>
      </c>
      <c r="F1008" s="1176"/>
      <c r="G1008" s="1176"/>
      <c r="H1008" s="1176"/>
      <c r="I1008" s="1176"/>
      <c r="J1008" s="1176"/>
      <c r="K1008" s="1176"/>
      <c r="L1008" s="1176"/>
      <c r="M1008" s="1176"/>
      <c r="N1008" s="1176"/>
      <c r="O1008" s="17"/>
      <c r="AA1008" s="815"/>
    </row>
    <row r="1009" spans="2:27" ht="5.0999999999999996" customHeight="1" x14ac:dyDescent="0.25">
      <c r="B1009" s="17"/>
      <c r="C1009" s="17"/>
      <c r="D1009" s="17"/>
      <c r="E1009" s="884"/>
      <c r="F1009" s="884"/>
      <c r="G1009" s="884"/>
      <c r="H1009" s="884"/>
      <c r="I1009" s="884"/>
      <c r="J1009" s="77"/>
      <c r="K1009" s="77"/>
      <c r="L1009" s="77"/>
      <c r="M1009" s="17"/>
      <c r="N1009" s="17"/>
      <c r="O1009" s="17"/>
      <c r="AA1009" s="815"/>
    </row>
    <row r="1010" spans="2:27" ht="25.5" customHeight="1" x14ac:dyDescent="0.25">
      <c r="B1010" s="17"/>
      <c r="C1010" s="17"/>
      <c r="D1010" s="26"/>
      <c r="E1010" s="129" t="s">
        <v>409</v>
      </c>
      <c r="F1010" s="1556" t="str">
        <f>Translations!$B$707</f>
        <v>Name of product or group of products</v>
      </c>
      <c r="G1010" s="1557"/>
      <c r="H1010" s="461" t="str">
        <f>EUconst_Unit</f>
        <v>Unit</v>
      </c>
      <c r="I1010" s="128">
        <f>I$1882</f>
        <v>2019</v>
      </c>
      <c r="J1010" s="128">
        <f>J$1882</f>
        <v>2020</v>
      </c>
      <c r="K1010" s="128">
        <f>K$1882</f>
        <v>2021</v>
      </c>
      <c r="L1010" s="128">
        <f>L$1882</f>
        <v>2022</v>
      </c>
      <c r="M1010" s="128">
        <f>M$1882</f>
        <v>2023</v>
      </c>
      <c r="N1010" s="17"/>
      <c r="O1010" s="17"/>
      <c r="AA1010" s="815"/>
    </row>
    <row r="1011" spans="2:27" x14ac:dyDescent="0.25">
      <c r="B1011" s="17"/>
      <c r="C1011" s="17"/>
      <c r="D1011" s="222">
        <v>1</v>
      </c>
      <c r="E1011" s="602"/>
      <c r="F1011" s="1558"/>
      <c r="G1011" s="1559"/>
      <c r="H1011" s="322"/>
      <c r="I1011" s="889"/>
      <c r="J1011" s="889"/>
      <c r="K1011" s="889"/>
      <c r="L1011" s="889"/>
      <c r="M1011" s="889"/>
      <c r="N1011" s="17"/>
      <c r="O1011" s="17"/>
      <c r="AA1011" s="285" t="b">
        <f>AA998</f>
        <v>0</v>
      </c>
    </row>
    <row r="1012" spans="2:27" x14ac:dyDescent="0.25">
      <c r="B1012" s="17"/>
      <c r="C1012" s="17"/>
      <c r="D1012" s="225">
        <f>D1011+1</f>
        <v>2</v>
      </c>
      <c r="E1012" s="760"/>
      <c r="F1012" s="1542"/>
      <c r="G1012" s="1543"/>
      <c r="H1012" s="936"/>
      <c r="I1012" s="892"/>
      <c r="J1012" s="892"/>
      <c r="K1012" s="892"/>
      <c r="L1012" s="892"/>
      <c r="M1012" s="892"/>
      <c r="N1012" s="17"/>
      <c r="O1012" s="17"/>
      <c r="AA1012" s="285" t="b">
        <f>AA1011</f>
        <v>0</v>
      </c>
    </row>
    <row r="1013" spans="2:27" x14ac:dyDescent="0.25">
      <c r="B1013" s="17"/>
      <c r="C1013" s="17"/>
      <c r="D1013" s="225">
        <f t="shared" ref="D1013:D1020" si="22">D1012+1</f>
        <v>3</v>
      </c>
      <c r="E1013" s="760"/>
      <c r="F1013" s="1542"/>
      <c r="G1013" s="1543"/>
      <c r="H1013" s="936"/>
      <c r="I1013" s="892"/>
      <c r="J1013" s="892"/>
      <c r="K1013" s="892"/>
      <c r="L1013" s="892"/>
      <c r="M1013" s="892"/>
      <c r="N1013" s="17"/>
      <c r="O1013" s="17"/>
      <c r="AA1013" s="285" t="b">
        <f t="shared" ref="AA1013:AA1021" si="23">AA1012</f>
        <v>0</v>
      </c>
    </row>
    <row r="1014" spans="2:27" x14ac:dyDescent="0.25">
      <c r="B1014" s="17"/>
      <c r="C1014" s="17"/>
      <c r="D1014" s="225">
        <f t="shared" si="22"/>
        <v>4</v>
      </c>
      <c r="E1014" s="760"/>
      <c r="F1014" s="1542"/>
      <c r="G1014" s="1543"/>
      <c r="H1014" s="936"/>
      <c r="I1014" s="892"/>
      <c r="J1014" s="892"/>
      <c r="K1014" s="892"/>
      <c r="L1014" s="892"/>
      <c r="M1014" s="892"/>
      <c r="N1014" s="17"/>
      <c r="O1014" s="17"/>
      <c r="AA1014" s="285" t="b">
        <f t="shared" si="23"/>
        <v>0</v>
      </c>
    </row>
    <row r="1015" spans="2:27" x14ac:dyDescent="0.25">
      <c r="B1015" s="17"/>
      <c r="C1015" s="17"/>
      <c r="D1015" s="225">
        <f t="shared" si="22"/>
        <v>5</v>
      </c>
      <c r="E1015" s="760"/>
      <c r="F1015" s="1542"/>
      <c r="G1015" s="1543"/>
      <c r="H1015" s="936"/>
      <c r="I1015" s="892"/>
      <c r="J1015" s="892"/>
      <c r="K1015" s="892"/>
      <c r="L1015" s="892"/>
      <c r="M1015" s="892"/>
      <c r="N1015" s="17"/>
      <c r="O1015" s="17"/>
      <c r="AA1015" s="285" t="b">
        <f t="shared" si="23"/>
        <v>0</v>
      </c>
    </row>
    <row r="1016" spans="2:27" x14ac:dyDescent="0.25">
      <c r="B1016" s="17"/>
      <c r="C1016" s="17"/>
      <c r="D1016" s="225">
        <f t="shared" si="22"/>
        <v>6</v>
      </c>
      <c r="E1016" s="760"/>
      <c r="F1016" s="1542"/>
      <c r="G1016" s="1543"/>
      <c r="H1016" s="936"/>
      <c r="I1016" s="892"/>
      <c r="J1016" s="892"/>
      <c r="K1016" s="892"/>
      <c r="L1016" s="892"/>
      <c r="M1016" s="892"/>
      <c r="N1016" s="17"/>
      <c r="O1016" s="17"/>
      <c r="AA1016" s="285" t="b">
        <f t="shared" si="23"/>
        <v>0</v>
      </c>
    </row>
    <row r="1017" spans="2:27" x14ac:dyDescent="0.25">
      <c r="B1017" s="17"/>
      <c r="C1017" s="17"/>
      <c r="D1017" s="225">
        <f t="shared" si="22"/>
        <v>7</v>
      </c>
      <c r="E1017" s="760"/>
      <c r="F1017" s="1542"/>
      <c r="G1017" s="1543"/>
      <c r="H1017" s="936"/>
      <c r="I1017" s="892"/>
      <c r="J1017" s="892"/>
      <c r="K1017" s="892"/>
      <c r="L1017" s="892"/>
      <c r="M1017" s="892"/>
      <c r="N1017" s="17"/>
      <c r="O1017" s="17"/>
      <c r="AA1017" s="285" t="b">
        <f t="shared" si="23"/>
        <v>0</v>
      </c>
    </row>
    <row r="1018" spans="2:27" x14ac:dyDescent="0.25">
      <c r="B1018" s="17"/>
      <c r="C1018" s="17"/>
      <c r="D1018" s="225">
        <f t="shared" si="22"/>
        <v>8</v>
      </c>
      <c r="E1018" s="760"/>
      <c r="F1018" s="1542"/>
      <c r="G1018" s="1543"/>
      <c r="H1018" s="936"/>
      <c r="I1018" s="892"/>
      <c r="J1018" s="892"/>
      <c r="K1018" s="892"/>
      <c r="L1018" s="892"/>
      <c r="M1018" s="892"/>
      <c r="N1018" s="17"/>
      <c r="O1018" s="17"/>
      <c r="AA1018" s="285" t="b">
        <f t="shared" si="23"/>
        <v>0</v>
      </c>
    </row>
    <row r="1019" spans="2:27" x14ac:dyDescent="0.25">
      <c r="B1019" s="17"/>
      <c r="C1019" s="17"/>
      <c r="D1019" s="225">
        <f t="shared" si="22"/>
        <v>9</v>
      </c>
      <c r="E1019" s="760"/>
      <c r="F1019" s="1542"/>
      <c r="G1019" s="1543"/>
      <c r="H1019" s="936"/>
      <c r="I1019" s="892"/>
      <c r="J1019" s="892"/>
      <c r="K1019" s="892"/>
      <c r="L1019" s="892"/>
      <c r="M1019" s="892"/>
      <c r="N1019" s="17"/>
      <c r="O1019" s="17"/>
      <c r="AA1019" s="285" t="b">
        <f t="shared" si="23"/>
        <v>0</v>
      </c>
    </row>
    <row r="1020" spans="2:27" x14ac:dyDescent="0.25">
      <c r="B1020" s="17"/>
      <c r="C1020" s="17"/>
      <c r="D1020" s="227">
        <f t="shared" si="22"/>
        <v>10</v>
      </c>
      <c r="E1020" s="761"/>
      <c r="F1020" s="1544"/>
      <c r="G1020" s="1545"/>
      <c r="H1020" s="937"/>
      <c r="I1020" s="895"/>
      <c r="J1020" s="895"/>
      <c r="K1020" s="895"/>
      <c r="L1020" s="895"/>
      <c r="M1020" s="895"/>
      <c r="N1020" s="17"/>
      <c r="O1020" s="17"/>
      <c r="AA1020" s="285" t="b">
        <f t="shared" si="23"/>
        <v>0</v>
      </c>
    </row>
    <row r="1021" spans="2:27" ht="12.75" customHeight="1" thickBot="1" x14ac:dyDescent="0.3">
      <c r="B1021" s="17"/>
      <c r="C1021" s="17"/>
      <c r="D1021" s="262"/>
      <c r="E1021" s="1546" t="str">
        <f>Translations!$B$708</f>
        <v>Sum of production levels</v>
      </c>
      <c r="F1021" s="1546"/>
      <c r="G1021" s="1546"/>
      <c r="H1021" s="1067"/>
      <c r="I1021" s="841" t="str">
        <f>IF(COUNT(I1011:I1020)&gt;0,SUM(I1011:I1020),"")</f>
        <v/>
      </c>
      <c r="J1021" s="841" t="str">
        <f>IF(COUNT(J1011:J1020)&gt;0,SUM(J1011:J1020),"")</f>
        <v/>
      </c>
      <c r="K1021" s="841" t="str">
        <f>IF(COUNT(K1011:K1020)&gt;0,SUM(K1011:K1020),"")</f>
        <v/>
      </c>
      <c r="L1021" s="841" t="str">
        <f>IF(COUNT(L1011:L1020)&gt;0,SUM(L1011:L1020),"")</f>
        <v/>
      </c>
      <c r="M1021" s="841" t="str">
        <f>IF(COUNT(M1011:M1020)&gt;0,SUM(M1011:M1020),"")</f>
        <v/>
      </c>
      <c r="N1021" s="17"/>
      <c r="O1021" s="17"/>
      <c r="AA1021" s="286" t="b">
        <f t="shared" si="23"/>
        <v>0</v>
      </c>
    </row>
    <row r="1022" spans="2:27" ht="12.75" customHeight="1" thickBot="1" x14ac:dyDescent="0.3">
      <c r="B1022" s="17"/>
      <c r="C1022" s="17"/>
      <c r="D1022" s="17"/>
      <c r="E1022" s="17"/>
      <c r="F1022" s="17"/>
      <c r="G1022" s="17"/>
      <c r="H1022" s="17"/>
      <c r="I1022" s="17"/>
      <c r="J1022" s="17"/>
      <c r="K1022" s="17"/>
      <c r="L1022" s="17"/>
      <c r="M1022" s="17"/>
      <c r="N1022" s="17"/>
      <c r="O1022" s="17"/>
    </row>
    <row r="1023" spans="2:27" ht="5.0999999999999996" customHeight="1" x14ac:dyDescent="0.25">
      <c r="B1023" s="17"/>
      <c r="C1023" s="938"/>
      <c r="D1023" s="462"/>
      <c r="E1023" s="462"/>
      <c r="F1023" s="462"/>
      <c r="G1023" s="462"/>
      <c r="H1023" s="462"/>
      <c r="I1023" s="462"/>
      <c r="J1023" s="462"/>
      <c r="K1023" s="462"/>
      <c r="L1023" s="462"/>
      <c r="M1023" s="462"/>
      <c r="N1023" s="463"/>
      <c r="O1023" s="17"/>
    </row>
    <row r="1024" spans="2:27" ht="15" customHeight="1" x14ac:dyDescent="0.25">
      <c r="B1024" s="17"/>
      <c r="C1024" s="900"/>
      <c r="D1024" s="1547" t="s">
        <v>410</v>
      </c>
      <c r="E1024" s="1512"/>
      <c r="F1024" s="1512"/>
      <c r="G1024" s="1512"/>
      <c r="H1024" s="1512"/>
      <c r="I1024" s="1512"/>
      <c r="J1024" s="1512"/>
      <c r="K1024" s="1512"/>
      <c r="L1024" s="1512"/>
      <c r="M1024" s="1512"/>
      <c r="N1024" s="1513"/>
      <c r="O1024" s="17"/>
    </row>
    <row r="1025" spans="2:23" ht="5.0999999999999996" customHeight="1" x14ac:dyDescent="0.25">
      <c r="B1025" s="17"/>
      <c r="C1025" s="900"/>
      <c r="D1025" s="342"/>
      <c r="E1025" s="342"/>
      <c r="F1025" s="342"/>
      <c r="G1025" s="342"/>
      <c r="H1025" s="342"/>
      <c r="I1025" s="342"/>
      <c r="J1025" s="342"/>
      <c r="K1025" s="342"/>
      <c r="L1025" s="342"/>
      <c r="M1025" s="342"/>
      <c r="N1025" s="266"/>
      <c r="O1025" s="17"/>
    </row>
    <row r="1026" spans="2:23" ht="15" customHeight="1" x14ac:dyDescent="0.25">
      <c r="B1026" s="17"/>
      <c r="C1026" s="900"/>
      <c r="D1026" s="1548" t="str">
        <f>EUconst_BMSubinst &amp; ":"</f>
        <v>Sub-installation with product benchmark:</v>
      </c>
      <c r="E1026" s="1512"/>
      <c r="F1026" s="1512"/>
      <c r="G1026" s="1512"/>
      <c r="H1026" s="1549"/>
      <c r="I1026" s="1550" t="str">
        <f>I973</f>
        <v/>
      </c>
      <c r="J1026" s="1509"/>
      <c r="K1026" s="1509"/>
      <c r="L1026" s="1509"/>
      <c r="M1026" s="1509"/>
      <c r="N1026" s="1551"/>
      <c r="O1026" s="17"/>
    </row>
    <row r="1027" spans="2:23" ht="5.0999999999999996" customHeight="1" x14ac:dyDescent="0.25">
      <c r="B1027" s="17"/>
      <c r="C1027" s="900"/>
      <c r="D1027" s="342"/>
      <c r="E1027" s="342"/>
      <c r="F1027" s="342"/>
      <c r="G1027" s="342"/>
      <c r="H1027" s="342"/>
      <c r="I1027" s="342"/>
      <c r="J1027" s="342"/>
      <c r="K1027" s="342"/>
      <c r="L1027" s="342"/>
      <c r="M1027" s="342"/>
      <c r="N1027" s="266"/>
      <c r="O1027" s="17"/>
    </row>
    <row r="1028" spans="2:23" ht="15" customHeight="1" x14ac:dyDescent="0.25">
      <c r="B1028" s="17"/>
      <c r="C1028" s="900"/>
      <c r="D1028" s="342"/>
      <c r="E1028" s="1439" t="str">
        <f>Translations!$B$714</f>
        <v>Upon entries made below, the attributable emissions are calculated in section K.III.2 of the summary sheet.</v>
      </c>
      <c r="F1028" s="1439"/>
      <c r="G1028" s="1439"/>
      <c r="H1028" s="1439"/>
      <c r="I1028" s="1439"/>
      <c r="J1028" s="1439"/>
      <c r="K1028" s="1439"/>
      <c r="L1028" s="1439"/>
      <c r="M1028" s="1439"/>
      <c r="N1028" s="277"/>
      <c r="O1028" s="17"/>
    </row>
    <row r="1029" spans="2:23" ht="5.0999999999999996" customHeight="1" x14ac:dyDescent="0.25">
      <c r="B1029" s="17"/>
      <c r="C1029" s="900"/>
      <c r="D1029" s="342"/>
      <c r="E1029" s="342"/>
      <c r="F1029" s="342"/>
      <c r="G1029" s="342"/>
      <c r="H1029" s="342"/>
      <c r="I1029" s="342"/>
      <c r="J1029" s="342"/>
      <c r="K1029" s="342"/>
      <c r="L1029" s="342"/>
      <c r="M1029" s="342"/>
      <c r="N1029" s="266"/>
      <c r="O1029" s="17"/>
    </row>
    <row r="1030" spans="2:23" ht="12.75" customHeight="1" x14ac:dyDescent="0.25">
      <c r="B1030" s="17"/>
      <c r="C1030" s="900"/>
      <c r="D1030" s="157" t="s">
        <v>212</v>
      </c>
      <c r="E1030" s="1511" t="str">
        <f>Translations!$B$715</f>
        <v>Directly attributable emissions (DirEm* (MP source streams)) to this sub-installation</v>
      </c>
      <c r="F1030" s="1512"/>
      <c r="G1030" s="1512"/>
      <c r="H1030" s="1512"/>
      <c r="I1030" s="1512"/>
      <c r="J1030" s="1512"/>
      <c r="K1030" s="1512"/>
      <c r="L1030" s="1512"/>
      <c r="M1030" s="1512"/>
      <c r="N1030" s="1513"/>
      <c r="O1030" s="17"/>
    </row>
    <row r="1031" spans="2:23" ht="12.75" customHeight="1" thickBot="1" x14ac:dyDescent="0.3">
      <c r="B1031" s="17"/>
      <c r="C1031" s="900"/>
      <c r="D1031" s="342"/>
      <c r="E1031" s="1552"/>
      <c r="F1031" s="1552"/>
      <c r="G1031" s="1552"/>
      <c r="H1031" s="1552"/>
      <c r="I1031" s="1552"/>
      <c r="J1031" s="1552"/>
      <c r="K1031" s="1552"/>
      <c r="L1031" s="1552"/>
      <c r="M1031" s="1552"/>
      <c r="N1031" s="1553"/>
      <c r="O1031" s="17"/>
    </row>
    <row r="1032" spans="2:23" ht="12.75" customHeight="1" x14ac:dyDescent="0.25">
      <c r="B1032" s="17"/>
      <c r="C1032" s="900"/>
      <c r="D1032" s="157"/>
      <c r="E1032" s="1522" t="str">
        <f>Translations!$B$725</f>
        <v>Directly attributable emissions (DirEm*)</v>
      </c>
      <c r="F1032" s="1523"/>
      <c r="G1032" s="1523"/>
      <c r="H1032" s="152" t="str">
        <f>EUconst_Unit</f>
        <v>Unit</v>
      </c>
      <c r="I1032" s="153">
        <f>I$1882</f>
        <v>2019</v>
      </c>
      <c r="J1032" s="153">
        <f>J$1882</f>
        <v>2020</v>
      </c>
      <c r="K1032" s="153">
        <f>K$1882</f>
        <v>2021</v>
      </c>
      <c r="L1032" s="153">
        <f>L$1882</f>
        <v>2022</v>
      </c>
      <c r="M1032" s="153">
        <f>M$1882</f>
        <v>2023</v>
      </c>
      <c r="N1032" s="266"/>
      <c r="O1032" s="17"/>
      <c r="R1032" s="459"/>
      <c r="S1032" s="326">
        <f>I1032</f>
        <v>2019</v>
      </c>
      <c r="T1032" s="326">
        <f>J1032</f>
        <v>2020</v>
      </c>
      <c r="U1032" s="326">
        <f>K1032</f>
        <v>2021</v>
      </c>
      <c r="V1032" s="326">
        <f>L1032</f>
        <v>2022</v>
      </c>
      <c r="W1032" s="327">
        <f>M1032</f>
        <v>2023</v>
      </c>
    </row>
    <row r="1033" spans="2:23" ht="12.75" customHeight="1" thickBot="1" x14ac:dyDescent="0.3">
      <c r="B1033" s="17"/>
      <c r="C1033" s="900"/>
      <c r="D1033" s="342"/>
      <c r="E1033" s="1510" t="str">
        <f>I973</f>
        <v/>
      </c>
      <c r="F1033" s="1510"/>
      <c r="G1033" s="1510"/>
      <c r="H1033" s="154" t="str">
        <f>EUconst_tCO2epa</f>
        <v>t CO2e/year</v>
      </c>
      <c r="I1033" s="293"/>
      <c r="J1033" s="293"/>
      <c r="K1033" s="293"/>
      <c r="L1033" s="293"/>
      <c r="M1033" s="293"/>
      <c r="N1033" s="266"/>
      <c r="O1033" s="17"/>
      <c r="P1033" s="63" t="str">
        <f>EUconst_CNTR_Emissions &amp; I973</f>
        <v>DirEmissions_</v>
      </c>
      <c r="R1033" s="460" t="str">
        <f>EUconst_CNTR_AttributedEmissions &amp; I973</f>
        <v>AttrEmissions_</v>
      </c>
      <c r="S1033" s="389" t="str">
        <f>IF(S973,SUM(I1033),"")</f>
        <v/>
      </c>
      <c r="T1033" s="389" t="str">
        <f>IF(T973,SUM(J1033),"")</f>
        <v/>
      </c>
      <c r="U1033" s="389" t="str">
        <f>IF(U973,SUM(K1033),"")</f>
        <v/>
      </c>
      <c r="V1033" s="389" t="str">
        <f>IF(V973,SUM(L1033),"")</f>
        <v/>
      </c>
      <c r="W1033" s="390" t="str">
        <f>IF(W973,SUM(M1033),"")</f>
        <v/>
      </c>
    </row>
    <row r="1034" spans="2:23" ht="12.75" customHeight="1" x14ac:dyDescent="0.25">
      <c r="B1034" s="17"/>
      <c r="C1034" s="900"/>
      <c r="D1034" s="342"/>
      <c r="E1034" s="342"/>
      <c r="F1034" s="342"/>
      <c r="G1034" s="342"/>
      <c r="H1034" s="342"/>
      <c r="I1034" s="342"/>
      <c r="J1034" s="342"/>
      <c r="K1034" s="342"/>
      <c r="L1034" s="342"/>
      <c r="M1034" s="342"/>
      <c r="N1034" s="266"/>
      <c r="O1034" s="17"/>
    </row>
    <row r="1035" spans="2:23" ht="12.75" customHeight="1" x14ac:dyDescent="0.25">
      <c r="B1035" s="17"/>
      <c r="C1035" s="900"/>
      <c r="D1035" s="157" t="s">
        <v>218</v>
      </c>
      <c r="E1035" s="1529" t="str">
        <f>Translations!$B$726</f>
        <v>Fuel input to this sub-installation and relevant emission factor</v>
      </c>
      <c r="F1035" s="1529"/>
      <c r="G1035" s="1529"/>
      <c r="H1035" s="1529"/>
      <c r="I1035" s="1529"/>
      <c r="J1035" s="1529"/>
      <c r="K1035" s="1529"/>
      <c r="L1035" s="1529"/>
      <c r="M1035" s="1529"/>
      <c r="N1035" s="1534"/>
      <c r="O1035" s="17"/>
    </row>
    <row r="1036" spans="2:23" ht="12.75" customHeight="1" x14ac:dyDescent="0.25">
      <c r="B1036" s="17"/>
      <c r="C1036" s="900"/>
      <c r="D1036" s="157"/>
      <c r="E1036" s="1522"/>
      <c r="F1036" s="1523"/>
      <c r="G1036" s="1523"/>
      <c r="H1036" s="152" t="str">
        <f>EUconst_Unit</f>
        <v>Unit</v>
      </c>
      <c r="I1036" s="153">
        <f>I$1882</f>
        <v>2019</v>
      </c>
      <c r="J1036" s="153">
        <f>J$1882</f>
        <v>2020</v>
      </c>
      <c r="K1036" s="153">
        <f>K$1882</f>
        <v>2021</v>
      </c>
      <c r="L1036" s="153">
        <f>L$1882</f>
        <v>2022</v>
      </c>
      <c r="M1036" s="153">
        <f>M$1882</f>
        <v>2023</v>
      </c>
      <c r="N1036" s="266"/>
      <c r="O1036" s="17"/>
    </row>
    <row r="1037" spans="2:23" ht="12.75" customHeight="1" x14ac:dyDescent="0.25">
      <c r="B1037" s="17"/>
      <c r="C1037" s="900"/>
      <c r="D1037" s="193" t="s">
        <v>206</v>
      </c>
      <c r="E1037" s="1528" t="str">
        <f>Translations!$B$731</f>
        <v>Fuel input</v>
      </c>
      <c r="F1037" s="1528"/>
      <c r="G1037" s="1528"/>
      <c r="H1037" s="154" t="str">
        <f>EUconst_TJpa</f>
        <v>TJ / year</v>
      </c>
      <c r="I1037" s="293"/>
      <c r="J1037" s="293"/>
      <c r="K1037" s="293"/>
      <c r="L1037" s="293"/>
      <c r="M1037" s="293"/>
      <c r="N1037" s="277"/>
      <c r="O1037" s="17"/>
      <c r="P1037" s="63" t="str">
        <f>EUconst_CNTR_FuelInput &amp; I973</f>
        <v>FuelInput_</v>
      </c>
    </row>
    <row r="1038" spans="2:23" ht="12.75" customHeight="1" x14ac:dyDescent="0.25">
      <c r="B1038" s="17"/>
      <c r="C1038" s="900"/>
      <c r="D1038" s="193" t="s">
        <v>208</v>
      </c>
      <c r="E1038" s="1523" t="str">
        <f>Translations!$B$732</f>
        <v>Weighted emission factor</v>
      </c>
      <c r="F1038" s="1523"/>
      <c r="G1038" s="1523"/>
      <c r="H1038" s="904" t="str">
        <f>EUconst_tCO2pTJ</f>
        <v>t CO2 / TJ</v>
      </c>
      <c r="I1038" s="865"/>
      <c r="J1038" s="865"/>
      <c r="K1038" s="865"/>
      <c r="L1038" s="865"/>
      <c r="M1038" s="865"/>
      <c r="N1038" s="266"/>
      <c r="O1038" s="17"/>
      <c r="P1038" s="63" t="str">
        <f>EUconst_CNTR_FuelEF &amp; I973</f>
        <v>FuelEF_</v>
      </c>
    </row>
    <row r="1039" spans="2:23" ht="12.75" customHeight="1" x14ac:dyDescent="0.25">
      <c r="B1039" s="17"/>
      <c r="C1039" s="900"/>
      <c r="D1039" s="342"/>
      <c r="E1039" s="342"/>
      <c r="F1039" s="342"/>
      <c r="G1039" s="342"/>
      <c r="H1039" s="342"/>
      <c r="I1039" s="342"/>
      <c r="J1039" s="342"/>
      <c r="K1039" s="342"/>
      <c r="L1039" s="342"/>
      <c r="M1039" s="342"/>
      <c r="N1039" s="266"/>
      <c r="O1039" s="17"/>
    </row>
    <row r="1040" spans="2:23" ht="12.75" customHeight="1" thickBot="1" x14ac:dyDescent="0.3">
      <c r="B1040" s="17"/>
      <c r="C1040" s="900"/>
      <c r="D1040" s="157" t="s">
        <v>225</v>
      </c>
      <c r="E1040" s="1529" t="str">
        <f>Translations!$B$733</f>
        <v>Further internal source streams imported to or exported from this sub-installation</v>
      </c>
      <c r="F1040" s="1529"/>
      <c r="G1040" s="1529"/>
      <c r="H1040" s="1529"/>
      <c r="I1040" s="1529"/>
      <c r="J1040" s="1529"/>
      <c r="K1040" s="1529"/>
      <c r="L1040" s="1529"/>
      <c r="M1040" s="1529"/>
      <c r="N1040" s="1534"/>
      <c r="O1040" s="17"/>
    </row>
    <row r="1041" spans="2:27" ht="12.75" customHeight="1" thickBot="1" x14ac:dyDescent="0.3">
      <c r="B1041" s="17"/>
      <c r="C1041" s="900"/>
      <c r="D1041" s="193" t="s">
        <v>206</v>
      </c>
      <c r="E1041" s="1514" t="str">
        <f>Translations!$B$739</f>
        <v>Are further imported or exported internal source streams relevant for this sub-installation?</v>
      </c>
      <c r="F1041" s="1514"/>
      <c r="G1041" s="1514"/>
      <c r="H1041" s="1514"/>
      <c r="I1041" s="1514"/>
      <c r="J1041" s="1514"/>
      <c r="K1041" s="1515"/>
      <c r="L1041" s="194"/>
      <c r="M1041" s="762"/>
      <c r="N1041" s="763"/>
      <c r="O1041" s="17"/>
      <c r="W1041" s="288" t="s">
        <v>418</v>
      </c>
      <c r="X1041" s="215" t="b">
        <f>IF(AND(I973&lt;&gt;"",ISBLANK(L1041)),EUconst_Error&amp;"BM"&amp;C973,FALSE)</f>
        <v>0</v>
      </c>
    </row>
    <row r="1042" spans="2:27" ht="5.0999999999999996" customHeight="1" thickBot="1" x14ac:dyDescent="0.3">
      <c r="B1042" s="17"/>
      <c r="C1042" s="900"/>
      <c r="D1042" s="342"/>
      <c r="E1042" s="1533"/>
      <c r="F1042" s="1512"/>
      <c r="G1042" s="1512"/>
      <c r="H1042" s="1512"/>
      <c r="I1042" s="1512"/>
      <c r="J1042" s="1512"/>
      <c r="K1042" s="1512"/>
      <c r="L1042" s="1512"/>
      <c r="M1042" s="1512"/>
      <c r="N1042" s="1513"/>
      <c r="O1042" s="17"/>
      <c r="AA1042" s="145" t="s">
        <v>396</v>
      </c>
    </row>
    <row r="1043" spans="2:27" ht="12.75" customHeight="1" x14ac:dyDescent="0.25">
      <c r="B1043" s="17"/>
      <c r="C1043" s="900"/>
      <c r="D1043" s="193" t="s">
        <v>208</v>
      </c>
      <c r="E1043" s="1529" t="str">
        <f>Translations!$B$741</f>
        <v>Name of further source streams - 1:</v>
      </c>
      <c r="F1043" s="1529"/>
      <c r="G1043" s="1529"/>
      <c r="H1043" s="1529"/>
      <c r="I1043" s="1530"/>
      <c r="J1043" s="1531"/>
      <c r="K1043" s="1531"/>
      <c r="L1043" s="1531"/>
      <c r="M1043" s="1532"/>
      <c r="N1043" s="266"/>
      <c r="O1043" s="17"/>
      <c r="AA1043" s="316" t="b">
        <f>IF(I973&lt;&gt;"",AND(L1041&lt;&gt;"",L1041=FALSE),FALSE)</f>
        <v>0</v>
      </c>
    </row>
    <row r="1044" spans="2:27" ht="5.0999999999999996" customHeight="1" x14ac:dyDescent="0.25">
      <c r="B1044" s="17"/>
      <c r="C1044" s="900"/>
      <c r="D1044" s="342"/>
      <c r="E1044" s="902"/>
      <c r="F1044" s="762"/>
      <c r="G1044" s="762"/>
      <c r="H1044" s="762"/>
      <c r="I1044" s="762"/>
      <c r="J1044" s="762"/>
      <c r="K1044" s="762"/>
      <c r="L1044" s="762"/>
      <c r="M1044" s="762"/>
      <c r="N1044" s="763"/>
      <c r="O1044" s="17"/>
      <c r="AA1044" s="815"/>
    </row>
    <row r="1045" spans="2:27" ht="12.75" customHeight="1" x14ac:dyDescent="0.25">
      <c r="B1045" s="17"/>
      <c r="C1045" s="900"/>
      <c r="D1045" s="342"/>
      <c r="E1045" s="1522" t="str">
        <f>Translations!$B$742</f>
        <v>Further source streams - 1</v>
      </c>
      <c r="F1045" s="1523"/>
      <c r="G1045" s="1523"/>
      <c r="H1045" s="152" t="str">
        <f>EUconst_Unit</f>
        <v>Unit</v>
      </c>
      <c r="I1045" s="153">
        <f>I$1882</f>
        <v>2019</v>
      </c>
      <c r="J1045" s="153">
        <f>J$1882</f>
        <v>2020</v>
      </c>
      <c r="K1045" s="153">
        <f>K$1882</f>
        <v>2021</v>
      </c>
      <c r="L1045" s="153">
        <f>L$1882</f>
        <v>2022</v>
      </c>
      <c r="M1045" s="153">
        <f>M$1882</f>
        <v>2023</v>
      </c>
      <c r="N1045" s="266"/>
      <c r="O1045" s="17"/>
      <c r="AA1045" s="815"/>
    </row>
    <row r="1046" spans="2:27" ht="12.75" customHeight="1" x14ac:dyDescent="0.25">
      <c r="B1046" s="17"/>
      <c r="C1046" s="900"/>
      <c r="D1046" s="193" t="s">
        <v>209</v>
      </c>
      <c r="E1046" s="1526" t="str">
        <f>Translations!$B$743</f>
        <v>Amount imported or exported</v>
      </c>
      <c r="F1046" s="1526"/>
      <c r="G1046" s="1526"/>
      <c r="H1046" s="939" t="str">
        <f>EUconst_tpa</f>
        <v>t / year</v>
      </c>
      <c r="I1046" s="825"/>
      <c r="J1046" s="825"/>
      <c r="K1046" s="825"/>
      <c r="L1046" s="825"/>
      <c r="M1046" s="825"/>
      <c r="N1046" s="266"/>
      <c r="O1046" s="17"/>
      <c r="AA1046" s="285" t="b">
        <f>AA1043</f>
        <v>0</v>
      </c>
    </row>
    <row r="1047" spans="2:27" ht="12.75" customHeight="1" x14ac:dyDescent="0.25">
      <c r="B1047" s="17"/>
      <c r="C1047" s="900"/>
      <c r="D1047" s="193" t="s">
        <v>210</v>
      </c>
      <c r="E1047" s="1540" t="str">
        <f>Translations!$B$744</f>
        <v>Net calorific value (NCV), if applicable</v>
      </c>
      <c r="F1047" s="1540"/>
      <c r="G1047" s="1540"/>
      <c r="H1047" s="940" t="str">
        <f>EUconst_GJpt</f>
        <v>GJ / t</v>
      </c>
      <c r="I1047" s="296"/>
      <c r="J1047" s="296"/>
      <c r="K1047" s="296"/>
      <c r="L1047" s="296"/>
      <c r="M1047" s="296"/>
      <c r="N1047" s="266"/>
      <c r="O1047" s="17"/>
      <c r="AA1047" s="285" t="b">
        <f>AA1046</f>
        <v>0</v>
      </c>
    </row>
    <row r="1048" spans="2:27" ht="12.75" customHeight="1" thickBot="1" x14ac:dyDescent="0.3">
      <c r="B1048" s="17"/>
      <c r="C1048" s="900"/>
      <c r="D1048" s="193" t="s">
        <v>220</v>
      </c>
      <c r="E1048" s="1540" t="str">
        <f>Translations!$B$745</f>
        <v>Carbon content (mass %)</v>
      </c>
      <c r="F1048" s="1540"/>
      <c r="G1048" s="1540"/>
      <c r="H1048" s="941" t="s">
        <v>419</v>
      </c>
      <c r="I1048" s="296"/>
      <c r="J1048" s="296"/>
      <c r="K1048" s="296"/>
      <c r="L1048" s="296"/>
      <c r="M1048" s="296"/>
      <c r="N1048" s="266"/>
      <c r="O1048" s="17"/>
      <c r="AA1048" s="285" t="b">
        <f>AA1047</f>
        <v>0</v>
      </c>
    </row>
    <row r="1049" spans="2:27" ht="12.75" customHeight="1" x14ac:dyDescent="0.25">
      <c r="B1049" s="17"/>
      <c r="C1049" s="900"/>
      <c r="D1049" s="193" t="s">
        <v>221</v>
      </c>
      <c r="E1049" s="1527" t="str">
        <f>Translations!$B$746</f>
        <v>Biomass content (as fraction of carbon)</v>
      </c>
      <c r="F1049" s="1527"/>
      <c r="G1049" s="1527"/>
      <c r="H1049" s="343" t="s">
        <v>419</v>
      </c>
      <c r="I1049" s="826"/>
      <c r="J1049" s="826"/>
      <c r="K1049" s="826"/>
      <c r="L1049" s="826"/>
      <c r="M1049" s="826"/>
      <c r="N1049" s="266"/>
      <c r="O1049" s="17"/>
      <c r="R1049" s="459"/>
      <c r="S1049" s="326">
        <f>I1045</f>
        <v>2019</v>
      </c>
      <c r="T1049" s="326">
        <f>J1045</f>
        <v>2020</v>
      </c>
      <c r="U1049" s="326">
        <f>K1045</f>
        <v>2021</v>
      </c>
      <c r="V1049" s="326">
        <f>L1045</f>
        <v>2022</v>
      </c>
      <c r="W1049" s="327">
        <f>M1045</f>
        <v>2023</v>
      </c>
      <c r="AA1049" s="285" t="b">
        <f>AA1048</f>
        <v>0</v>
      </c>
    </row>
    <row r="1050" spans="2:27" ht="12.75" customHeight="1" thickBot="1" x14ac:dyDescent="0.3">
      <c r="B1050" s="17"/>
      <c r="C1050" s="900"/>
      <c r="D1050" s="193" t="s">
        <v>222</v>
      </c>
      <c r="E1050" s="1526" t="str">
        <f>Translations!$B$747</f>
        <v>Emissions (fossil, calculated)</v>
      </c>
      <c r="F1050" s="1526"/>
      <c r="G1050" s="1526"/>
      <c r="H1050" s="942" t="str">
        <f>EUconst_tCO2pa</f>
        <v>t CO2 / year</v>
      </c>
      <c r="I1050" s="943" t="str">
        <f>IF(AND(COUNT(I1046:I1049)&gt;0,I1053=""),3.664*I1046*(I1048/100)*(1-I1049/100),"")</f>
        <v/>
      </c>
      <c r="J1050" s="943" t="str">
        <f>IF(AND(COUNT(J1046:J1049)&gt;0,J1053=""),3.664*J1046*(J1048/100)*(1-J1049/100),"")</f>
        <v/>
      </c>
      <c r="K1050" s="943" t="str">
        <f>IF(AND(COUNT(K1046:K1049)&gt;0,K1053=""),3.664*K1046*(K1048/100)*(1-K1049/100),"")</f>
        <v/>
      </c>
      <c r="L1050" s="943" t="str">
        <f>IF(AND(COUNT(L1046:L1049)&gt;0,L1053=""),3.664*L1046*(L1048/100)*(1-L1049/100),"")</f>
        <v/>
      </c>
      <c r="M1050" s="943" t="str">
        <f>IF(AND(COUNT(M1046:M1049)&gt;0,M1053=""),3.664*M1046*(M1048/100)*(1-M1049/100),"")</f>
        <v/>
      </c>
      <c r="N1050" s="266"/>
      <c r="O1050" s="17"/>
      <c r="P1050" s="63" t="str">
        <f>EUconst_CNTR_EmissionsIntSource1 &amp; I973</f>
        <v>EmInternalSource1_</v>
      </c>
      <c r="R1050" s="460" t="str">
        <f>EUconst_CNTR_AttributedEmissions &amp; I973</f>
        <v>AttrEmissions_</v>
      </c>
      <c r="S1050" s="389" t="str">
        <f>IF(S973,SUM(I1050),"")</f>
        <v/>
      </c>
      <c r="T1050" s="389" t="str">
        <f>IF(T973,SUM(J1050),"")</f>
        <v/>
      </c>
      <c r="U1050" s="389" t="str">
        <f>IF(U973,SUM(K1050),"")</f>
        <v/>
      </c>
      <c r="V1050" s="389" t="str">
        <f>IF(V973,SUM(L1050),"")</f>
        <v/>
      </c>
      <c r="W1050" s="390" t="str">
        <f>IF(W973,SUM(M1050),"")</f>
        <v/>
      </c>
      <c r="AA1050" s="815"/>
    </row>
    <row r="1051" spans="2:27" ht="12.75" customHeight="1" x14ac:dyDescent="0.25">
      <c r="B1051" s="17"/>
      <c r="C1051" s="900"/>
      <c r="D1051" s="193" t="s">
        <v>223</v>
      </c>
      <c r="E1051" s="1540" t="str">
        <f>Translations!$B$748</f>
        <v>Memo-Item: Biomass emissions</v>
      </c>
      <c r="F1051" s="1540"/>
      <c r="G1051" s="1540"/>
      <c r="H1051" s="944" t="str">
        <f>EUconst_tCO2pa</f>
        <v>t CO2 / year</v>
      </c>
      <c r="I1051" s="945" t="str">
        <f>IF(ISNUMBER(I1050),3.664*I1046*(I1048/100)*(I1049/100),"")</f>
        <v/>
      </c>
      <c r="J1051" s="945" t="str">
        <f>IF(ISNUMBER(J1050),3.664*J1046*(J1048/100)*(J1049/100),"")</f>
        <v/>
      </c>
      <c r="K1051" s="945" t="str">
        <f>IF(ISNUMBER(K1050),3.664*K1046*(K1048/100)*(K1049/100),"")</f>
        <v/>
      </c>
      <c r="L1051" s="945" t="str">
        <f>IF(ISNUMBER(L1050),3.664*L1046*(L1048/100)*(L1049/100),"")</f>
        <v/>
      </c>
      <c r="M1051" s="945" t="str">
        <f>IF(ISNUMBER(M1050),3.664*M1046*(M1048/100)*(M1049/100),"")</f>
        <v/>
      </c>
      <c r="N1051" s="266"/>
      <c r="O1051" s="17"/>
      <c r="AA1051" s="815"/>
    </row>
    <row r="1052" spans="2:27" ht="12.75" customHeight="1" x14ac:dyDescent="0.25">
      <c r="B1052" s="17"/>
      <c r="C1052" s="900"/>
      <c r="D1052" s="193" t="s">
        <v>224</v>
      </c>
      <c r="E1052" s="1527" t="str">
        <f>Translations!$B$749</f>
        <v>Energy content (calculated)</v>
      </c>
      <c r="F1052" s="1527"/>
      <c r="G1052" s="1527"/>
      <c r="H1052" s="946" t="str">
        <f>EUconst_TJpa</f>
        <v>TJ / year</v>
      </c>
      <c r="I1052" s="841" t="str">
        <f>IF(COUNT(I1046:I1047)=2,I1046*I1047/1000,"")</f>
        <v/>
      </c>
      <c r="J1052" s="841" t="str">
        <f>IF(COUNT(J1046:J1047)=2,J1046*J1047/1000,"")</f>
        <v/>
      </c>
      <c r="K1052" s="841" t="str">
        <f>IF(COUNT(K1046:K1047)=2,K1046*K1047/1000,"")</f>
        <v/>
      </c>
      <c r="L1052" s="841" t="str">
        <f>IF(COUNT(L1046:L1047)=2,L1046*L1047/1000,"")</f>
        <v/>
      </c>
      <c r="M1052" s="841" t="str">
        <f>IF(COUNT(M1046:M1047)=2,M1046*M1047/1000,"")</f>
        <v/>
      </c>
      <c r="N1052" s="266"/>
      <c r="O1052" s="17"/>
      <c r="AA1052" s="815"/>
    </row>
    <row r="1053" spans="2:27" ht="12.75" customHeight="1" x14ac:dyDescent="0.25">
      <c r="B1053" s="17"/>
      <c r="C1053" s="900"/>
      <c r="D1053" s="193" t="s">
        <v>345</v>
      </c>
      <c r="E1053" s="1541" t="str">
        <f>Translations!$B$750</f>
        <v>Error messages (emissions)</v>
      </c>
      <c r="F1053" s="1541"/>
      <c r="G1053" s="1541"/>
      <c r="H1053" s="947"/>
      <c r="I1053" s="267" t="str">
        <f>IF(COUNT(I1046,I1048:I1049)&gt;0,IF(COUNTIF(I1047:I1049,"&lt;0")&gt;0,EUconst_Negative,IF(COUNT(I1046,I1048:I1049)&lt;3,EUconst_Incomplete,"")),"")</f>
        <v/>
      </c>
      <c r="J1053" s="267" t="str">
        <f>IF(COUNT(J1046,J1048:J1049)&gt;0,IF(COUNTIF(J1047:J1049,"&lt;0")&gt;0,EUconst_Negative,IF(COUNT(J1046,J1048:J1049)&lt;3,EUconst_Incomplete,"")),"")</f>
        <v/>
      </c>
      <c r="K1053" s="267" t="str">
        <f>IF(COUNT(K1046,K1048:K1049)&gt;0,IF(COUNTIF(K1047:K1049,"&lt;0")&gt;0,EUconst_Negative,IF(COUNT(K1046,K1048:K1049)&lt;3,EUconst_Incomplete,"")),"")</f>
        <v/>
      </c>
      <c r="L1053" s="267" t="str">
        <f>IF(COUNT(L1046,L1048:L1049)&gt;0,IF(COUNTIF(L1047:L1049,"&lt;0")&gt;0,EUconst_Negative,IF(COUNT(L1046,L1048:L1049)&lt;3,EUconst_Incomplete,"")),"")</f>
        <v/>
      </c>
      <c r="M1053" s="267" t="str">
        <f>IF(COUNT(M1046,M1048:M1049)&gt;0,IF(COUNTIF(M1047:M1049,"&lt;0")&gt;0,EUconst_Negative,IF(COUNT(M1046,M1048:M1049)&lt;3,EUconst_Incomplete,"")),"")</f>
        <v/>
      </c>
      <c r="N1053" s="266"/>
      <c r="O1053" s="17"/>
      <c r="AA1053" s="815"/>
    </row>
    <row r="1054" spans="2:27" ht="12.75" customHeight="1" x14ac:dyDescent="0.25">
      <c r="B1054" s="17"/>
      <c r="C1054" s="900"/>
      <c r="D1054" s="193"/>
      <c r="E1054" s="342"/>
      <c r="F1054" s="342"/>
      <c r="G1054" s="342"/>
      <c r="H1054" s="342"/>
      <c r="I1054" s="342"/>
      <c r="J1054" s="342"/>
      <c r="K1054" s="342"/>
      <c r="L1054" s="342"/>
      <c r="M1054" s="342"/>
      <c r="N1054" s="266"/>
      <c r="O1054" s="17"/>
      <c r="AA1054" s="815"/>
    </row>
    <row r="1055" spans="2:27" ht="12.75" customHeight="1" x14ac:dyDescent="0.25">
      <c r="B1055" s="17"/>
      <c r="C1055" s="900"/>
      <c r="D1055" s="193" t="s">
        <v>346</v>
      </c>
      <c r="E1055" s="1529" t="str">
        <f>Translations!$B$751</f>
        <v>Name of further source streams - 2:</v>
      </c>
      <c r="F1055" s="1529"/>
      <c r="G1055" s="1529"/>
      <c r="H1055" s="1529"/>
      <c r="I1055" s="1530"/>
      <c r="J1055" s="1531"/>
      <c r="K1055" s="1531"/>
      <c r="L1055" s="1531"/>
      <c r="M1055" s="1532"/>
      <c r="N1055" s="763"/>
      <c r="O1055" s="17"/>
      <c r="AA1055" s="285" t="b">
        <f>AA1043</f>
        <v>0</v>
      </c>
    </row>
    <row r="1056" spans="2:27" ht="5.0999999999999996" customHeight="1" x14ac:dyDescent="0.25">
      <c r="B1056" s="17"/>
      <c r="C1056" s="900"/>
      <c r="D1056" s="342"/>
      <c r="E1056" s="902"/>
      <c r="F1056" s="762"/>
      <c r="G1056" s="762"/>
      <c r="H1056" s="762"/>
      <c r="I1056" s="762"/>
      <c r="J1056" s="762"/>
      <c r="K1056" s="762"/>
      <c r="L1056" s="762"/>
      <c r="M1056" s="762"/>
      <c r="N1056" s="763"/>
      <c r="O1056" s="17"/>
      <c r="AA1056" s="815"/>
    </row>
    <row r="1057" spans="2:27" ht="12.75" customHeight="1" x14ac:dyDescent="0.25">
      <c r="B1057" s="17"/>
      <c r="C1057" s="900"/>
      <c r="D1057" s="193"/>
      <c r="E1057" s="1522" t="str">
        <f>Translations!$B$752</f>
        <v>Further source streams - 2</v>
      </c>
      <c r="F1057" s="1523"/>
      <c r="G1057" s="1523"/>
      <c r="H1057" s="152" t="str">
        <f>EUconst_Unit</f>
        <v>Unit</v>
      </c>
      <c r="I1057" s="153">
        <f>I$1882</f>
        <v>2019</v>
      </c>
      <c r="J1057" s="153">
        <f>J$1882</f>
        <v>2020</v>
      </c>
      <c r="K1057" s="153">
        <f>K$1882</f>
        <v>2021</v>
      </c>
      <c r="L1057" s="153">
        <f>L$1882</f>
        <v>2022</v>
      </c>
      <c r="M1057" s="153">
        <f>M$1882</f>
        <v>2023</v>
      </c>
      <c r="N1057" s="266"/>
      <c r="O1057" s="17"/>
      <c r="AA1057" s="815"/>
    </row>
    <row r="1058" spans="2:27" ht="12.75" customHeight="1" x14ac:dyDescent="0.25">
      <c r="B1058" s="17"/>
      <c r="C1058" s="900"/>
      <c r="D1058" s="193" t="s">
        <v>347</v>
      </c>
      <c r="E1058" s="1526" t="str">
        <f>Translations!$B$743</f>
        <v>Amount imported or exported</v>
      </c>
      <c r="F1058" s="1526"/>
      <c r="G1058" s="1526"/>
      <c r="H1058" s="939" t="str">
        <f>EUconst_tpa</f>
        <v>t / year</v>
      </c>
      <c r="I1058" s="825"/>
      <c r="J1058" s="825"/>
      <c r="K1058" s="825"/>
      <c r="L1058" s="825"/>
      <c r="M1058" s="825"/>
      <c r="N1058" s="266"/>
      <c r="O1058" s="17"/>
      <c r="AA1058" s="285" t="b">
        <f>AA1055</f>
        <v>0</v>
      </c>
    </row>
    <row r="1059" spans="2:27" ht="12.75" customHeight="1" x14ac:dyDescent="0.25">
      <c r="B1059" s="17"/>
      <c r="C1059" s="900"/>
      <c r="D1059" s="193" t="s">
        <v>355</v>
      </c>
      <c r="E1059" s="1540" t="str">
        <f>Translations!$B$744</f>
        <v>Net calorific value (NCV), if applicable</v>
      </c>
      <c r="F1059" s="1540"/>
      <c r="G1059" s="1540"/>
      <c r="H1059" s="940" t="str">
        <f>EUconst_GJpt</f>
        <v>GJ / t</v>
      </c>
      <c r="I1059" s="296"/>
      <c r="J1059" s="296"/>
      <c r="K1059" s="296"/>
      <c r="L1059" s="296"/>
      <c r="M1059" s="296"/>
      <c r="N1059" s="266"/>
      <c r="O1059" s="17"/>
      <c r="AA1059" s="285" t="b">
        <f>AA1058</f>
        <v>0</v>
      </c>
    </row>
    <row r="1060" spans="2:27" ht="12.75" customHeight="1" thickBot="1" x14ac:dyDescent="0.3">
      <c r="B1060" s="17"/>
      <c r="C1060" s="900"/>
      <c r="D1060" s="193" t="s">
        <v>356</v>
      </c>
      <c r="E1060" s="1540" t="str">
        <f>Translations!$B$745</f>
        <v>Carbon content (mass %)</v>
      </c>
      <c r="F1060" s="1540"/>
      <c r="G1060" s="1540"/>
      <c r="H1060" s="941" t="s">
        <v>419</v>
      </c>
      <c r="I1060" s="296"/>
      <c r="J1060" s="296"/>
      <c r="K1060" s="296"/>
      <c r="L1060" s="296"/>
      <c r="M1060" s="296"/>
      <c r="N1060" s="266"/>
      <c r="O1060" s="17"/>
      <c r="AA1060" s="285" t="b">
        <f>AA1059</f>
        <v>0</v>
      </c>
    </row>
    <row r="1061" spans="2:27" ht="12.75" customHeight="1" thickBot="1" x14ac:dyDescent="0.3">
      <c r="B1061" s="17"/>
      <c r="C1061" s="900"/>
      <c r="D1061" s="193" t="s">
        <v>420</v>
      </c>
      <c r="E1061" s="1527" t="str">
        <f>Translations!$B$746</f>
        <v>Biomass content (as fraction of carbon)</v>
      </c>
      <c r="F1061" s="1527"/>
      <c r="G1061" s="1527"/>
      <c r="H1061" s="343" t="s">
        <v>419</v>
      </c>
      <c r="I1061" s="826"/>
      <c r="J1061" s="826"/>
      <c r="K1061" s="826"/>
      <c r="L1061" s="826"/>
      <c r="M1061" s="826"/>
      <c r="N1061" s="266"/>
      <c r="O1061" s="17"/>
      <c r="R1061" s="459"/>
      <c r="S1061" s="326">
        <f>I1057</f>
        <v>2019</v>
      </c>
      <c r="T1061" s="326">
        <f>J1057</f>
        <v>2020</v>
      </c>
      <c r="U1061" s="326">
        <f>K1057</f>
        <v>2021</v>
      </c>
      <c r="V1061" s="326">
        <f>L1057</f>
        <v>2022</v>
      </c>
      <c r="W1061" s="327">
        <f>M1057</f>
        <v>2023</v>
      </c>
      <c r="AA1061" s="286" t="b">
        <f>AA1060</f>
        <v>0</v>
      </c>
    </row>
    <row r="1062" spans="2:27" ht="12.75" customHeight="1" thickBot="1" x14ac:dyDescent="0.3">
      <c r="B1062" s="17"/>
      <c r="C1062" s="900"/>
      <c r="D1062" s="193" t="s">
        <v>421</v>
      </c>
      <c r="E1062" s="1526" t="str">
        <f>Translations!$B$747</f>
        <v>Emissions (fossil, calculated)</v>
      </c>
      <c r="F1062" s="1526"/>
      <c r="G1062" s="1526"/>
      <c r="H1062" s="942" t="str">
        <f>EUconst_tCO2pa</f>
        <v>t CO2 / year</v>
      </c>
      <c r="I1062" s="943" t="str">
        <f>IF(AND(COUNT(I1058:I1061)&gt;0,I1065=""),3.664*I1058*(I1060/100)*(1-I1061/100),"")</f>
        <v/>
      </c>
      <c r="J1062" s="943" t="str">
        <f>IF(AND(COUNT(J1058:J1061)&gt;0,J1065=""),3.664*J1058*(J1060/100)*(1-J1061/100),"")</f>
        <v/>
      </c>
      <c r="K1062" s="943" t="str">
        <f>IF(AND(COUNT(K1058:K1061)&gt;0,K1065=""),3.664*K1058*(K1060/100)*(1-K1061/100),"")</f>
        <v/>
      </c>
      <c r="L1062" s="943" t="str">
        <f>IF(AND(COUNT(L1058:L1061)&gt;0,L1065=""),3.664*L1058*(L1060/100)*(1-L1061/100),"")</f>
        <v/>
      </c>
      <c r="M1062" s="943" t="str">
        <f>IF(AND(COUNT(M1058:M1061)&gt;0,M1065=""),3.664*M1058*(M1060/100)*(1-M1061/100),"")</f>
        <v/>
      </c>
      <c r="N1062" s="266"/>
      <c r="O1062" s="17"/>
      <c r="P1062" s="63" t="str">
        <f>EUconst_CNTR_EmissionsIntSource2 &amp; I973</f>
        <v>EmInternalSource2_</v>
      </c>
      <c r="R1062" s="460" t="str">
        <f>EUconst_CNTR_AttributedEmissions &amp; I973</f>
        <v>AttrEmissions_</v>
      </c>
      <c r="S1062" s="389" t="str">
        <f>IF(S973,SUM(I1062),"")</f>
        <v/>
      </c>
      <c r="T1062" s="389" t="str">
        <f>IF(T973,SUM(J1062),"")</f>
        <v/>
      </c>
      <c r="U1062" s="389" t="str">
        <f>IF(U973,SUM(K1062),"")</f>
        <v/>
      </c>
      <c r="V1062" s="389" t="str">
        <f>IF(V973,SUM(L1062),"")</f>
        <v/>
      </c>
      <c r="W1062" s="390" t="str">
        <f>IF(W973,SUM(M1062),"")</f>
        <v/>
      </c>
    </row>
    <row r="1063" spans="2:27" ht="12.75" customHeight="1" x14ac:dyDescent="0.25">
      <c r="B1063" s="17"/>
      <c r="C1063" s="900"/>
      <c r="D1063" s="193" t="s">
        <v>422</v>
      </c>
      <c r="E1063" s="1540" t="str">
        <f>Translations!$B$748</f>
        <v>Memo-Item: Biomass emissions</v>
      </c>
      <c r="F1063" s="1540"/>
      <c r="G1063" s="1540"/>
      <c r="H1063" s="944" t="str">
        <f>EUconst_tCO2pa</f>
        <v>t CO2 / year</v>
      </c>
      <c r="I1063" s="945" t="str">
        <f>IF(ISNUMBER(I1062),3.664*I1058*(I1060/100)*(I1061/100),"")</f>
        <v/>
      </c>
      <c r="J1063" s="945" t="str">
        <f>IF(ISNUMBER(J1062),3.664*J1058*(J1060/100)*(J1061/100),"")</f>
        <v/>
      </c>
      <c r="K1063" s="945" t="str">
        <f>IF(ISNUMBER(K1062),3.664*K1058*(K1060/100)*(K1061/100),"")</f>
        <v/>
      </c>
      <c r="L1063" s="945" t="str">
        <f>IF(ISNUMBER(L1062),3.664*L1058*(L1060/100)*(L1061/100),"")</f>
        <v/>
      </c>
      <c r="M1063" s="945" t="str">
        <f>IF(ISNUMBER(M1062),3.664*M1058*(M1060/100)*(M1061/100),"")</f>
        <v/>
      </c>
      <c r="N1063" s="266"/>
      <c r="O1063" s="17"/>
    </row>
    <row r="1064" spans="2:27" ht="12.75" customHeight="1" x14ac:dyDescent="0.25">
      <c r="B1064" s="17"/>
      <c r="C1064" s="900"/>
      <c r="D1064" s="193" t="s">
        <v>423</v>
      </c>
      <c r="E1064" s="1527" t="str">
        <f>Translations!$B$749</f>
        <v>Energy content (calculated)</v>
      </c>
      <c r="F1064" s="1527"/>
      <c r="G1064" s="1527"/>
      <c r="H1064" s="946" t="str">
        <f>EUconst_TJpa</f>
        <v>TJ / year</v>
      </c>
      <c r="I1064" s="841" t="str">
        <f>IF(COUNT(I1058:I1059)=2,I1058*I1059/1000,"")</f>
        <v/>
      </c>
      <c r="J1064" s="841" t="str">
        <f>IF(COUNT(J1058:J1059)=2,J1058*J1059/1000,"")</f>
        <v/>
      </c>
      <c r="K1064" s="841" t="str">
        <f>IF(COUNT(K1058:K1059)=2,K1058*K1059/1000,"")</f>
        <v/>
      </c>
      <c r="L1064" s="841" t="str">
        <f>IF(COUNT(L1058:L1059)=2,L1058*L1059/1000,"")</f>
        <v/>
      </c>
      <c r="M1064" s="841" t="str">
        <f>IF(COUNT(M1058:M1059)=2,M1058*M1059/1000,"")</f>
        <v/>
      </c>
      <c r="N1064" s="266"/>
      <c r="O1064" s="17"/>
    </row>
    <row r="1065" spans="2:27" ht="12.75" customHeight="1" x14ac:dyDescent="0.25">
      <c r="B1065" s="17"/>
      <c r="C1065" s="900"/>
      <c r="D1065" s="193" t="s">
        <v>356</v>
      </c>
      <c r="E1065" s="1541" t="str">
        <f>Translations!$B$750</f>
        <v>Error messages (emissions)</v>
      </c>
      <c r="F1065" s="1541"/>
      <c r="G1065" s="1541"/>
      <c r="H1065" s="947"/>
      <c r="I1065" s="267" t="str">
        <f>IF(COUNT(I1058,I1060:I1061)&gt;0,IF(COUNTIF(I1059:I1061,"&lt;0")&gt;0,EUconst_Negative,IF(COUNT(I1058,I1060:I1061)&lt;3,EUconst_Incomplete,"")),"")</f>
        <v/>
      </c>
      <c r="J1065" s="267" t="str">
        <f>IF(COUNT(J1058,J1060:J1061)&gt;0,IF(COUNTIF(J1059:J1061,"&lt;0")&gt;0,EUconst_Negative,IF(COUNT(J1058,J1060:J1061)&lt;3,EUconst_Incomplete,"")),"")</f>
        <v/>
      </c>
      <c r="K1065" s="267" t="str">
        <f>IF(COUNT(K1058,K1060:K1061)&gt;0,IF(COUNTIF(K1059:K1061,"&lt;0")&gt;0,EUconst_Negative,IF(COUNT(K1058,K1060:K1061)&lt;3,EUconst_Incomplete,"")),"")</f>
        <v/>
      </c>
      <c r="L1065" s="267" t="str">
        <f>IF(COUNT(L1058,L1060:L1061)&gt;0,IF(COUNTIF(L1059:L1061,"&lt;0")&gt;0,EUconst_Negative,IF(COUNT(L1058,L1060:L1061)&lt;3,EUconst_Incomplete,"")),"")</f>
        <v/>
      </c>
      <c r="M1065" s="267" t="str">
        <f>IF(COUNT(M1058,M1060:M1061)&gt;0,IF(COUNTIF(M1059:M1061,"&lt;0")&gt;0,EUconst_Negative,IF(COUNT(M1058,M1060:M1061)&lt;3,EUconst_Incomplete,"")),"")</f>
        <v/>
      </c>
      <c r="N1065" s="266"/>
      <c r="O1065" s="17"/>
    </row>
    <row r="1066" spans="2:27" ht="12.75" customHeight="1" x14ac:dyDescent="0.25">
      <c r="B1066" s="17"/>
      <c r="C1066" s="900"/>
      <c r="D1066" s="342"/>
      <c r="E1066" s="342"/>
      <c r="F1066" s="342"/>
      <c r="G1066" s="342"/>
      <c r="H1066" s="342"/>
      <c r="I1066" s="342"/>
      <c r="J1066" s="342"/>
      <c r="K1066" s="342"/>
      <c r="L1066" s="342"/>
      <c r="M1066" s="342"/>
      <c r="N1066" s="266"/>
      <c r="O1066" s="17"/>
    </row>
    <row r="1067" spans="2:27" ht="12.75" customHeight="1" thickBot="1" x14ac:dyDescent="0.3">
      <c r="B1067" s="17"/>
      <c r="C1067" s="900"/>
      <c r="D1067" s="157" t="s">
        <v>339</v>
      </c>
      <c r="E1067" s="1511" t="str">
        <f>Translations!$B$753</f>
        <v>Amount of GHG imported or exported as feedstock</v>
      </c>
      <c r="F1067" s="1512"/>
      <c r="G1067" s="1512"/>
      <c r="H1067" s="1512"/>
      <c r="I1067" s="1512"/>
      <c r="J1067" s="1512"/>
      <c r="K1067" s="1512"/>
      <c r="L1067" s="1512"/>
      <c r="M1067" s="1512"/>
      <c r="N1067" s="1513"/>
      <c r="O1067" s="17"/>
    </row>
    <row r="1068" spans="2:27" ht="12.75" customHeight="1" x14ac:dyDescent="0.25">
      <c r="B1068" s="17"/>
      <c r="C1068" s="900"/>
      <c r="D1068" s="157"/>
      <c r="E1068" s="1522"/>
      <c r="F1068" s="1523"/>
      <c r="G1068" s="1523"/>
      <c r="H1068" s="152" t="str">
        <f>EUconst_Unit</f>
        <v>Unit</v>
      </c>
      <c r="I1068" s="153">
        <f>I$1882</f>
        <v>2019</v>
      </c>
      <c r="J1068" s="153">
        <f>J$1882</f>
        <v>2020</v>
      </c>
      <c r="K1068" s="153">
        <f>K$1882</f>
        <v>2021</v>
      </c>
      <c r="L1068" s="153">
        <f>L$1882</f>
        <v>2022</v>
      </c>
      <c r="M1068" s="153">
        <f>M$1882</f>
        <v>2023</v>
      </c>
      <c r="N1068" s="266"/>
      <c r="O1068" s="17"/>
      <c r="R1068" s="459"/>
      <c r="S1068" s="326">
        <f>I1068</f>
        <v>2019</v>
      </c>
      <c r="T1068" s="326">
        <f>J1068</f>
        <v>2020</v>
      </c>
      <c r="U1068" s="326">
        <f>K1068</f>
        <v>2021</v>
      </c>
      <c r="V1068" s="326">
        <f>L1068</f>
        <v>2022</v>
      </c>
      <c r="W1068" s="327">
        <f>M1068</f>
        <v>2023</v>
      </c>
    </row>
    <row r="1069" spans="2:27" ht="12.75" customHeight="1" thickBot="1" x14ac:dyDescent="0.3">
      <c r="B1069" s="17"/>
      <c r="C1069" s="900"/>
      <c r="D1069" s="193"/>
      <c r="E1069" s="1528" t="str">
        <f>Translations!$B$756</f>
        <v>GHG imported or exported</v>
      </c>
      <c r="F1069" s="1528"/>
      <c r="G1069" s="1528"/>
      <c r="H1069" s="154" t="str">
        <f>EUconst_tCO2epa</f>
        <v>t CO2e/year</v>
      </c>
      <c r="I1069" s="311"/>
      <c r="J1069" s="311"/>
      <c r="K1069" s="311"/>
      <c r="L1069" s="311"/>
      <c r="M1069" s="311"/>
      <c r="N1069" s="903"/>
      <c r="O1069" s="17"/>
      <c r="P1069" s="63" t="str">
        <f>EUconst_CNTR_CO2Feedstock &amp; I973</f>
        <v>EmCO2Feedstock_</v>
      </c>
      <c r="R1069" s="460" t="str">
        <f>EUconst_CNTR_AttributedEmissions &amp; I973</f>
        <v>AttrEmissions_</v>
      </c>
      <c r="S1069" s="389" t="str">
        <f>IF(S973,SUM(I1069),"")</f>
        <v/>
      </c>
      <c r="T1069" s="389" t="str">
        <f>IF(T973,SUM(J1069),"")</f>
        <v/>
      </c>
      <c r="U1069" s="389" t="str">
        <f>IF(U973,SUM(K1069),"")</f>
        <v/>
      </c>
      <c r="V1069" s="389" t="str">
        <f>IF(V973,SUM(L1069),"")</f>
        <v/>
      </c>
      <c r="W1069" s="390" t="str">
        <f>IF(W973,SUM(M1069),"")</f>
        <v/>
      </c>
    </row>
    <row r="1070" spans="2:27" ht="12.75" customHeight="1" x14ac:dyDescent="0.25">
      <c r="B1070" s="17"/>
      <c r="C1070" s="900"/>
      <c r="D1070" s="342"/>
      <c r="E1070" s="342"/>
      <c r="F1070" s="342"/>
      <c r="G1070" s="342"/>
      <c r="H1070" s="342"/>
      <c r="I1070" s="342"/>
      <c r="J1070" s="342"/>
      <c r="K1070" s="342"/>
      <c r="L1070" s="342"/>
      <c r="M1070" s="342"/>
      <c r="N1070" s="266"/>
      <c r="O1070" s="17"/>
    </row>
    <row r="1071" spans="2:27" ht="12.75" customHeight="1" x14ac:dyDescent="0.25">
      <c r="B1071" s="17"/>
      <c r="C1071" s="900"/>
      <c r="D1071" s="157" t="s">
        <v>357</v>
      </c>
      <c r="E1071" s="1511" t="str">
        <f>Translations!$B$757</f>
        <v>Measurable heat import to and export from this sub-installation</v>
      </c>
      <c r="F1071" s="1512"/>
      <c r="G1071" s="1512"/>
      <c r="H1071" s="1512"/>
      <c r="I1071" s="1512"/>
      <c r="J1071" s="1512"/>
      <c r="K1071" s="1512"/>
      <c r="L1071" s="1512"/>
      <c r="M1071" s="1512"/>
      <c r="N1071" s="1513"/>
      <c r="O1071" s="17"/>
    </row>
    <row r="1072" spans="2:27" ht="12.75" customHeight="1" thickBot="1" x14ac:dyDescent="0.3">
      <c r="B1072" s="17"/>
      <c r="C1072" s="900"/>
      <c r="D1072" s="342"/>
      <c r="E1072" s="1477" t="str">
        <f>Translations!$B$762</f>
        <v>For attributing emissions from cogeneration (CHP) to production of heat, the "CHP tool" in section D.III. of this template has to be used.</v>
      </c>
      <c r="F1072" s="1477"/>
      <c r="G1072" s="1477"/>
      <c r="H1072" s="1477"/>
      <c r="I1072" s="1477"/>
      <c r="J1072" s="1477"/>
      <c r="K1072" s="1477"/>
      <c r="L1072" s="1477"/>
      <c r="M1072" s="1477"/>
      <c r="N1072" s="903"/>
      <c r="O1072" s="17"/>
    </row>
    <row r="1073" spans="2:27" ht="12.75" customHeight="1" x14ac:dyDescent="0.25">
      <c r="B1073" s="17"/>
      <c r="C1073" s="900"/>
      <c r="D1073" s="342"/>
      <c r="E1073" s="1522" t="str">
        <f>Translations!$B$763</f>
        <v>Total heat imported</v>
      </c>
      <c r="F1073" s="1523"/>
      <c r="G1073" s="1523"/>
      <c r="H1073" s="152" t="str">
        <f>EUconst_Unit</f>
        <v>Unit</v>
      </c>
      <c r="I1073" s="153">
        <f>I$1882</f>
        <v>2019</v>
      </c>
      <c r="J1073" s="153">
        <f>J$1882</f>
        <v>2020</v>
      </c>
      <c r="K1073" s="153">
        <f>K$1882</f>
        <v>2021</v>
      </c>
      <c r="L1073" s="153">
        <f>L$1882</f>
        <v>2022</v>
      </c>
      <c r="M1073" s="153">
        <f>M$1882</f>
        <v>2023</v>
      </c>
      <c r="N1073" s="903"/>
      <c r="O1073" s="17"/>
      <c r="R1073" s="459"/>
      <c r="S1073" s="326">
        <f>I1073</f>
        <v>2019</v>
      </c>
      <c r="T1073" s="326">
        <f>J1073</f>
        <v>2020</v>
      </c>
      <c r="U1073" s="326">
        <f>K1073</f>
        <v>2021</v>
      </c>
      <c r="V1073" s="326">
        <f>L1073</f>
        <v>2022</v>
      </c>
      <c r="W1073" s="327">
        <f>M1073</f>
        <v>2023</v>
      </c>
    </row>
    <row r="1074" spans="2:27" ht="12.75" customHeight="1" x14ac:dyDescent="0.25">
      <c r="B1074" s="17"/>
      <c r="C1074" s="900"/>
      <c r="D1074" s="193" t="s">
        <v>206</v>
      </c>
      <c r="E1074" s="1528" t="str">
        <f>Translations!$B$764</f>
        <v>Net heat imported</v>
      </c>
      <c r="F1074" s="1528"/>
      <c r="G1074" s="1528"/>
      <c r="H1074" s="154" t="str">
        <f>EUconst_TJpa</f>
        <v>TJ / year</v>
      </c>
      <c r="I1074" s="311"/>
      <c r="J1074" s="311"/>
      <c r="K1074" s="311"/>
      <c r="L1074" s="311"/>
      <c r="M1074" s="311"/>
      <c r="N1074" s="277"/>
      <c r="O1074" s="17"/>
      <c r="P1074" s="63" t="str">
        <f>EUconst_CNTR_HeatImport &amp; I973</f>
        <v>HeatIm_</v>
      </c>
      <c r="R1074" s="464" t="str">
        <f>EUconst_ERR_AttrEmBMapplied &amp; I973</f>
        <v>ERR_AttrEmBM_</v>
      </c>
      <c r="S1074" s="63">
        <f>IF(AND(I1074&lt;&gt;0,I1075="",EUconst_StatusOfDataCollection=FALSE),1,0)</f>
        <v>0</v>
      </c>
      <c r="T1074" s="63">
        <f>IF(AND(J1074&lt;&gt;0,J1075="",EUconst_StatusOfDataCollection=FALSE),1,0)</f>
        <v>0</v>
      </c>
      <c r="U1074" s="63">
        <f>IF(AND(K1074&lt;&gt;0,K1075="",EUconst_StatusOfDataCollection=FALSE),1,0)</f>
        <v>0</v>
      </c>
      <c r="V1074" s="63">
        <f>IF(AND(L1074&lt;&gt;0,L1075="",EUconst_StatusOfDataCollection=FALSE),1,0)</f>
        <v>0</v>
      </c>
      <c r="W1074" s="803">
        <f>IF(AND(M1074&lt;&gt;0,M1075="",EUconst_StatusOfDataCollection=FALSE),1,0)</f>
        <v>0</v>
      </c>
      <c r="X1074" s="28"/>
    </row>
    <row r="1075" spans="2:27" ht="12.75" customHeight="1" thickBot="1" x14ac:dyDescent="0.3">
      <c r="B1075" s="17"/>
      <c r="C1075" s="900"/>
      <c r="D1075" s="193" t="s">
        <v>208</v>
      </c>
      <c r="E1075" s="1528" t="str">
        <f>Translations!$B$765</f>
        <v>Specific EF (imported heat)</v>
      </c>
      <c r="F1075" s="1528"/>
      <c r="G1075" s="1528"/>
      <c r="H1075" s="154" t="str">
        <f>EUconst_tCO2pTJ</f>
        <v>t CO2 / TJ</v>
      </c>
      <c r="I1075" s="1065"/>
      <c r="J1075" s="1065"/>
      <c r="K1075" s="1065"/>
      <c r="L1075" s="1065"/>
      <c r="M1075" s="1065"/>
      <c r="N1075" s="266"/>
      <c r="O1075" s="17"/>
      <c r="P1075" s="63" t="str">
        <f>EUconst_CNTR_HeatImportEF &amp; I973</f>
        <v>HeatImEF_</v>
      </c>
      <c r="R1075" s="460" t="str">
        <f>EUconst_CNTR_AttributedEmissions &amp; I973</f>
        <v>AttrEmissions_</v>
      </c>
      <c r="S1075" s="389" t="str">
        <f>IF(S973,SUM(I1074)*IF(ISNUMBER(I1075),I1075,EUconst_HeatBMvalueForBM),"")</f>
        <v/>
      </c>
      <c r="T1075" s="389" t="str">
        <f>IF(T973,SUM(J1074)*IF(ISNUMBER(J1075),J1075,EUconst_HeatBMvalueForBM),"")</f>
        <v/>
      </c>
      <c r="U1075" s="389" t="str">
        <f>IF(U973,SUM(K1074)*IF(ISNUMBER(K1075),K1075,EUconst_HeatBMvalueForBM),"")</f>
        <v/>
      </c>
      <c r="V1075" s="389" t="str">
        <f>IF(V973,SUM(L1074)*IF(ISNUMBER(L1075),L1075,EUconst_HeatBMvalueForBM),"")</f>
        <v/>
      </c>
      <c r="W1075" s="390" t="str">
        <f>IF(W973,SUM(M1074)*IF(ISNUMBER(M1075),M1075,EUconst_HeatBMvalueForBM),"")</f>
        <v/>
      </c>
    </row>
    <row r="1076" spans="2:27" ht="5.0999999999999996" customHeight="1" x14ac:dyDescent="0.25">
      <c r="B1076" s="17"/>
      <c r="C1076" s="900"/>
      <c r="D1076" s="342"/>
      <c r="E1076" s="342"/>
      <c r="F1076" s="342"/>
      <c r="G1076" s="342"/>
      <c r="H1076" s="342"/>
      <c r="I1076" s="342"/>
      <c r="J1076" s="342"/>
      <c r="K1076" s="342"/>
      <c r="L1076" s="342"/>
      <c r="M1076" s="342"/>
      <c r="N1076" s="266"/>
      <c r="O1076" s="17"/>
    </row>
    <row r="1077" spans="2:27" ht="12.75" customHeight="1" x14ac:dyDescent="0.25">
      <c r="B1077" s="17"/>
      <c r="C1077" s="900"/>
      <c r="D1077" s="342"/>
      <c r="E1077" s="1522" t="str">
        <f>Translations!$B$766</f>
        <v>Special heat import</v>
      </c>
      <c r="F1077" s="1522"/>
      <c r="G1077" s="1522"/>
      <c r="H1077" s="152" t="str">
        <f>EUconst_Unit</f>
        <v>Unit</v>
      </c>
      <c r="I1077" s="153">
        <f>I$1882</f>
        <v>2019</v>
      </c>
      <c r="J1077" s="153">
        <f>J$1882</f>
        <v>2020</v>
      </c>
      <c r="K1077" s="153">
        <f>K$1882</f>
        <v>2021</v>
      </c>
      <c r="L1077" s="153">
        <f>L$1882</f>
        <v>2022</v>
      </c>
      <c r="M1077" s="153">
        <f>M$1882</f>
        <v>2023</v>
      </c>
      <c r="N1077" s="903"/>
      <c r="O1077" s="17"/>
    </row>
    <row r="1078" spans="2:27" ht="12.75" customHeight="1" x14ac:dyDescent="0.25">
      <c r="B1078" s="17"/>
      <c r="C1078" s="900"/>
      <c r="D1078" s="193" t="s">
        <v>209</v>
      </c>
      <c r="E1078" s="1528" t="str">
        <f>Translations!$B$820</f>
        <v>Net heat imported from pulp</v>
      </c>
      <c r="F1078" s="1528"/>
      <c r="G1078" s="1528"/>
      <c r="H1078" s="154" t="str">
        <f>EUconst_TJpa</f>
        <v>TJ / year</v>
      </c>
      <c r="I1078" s="948"/>
      <c r="J1078" s="948"/>
      <c r="K1078" s="948"/>
      <c r="L1078" s="948"/>
      <c r="M1078" s="948"/>
      <c r="N1078" s="277"/>
      <c r="O1078" s="17"/>
      <c r="P1078" s="63" t="str">
        <f>EUconst_CNTR_HeatImportPulp &amp; I973</f>
        <v>HeatImPulp_</v>
      </c>
    </row>
    <row r="1079" spans="2:27" ht="12.75" customHeight="1" x14ac:dyDescent="0.25">
      <c r="B1079" s="17"/>
      <c r="C1079" s="900"/>
      <c r="D1079" s="193" t="s">
        <v>210</v>
      </c>
      <c r="E1079" s="1528" t="str">
        <f>Translations!$B$768</f>
        <v>Net heat imported from nitric acid sub-installation</v>
      </c>
      <c r="F1079" s="1528"/>
      <c r="G1079" s="1528"/>
      <c r="H1079" s="154" t="str">
        <f>EUconst_TJpa</f>
        <v>TJ / year</v>
      </c>
      <c r="I1079" s="311"/>
      <c r="J1079" s="311"/>
      <c r="K1079" s="311"/>
      <c r="L1079" s="311"/>
      <c r="M1079" s="311"/>
      <c r="N1079" s="277"/>
      <c r="O1079" s="17"/>
      <c r="P1079" s="63" t="str">
        <f>EUconst_CNTR_HeatImportNitric &amp; I973</f>
        <v>HeatImNitric_</v>
      </c>
    </row>
    <row r="1080" spans="2:27" ht="5.0999999999999996" customHeight="1" thickBot="1" x14ac:dyDescent="0.3">
      <c r="B1080" s="17"/>
      <c r="C1080" s="900"/>
      <c r="D1080" s="342"/>
      <c r="E1080" s="342"/>
      <c r="F1080" s="342"/>
      <c r="G1080" s="342"/>
      <c r="H1080" s="342"/>
      <c r="I1080" s="342"/>
      <c r="J1080" s="342"/>
      <c r="K1080" s="342"/>
      <c r="L1080" s="342"/>
      <c r="M1080" s="342"/>
      <c r="N1080" s="266"/>
      <c r="O1080" s="17"/>
    </row>
    <row r="1081" spans="2:27" ht="12.75" customHeight="1" x14ac:dyDescent="0.25">
      <c r="B1081" s="17"/>
      <c r="C1081" s="900"/>
      <c r="D1081" s="342"/>
      <c r="E1081" s="1522" t="str">
        <f>Translations!$B$769</f>
        <v>Total heat exported</v>
      </c>
      <c r="F1081" s="1522"/>
      <c r="G1081" s="1522"/>
      <c r="H1081" s="152" t="str">
        <f>EUconst_Unit</f>
        <v>Unit</v>
      </c>
      <c r="I1081" s="153">
        <f>I$1882</f>
        <v>2019</v>
      </c>
      <c r="J1081" s="153">
        <f>J$1882</f>
        <v>2020</v>
      </c>
      <c r="K1081" s="153">
        <f>K$1882</f>
        <v>2021</v>
      </c>
      <c r="L1081" s="153">
        <f>L$1882</f>
        <v>2022</v>
      </c>
      <c r="M1081" s="153">
        <f>M$1882</f>
        <v>2023</v>
      </c>
      <c r="N1081" s="903"/>
      <c r="O1081" s="17"/>
      <c r="R1081" s="459"/>
      <c r="S1081" s="326">
        <f>I1081</f>
        <v>2019</v>
      </c>
      <c r="T1081" s="326">
        <f>J1081</f>
        <v>2020</v>
      </c>
      <c r="U1081" s="326">
        <f>K1081</f>
        <v>2021</v>
      </c>
      <c r="V1081" s="326">
        <f>L1081</f>
        <v>2022</v>
      </c>
      <c r="W1081" s="327">
        <f>M1081</f>
        <v>2023</v>
      </c>
    </row>
    <row r="1082" spans="2:27" ht="12.75" customHeight="1" x14ac:dyDescent="0.25">
      <c r="B1082" s="17"/>
      <c r="C1082" s="900"/>
      <c r="D1082" s="193" t="s">
        <v>220</v>
      </c>
      <c r="E1082" s="1528" t="str">
        <f>Translations!$B$770</f>
        <v>Net heat exported</v>
      </c>
      <c r="F1082" s="1528"/>
      <c r="G1082" s="1528"/>
      <c r="H1082" s="154" t="str">
        <f>EUconst_TJpa</f>
        <v>TJ / year</v>
      </c>
      <c r="I1082" s="311"/>
      <c r="J1082" s="311"/>
      <c r="K1082" s="311"/>
      <c r="L1082" s="311"/>
      <c r="M1082" s="311"/>
      <c r="N1082" s="277"/>
      <c r="O1082" s="17"/>
      <c r="P1082" s="63" t="str">
        <f>EUconst_CNTR_HeatExport &amp; I973</f>
        <v>HeatEx_</v>
      </c>
      <c r="R1082" s="464" t="str">
        <f>EUconst_ERR_AttrEmBMapplied &amp; I973</f>
        <v>ERR_AttrEmBM_</v>
      </c>
      <c r="S1082" s="63">
        <f>IF(AND(I1082&lt;&gt;0,I1083="",EUconst_StatusOfDataCollection=FALSE),1,0)</f>
        <v>0</v>
      </c>
      <c r="T1082" s="63">
        <f>IF(AND(J1082&lt;&gt;0,J1083="",EUconst_StatusOfDataCollection=FALSE),1,0)</f>
        <v>0</v>
      </c>
      <c r="U1082" s="63">
        <f>IF(AND(K1082&lt;&gt;0,K1083="",EUconst_StatusOfDataCollection=FALSE),1,0)</f>
        <v>0</v>
      </c>
      <c r="V1082" s="63">
        <f>IF(AND(L1082&lt;&gt;0,L1083="",EUconst_StatusOfDataCollection=FALSE),1,0)</f>
        <v>0</v>
      </c>
      <c r="W1082" s="803">
        <f>IF(AND(M1082&lt;&gt;0,M1083="",EUconst_StatusOfDataCollection=FALSE),1,0)</f>
        <v>0</v>
      </c>
    </row>
    <row r="1083" spans="2:27" ht="12.75" customHeight="1" thickBot="1" x14ac:dyDescent="0.3">
      <c r="B1083" s="17"/>
      <c r="C1083" s="900"/>
      <c r="D1083" s="193" t="s">
        <v>221</v>
      </c>
      <c r="E1083" s="1528" t="str">
        <f>Translations!$B$771</f>
        <v>Specific EF (exported heat)</v>
      </c>
      <c r="F1083" s="1528"/>
      <c r="G1083" s="1528"/>
      <c r="H1083" s="154" t="str">
        <f>EUconst_tCO2pTJ</f>
        <v>t CO2 / TJ</v>
      </c>
      <c r="I1083" s="1065"/>
      <c r="J1083" s="1065"/>
      <c r="K1083" s="1065"/>
      <c r="L1083" s="1065"/>
      <c r="M1083" s="1065"/>
      <c r="N1083" s="266"/>
      <c r="O1083" s="17"/>
      <c r="P1083" s="63" t="str">
        <f>EUconst_CNTR_HeatExportEF &amp; I973</f>
        <v>HeatExEF_</v>
      </c>
      <c r="R1083" s="460" t="str">
        <f>EUconst_CNTR_AttributedEmissions &amp; I973</f>
        <v>AttrEmissions_</v>
      </c>
      <c r="S1083" s="389" t="str">
        <f>IF(S973,-SUM(I1082)*IF(INDEX(EUconst_BMlistNumberOfBM,MATCH($I973,EUconst_BMlistNames,0))=39,0,IF(ISNUMBER(I1083),I1083,EUconst_HeatBMvalueForBM)),"")</f>
        <v/>
      </c>
      <c r="T1083" s="389" t="str">
        <f>IF(T973,-SUM(J1082)*IF(INDEX(EUconst_BMlistNumberOfBM,MATCH($I973,EUconst_BMlistNames,0))=39,0,IF(ISNUMBER(J1083),J1083,EUconst_HeatBMvalueForBM)),"")</f>
        <v/>
      </c>
      <c r="U1083" s="389" t="str">
        <f>IF(U973,-SUM(K1082)*IF(INDEX(EUconst_BMlistNumberOfBM,MATCH($I973,EUconst_BMlistNames,0))=39,0,IF(ISNUMBER(K1083),K1083,EUconst_HeatBMvalueForBM)),"")</f>
        <v/>
      </c>
      <c r="V1083" s="389" t="str">
        <f>IF(V973,-SUM(L1082)*IF(INDEX(EUconst_BMlistNumberOfBM,MATCH($I973,EUconst_BMlistNames,0))=39,0,IF(ISNUMBER(L1083),L1083,EUconst_HeatBMvalueForBM)),"")</f>
        <v/>
      </c>
      <c r="W1083" s="390" t="str">
        <f>IF(W973,-SUM(M1082)*IF(INDEX(EUconst_BMlistNumberOfBM,MATCH($I973,EUconst_BMlistNames,0))=39,0,IF(ISNUMBER(M1083),M1083,EUconst_HeatBMvalueForBM)),"")</f>
        <v/>
      </c>
    </row>
    <row r="1084" spans="2:27" ht="12.75" customHeight="1" x14ac:dyDescent="0.25">
      <c r="B1084" s="17"/>
      <c r="C1084" s="900"/>
      <c r="D1084" s="342"/>
      <c r="E1084" s="342"/>
      <c r="F1084" s="342"/>
      <c r="G1084" s="342"/>
      <c r="H1084" s="342"/>
      <c r="I1084" s="342"/>
      <c r="J1084" s="342"/>
      <c r="K1084" s="342"/>
      <c r="L1084" s="342"/>
      <c r="M1084" s="342"/>
      <c r="N1084" s="266"/>
      <c r="O1084" s="17"/>
    </row>
    <row r="1085" spans="2:27" ht="12.75" customHeight="1" x14ac:dyDescent="0.25">
      <c r="B1085" s="17"/>
      <c r="C1085" s="900"/>
      <c r="D1085" s="157" t="s">
        <v>358</v>
      </c>
      <c r="E1085" s="1511" t="str">
        <f>Translations!$B$772</f>
        <v>Waste gas balance for this sub-installation</v>
      </c>
      <c r="F1085" s="1512"/>
      <c r="G1085" s="1512"/>
      <c r="H1085" s="1512"/>
      <c r="I1085" s="1512"/>
      <c r="J1085" s="1512"/>
      <c r="K1085" s="1512"/>
      <c r="L1085" s="1512"/>
      <c r="M1085" s="1512"/>
      <c r="N1085" s="1513"/>
      <c r="O1085" s="17"/>
    </row>
    <row r="1086" spans="2:27" ht="5.0999999999999996" customHeight="1" thickBot="1" x14ac:dyDescent="0.3">
      <c r="B1086" s="17"/>
      <c r="C1086" s="900"/>
      <c r="D1086" s="342"/>
      <c r="E1086" s="1533"/>
      <c r="F1086" s="1533"/>
      <c r="G1086" s="1533"/>
      <c r="H1086" s="1533"/>
      <c r="I1086" s="1533"/>
      <c r="J1086" s="1533"/>
      <c r="K1086" s="1533"/>
      <c r="L1086" s="1533"/>
      <c r="M1086" s="1533"/>
      <c r="N1086" s="1537"/>
      <c r="O1086" s="17"/>
    </row>
    <row r="1087" spans="2:27" ht="12.75" customHeight="1" thickBot="1" x14ac:dyDescent="0.3">
      <c r="B1087" s="17"/>
      <c r="C1087" s="900"/>
      <c r="D1087" s="193" t="s">
        <v>206</v>
      </c>
      <c r="E1087" s="1538" t="str">
        <f>Translations!$B$773</f>
        <v>Are waste gases relevant for this sub-installation?</v>
      </c>
      <c r="F1087" s="1538"/>
      <c r="G1087" s="1538"/>
      <c r="H1087" s="1538"/>
      <c r="I1087" s="1538"/>
      <c r="J1087" s="1538"/>
      <c r="K1087" s="1539"/>
      <c r="L1087" s="194"/>
      <c r="M1087" s="762"/>
      <c r="N1087" s="763"/>
      <c r="O1087" s="17"/>
      <c r="W1087" s="288" t="s">
        <v>418</v>
      </c>
      <c r="X1087" s="215" t="b">
        <f>IF(AND(I973&lt;&gt;"",ISBLANK(L1087)),EUconst_Error&amp;"BM"&amp;C973,FALSE)</f>
        <v>0</v>
      </c>
    </row>
    <row r="1088" spans="2:27" ht="5.0999999999999996" customHeight="1" thickBot="1" x14ac:dyDescent="0.3">
      <c r="B1088" s="17"/>
      <c r="C1088" s="900"/>
      <c r="D1088" s="342"/>
      <c r="E1088" s="1533"/>
      <c r="F1088" s="1512"/>
      <c r="G1088" s="1512"/>
      <c r="H1088" s="1512"/>
      <c r="I1088" s="1512"/>
      <c r="J1088" s="1512"/>
      <c r="K1088" s="1512"/>
      <c r="L1088" s="1512"/>
      <c r="M1088" s="1512"/>
      <c r="N1088" s="1513"/>
      <c r="O1088" s="17"/>
      <c r="AA1088" s="145" t="s">
        <v>396</v>
      </c>
    </row>
    <row r="1089" spans="2:27" ht="12.75" customHeight="1" x14ac:dyDescent="0.25">
      <c r="B1089" s="17"/>
      <c r="C1089" s="900"/>
      <c r="D1089" s="193" t="s">
        <v>208</v>
      </c>
      <c r="E1089" s="1529" t="str">
        <f>Translations!$B$775</f>
        <v>Types of waste gases produced:</v>
      </c>
      <c r="F1089" s="1529"/>
      <c r="G1089" s="1529"/>
      <c r="H1089" s="1529"/>
      <c r="I1089" s="1530"/>
      <c r="J1089" s="1531"/>
      <c r="K1089" s="1531"/>
      <c r="L1089" s="1531"/>
      <c r="M1089" s="1532"/>
      <c r="N1089" s="763"/>
      <c r="O1089" s="17"/>
      <c r="AA1089" s="316" t="b">
        <f>IF(I973&lt;&gt;"",AND(L1087&lt;&gt;"",L1087=FALSE),FALSE)</f>
        <v>0</v>
      </c>
    </row>
    <row r="1090" spans="2:27" ht="5.0999999999999996" customHeight="1" x14ac:dyDescent="0.25">
      <c r="B1090" s="17"/>
      <c r="C1090" s="900"/>
      <c r="D1090" s="342"/>
      <c r="E1090" s="1533"/>
      <c r="F1090" s="1512"/>
      <c r="G1090" s="1512"/>
      <c r="H1090" s="1512"/>
      <c r="I1090" s="1512"/>
      <c r="J1090" s="1512"/>
      <c r="K1090" s="1512"/>
      <c r="L1090" s="1512"/>
      <c r="M1090" s="1512"/>
      <c r="N1090" s="1513"/>
      <c r="O1090" s="17"/>
      <c r="AA1090" s="815"/>
    </row>
    <row r="1091" spans="2:27" ht="12.75" customHeight="1" x14ac:dyDescent="0.25">
      <c r="B1091" s="17"/>
      <c r="C1091" s="900"/>
      <c r="D1091" s="342"/>
      <c r="E1091" s="1522"/>
      <c r="F1091" s="1523"/>
      <c r="G1091" s="1523"/>
      <c r="H1091" s="152" t="str">
        <f>EUconst_Unit</f>
        <v>Unit</v>
      </c>
      <c r="I1091" s="153">
        <f>I$1882</f>
        <v>2019</v>
      </c>
      <c r="J1091" s="153">
        <f>J$1882</f>
        <v>2020</v>
      </c>
      <c r="K1091" s="153">
        <f>K$1882</f>
        <v>2021</v>
      </c>
      <c r="L1091" s="153">
        <f>L$1882</f>
        <v>2022</v>
      </c>
      <c r="M1091" s="153">
        <f>M$1882</f>
        <v>2023</v>
      </c>
      <c r="N1091" s="903"/>
      <c r="O1091" s="17"/>
      <c r="AA1091" s="815"/>
    </row>
    <row r="1092" spans="2:27" ht="12.75" customHeight="1" x14ac:dyDescent="0.25">
      <c r="B1092" s="17"/>
      <c r="C1092" s="900"/>
      <c r="D1092" s="193" t="s">
        <v>209</v>
      </c>
      <c r="E1092" s="1526" t="str">
        <f>Translations!$B$777</f>
        <v>Amounts produced</v>
      </c>
      <c r="F1092" s="1526"/>
      <c r="G1092" s="1526"/>
      <c r="H1092" s="949" t="s">
        <v>427</v>
      </c>
      <c r="I1092" s="889"/>
      <c r="J1092" s="889"/>
      <c r="K1092" s="889"/>
      <c r="L1092" s="889"/>
      <c r="M1092" s="889"/>
      <c r="N1092" s="903"/>
      <c r="O1092" s="17"/>
      <c r="AA1092" s="285" t="b">
        <f>AA1089</f>
        <v>0</v>
      </c>
    </row>
    <row r="1093" spans="2:27" ht="12.75" customHeight="1" x14ac:dyDescent="0.25">
      <c r="B1093" s="17"/>
      <c r="C1093" s="900"/>
      <c r="D1093" s="193" t="s">
        <v>210</v>
      </c>
      <c r="E1093" s="1527" t="str">
        <f>Translations!$B$470</f>
        <v>Net calorific value</v>
      </c>
      <c r="F1093" s="1527"/>
      <c r="G1093" s="1527"/>
      <c r="H1093" s="950" t="str">
        <f>IF(ISBLANK(H1092),EUconst_GJperUnit,INDEX(EUconst_GJperTorKNm3,MATCH(H1092,EUconst_TonnesOrkNm3pa,0)))</f>
        <v>GJ/1000Nm3</v>
      </c>
      <c r="I1093" s="895"/>
      <c r="J1093" s="895"/>
      <c r="K1093" s="895"/>
      <c r="L1093" s="895"/>
      <c r="M1093" s="895"/>
      <c r="N1093" s="903"/>
      <c r="O1093" s="17"/>
      <c r="AA1093" s="285" t="b">
        <f>AA1092</f>
        <v>0</v>
      </c>
    </row>
    <row r="1094" spans="2:27" ht="12.75" customHeight="1" x14ac:dyDescent="0.25">
      <c r="B1094" s="17"/>
      <c r="C1094" s="900"/>
      <c r="D1094" s="193" t="s">
        <v>220</v>
      </c>
      <c r="E1094" s="1528" t="str">
        <f>Translations!$B$778</f>
        <v>Waste gas produced</v>
      </c>
      <c r="F1094" s="1528"/>
      <c r="G1094" s="1528"/>
      <c r="H1094" s="154" t="str">
        <f>EUconst_TJpa</f>
        <v>TJ / year</v>
      </c>
      <c r="I1094" s="951" t="str">
        <f>IF(COUNT(I1092:I1093)=2,I1092*I1093/1000,"")</f>
        <v/>
      </c>
      <c r="J1094" s="951" t="str">
        <f>IF(COUNT(J1092:J1093)=2,J1092*J1093/1000,"")</f>
        <v/>
      </c>
      <c r="K1094" s="951" t="str">
        <f>IF(COUNT(K1092:K1093)=2,K1092*K1093/1000,"")</f>
        <v/>
      </c>
      <c r="L1094" s="951" t="str">
        <f>IF(COUNT(L1092:L1093)=2,L1092*L1093/1000,"")</f>
        <v/>
      </c>
      <c r="M1094" s="951" t="str">
        <f>IF(COUNT(M1092:M1093)=2,M1092*M1093/1000,"")</f>
        <v/>
      </c>
      <c r="N1094" s="903"/>
      <c r="O1094" s="17"/>
      <c r="P1094" s="63" t="str">
        <f>EUconst_CNTR_WGProduced &amp; I973</f>
        <v>WasteGasProd_</v>
      </c>
      <c r="AA1094" s="815"/>
    </row>
    <row r="1095" spans="2:27" ht="12.75" customHeight="1" x14ac:dyDescent="0.25">
      <c r="B1095" s="17"/>
      <c r="C1095" s="900"/>
      <c r="D1095" s="193" t="s">
        <v>221</v>
      </c>
      <c r="E1095" s="1528" t="str">
        <f>Translations!$B$779</f>
        <v>Specific EF (produced waste gas)</v>
      </c>
      <c r="F1095" s="1528"/>
      <c r="G1095" s="1528"/>
      <c r="H1095" s="154" t="str">
        <f>EUconst_tCO2pTJ</f>
        <v>t CO2 / TJ</v>
      </c>
      <c r="I1095" s="311"/>
      <c r="J1095" s="311"/>
      <c r="K1095" s="311"/>
      <c r="L1095" s="311"/>
      <c r="M1095" s="311"/>
      <c r="N1095" s="266"/>
      <c r="O1095" s="17"/>
      <c r="P1095" s="63" t="str">
        <f>EUconst_CNTR_WGProducedEF &amp; I973</f>
        <v>WasteGasProdEF_</v>
      </c>
      <c r="AA1095" s="285" t="b">
        <f>AA1093</f>
        <v>0</v>
      </c>
    </row>
    <row r="1096" spans="2:27" ht="12.75" customHeight="1" x14ac:dyDescent="0.25">
      <c r="B1096" s="17"/>
      <c r="C1096" s="900"/>
      <c r="D1096" s="342"/>
      <c r="E1096" s="342"/>
      <c r="F1096" s="342"/>
      <c r="G1096" s="342"/>
      <c r="H1096" s="342"/>
      <c r="I1096" s="342"/>
      <c r="J1096" s="342"/>
      <c r="K1096" s="342"/>
      <c r="L1096" s="342"/>
      <c r="M1096" s="342"/>
      <c r="N1096" s="266"/>
      <c r="O1096" s="17"/>
      <c r="AA1096" s="815"/>
    </row>
    <row r="1097" spans="2:27" ht="12.75" customHeight="1" x14ac:dyDescent="0.25">
      <c r="B1097" s="17"/>
      <c r="C1097" s="900"/>
      <c r="D1097" s="193" t="s">
        <v>222</v>
      </c>
      <c r="E1097" s="1529" t="str">
        <f>Translations!$B$780</f>
        <v>Types of waste gases consumed:</v>
      </c>
      <c r="F1097" s="1529"/>
      <c r="G1097" s="1529"/>
      <c r="H1097" s="1529"/>
      <c r="I1097" s="1530"/>
      <c r="J1097" s="1531"/>
      <c r="K1097" s="1531"/>
      <c r="L1097" s="1531"/>
      <c r="M1097" s="1532"/>
      <c r="N1097" s="763"/>
      <c r="O1097" s="17"/>
      <c r="AA1097" s="285" t="b">
        <f>AA1095</f>
        <v>0</v>
      </c>
    </row>
    <row r="1098" spans="2:27" ht="5.0999999999999996" customHeight="1" x14ac:dyDescent="0.25">
      <c r="B1098" s="17"/>
      <c r="C1098" s="900"/>
      <c r="D1098" s="193"/>
      <c r="E1098" s="1533"/>
      <c r="F1098" s="1512"/>
      <c r="G1098" s="1512"/>
      <c r="H1098" s="1512"/>
      <c r="I1098" s="1512"/>
      <c r="J1098" s="1512"/>
      <c r="K1098" s="1512"/>
      <c r="L1098" s="1512"/>
      <c r="M1098" s="1512"/>
      <c r="N1098" s="1513"/>
      <c r="O1098" s="17"/>
      <c r="AA1098" s="815"/>
    </row>
    <row r="1099" spans="2:27" ht="12.75" customHeight="1" x14ac:dyDescent="0.25">
      <c r="B1099" s="17"/>
      <c r="C1099" s="900"/>
      <c r="D1099" s="342"/>
      <c r="E1099" s="1522"/>
      <c r="F1099" s="1523"/>
      <c r="G1099" s="1523"/>
      <c r="H1099" s="152" t="str">
        <f>EUconst_Unit</f>
        <v>Unit</v>
      </c>
      <c r="I1099" s="153">
        <f>I$1882</f>
        <v>2019</v>
      </c>
      <c r="J1099" s="153">
        <f>J$1882</f>
        <v>2020</v>
      </c>
      <c r="K1099" s="153">
        <f>K$1882</f>
        <v>2021</v>
      </c>
      <c r="L1099" s="153">
        <f>L$1882</f>
        <v>2022</v>
      </c>
      <c r="M1099" s="153">
        <f>M$1882</f>
        <v>2023</v>
      </c>
      <c r="N1099" s="903"/>
      <c r="O1099" s="17"/>
      <c r="AA1099" s="815"/>
    </row>
    <row r="1100" spans="2:27" ht="12.75" customHeight="1" x14ac:dyDescent="0.25">
      <c r="B1100" s="17"/>
      <c r="C1100" s="900"/>
      <c r="D1100" s="193" t="s">
        <v>223</v>
      </c>
      <c r="E1100" s="1526" t="str">
        <f>Translations!$B$782</f>
        <v>Amounts consumed</v>
      </c>
      <c r="F1100" s="1526"/>
      <c r="G1100" s="1526"/>
      <c r="H1100" s="949" t="s">
        <v>427</v>
      </c>
      <c r="I1100" s="889"/>
      <c r="J1100" s="889"/>
      <c r="K1100" s="889"/>
      <c r="L1100" s="889"/>
      <c r="M1100" s="889"/>
      <c r="N1100" s="903"/>
      <c r="O1100" s="17"/>
      <c r="AA1100" s="285" t="b">
        <f>AA1097</f>
        <v>0</v>
      </c>
    </row>
    <row r="1101" spans="2:27" ht="12.75" customHeight="1" x14ac:dyDescent="0.25">
      <c r="B1101" s="17"/>
      <c r="C1101" s="900"/>
      <c r="D1101" s="193" t="s">
        <v>224</v>
      </c>
      <c r="E1101" s="1527" t="str">
        <f>Translations!$B$470</f>
        <v>Net calorific value</v>
      </c>
      <c r="F1101" s="1527"/>
      <c r="G1101" s="1527"/>
      <c r="H1101" s="950" t="str">
        <f>IF(ISBLANK(H1100),EUconst_GJperUnit,INDEX(EUconst_GJperTorKNm3,MATCH(H1100,EUconst_TonnesOrkNm3pa,0)))</f>
        <v>GJ/1000Nm3</v>
      </c>
      <c r="I1101" s="895"/>
      <c r="J1101" s="895"/>
      <c r="K1101" s="895"/>
      <c r="L1101" s="895"/>
      <c r="M1101" s="895"/>
      <c r="N1101" s="903"/>
      <c r="O1101" s="17"/>
      <c r="AA1101" s="285" t="b">
        <f>AA1100</f>
        <v>0</v>
      </c>
    </row>
    <row r="1102" spans="2:27" ht="12.75" customHeight="1" x14ac:dyDescent="0.25">
      <c r="B1102" s="17"/>
      <c r="C1102" s="900"/>
      <c r="D1102" s="193" t="s">
        <v>345</v>
      </c>
      <c r="E1102" s="1528" t="str">
        <f>Translations!$B$783</f>
        <v>Waste gas consumed</v>
      </c>
      <c r="F1102" s="1528"/>
      <c r="G1102" s="1528"/>
      <c r="H1102" s="154" t="str">
        <f>EUconst_TJpa</f>
        <v>TJ / year</v>
      </c>
      <c r="I1102" s="951" t="str">
        <f>IF(COUNT(I1100:I1101)=2,I1100*I1101/1000,"")</f>
        <v/>
      </c>
      <c r="J1102" s="951" t="str">
        <f>IF(COUNT(J1100:J1101)=2,J1100*J1101/1000,"")</f>
        <v/>
      </c>
      <c r="K1102" s="951" t="str">
        <f>IF(COUNT(K1100:K1101)=2,K1100*K1101/1000,"")</f>
        <v/>
      </c>
      <c r="L1102" s="951" t="str">
        <f>IF(COUNT(L1100:L1101)=2,L1100*L1101/1000,"")</f>
        <v/>
      </c>
      <c r="M1102" s="951" t="str">
        <f>IF(COUNT(M1100:M1101)=2,M1100*M1101/1000,"")</f>
        <v/>
      </c>
      <c r="N1102" s="903"/>
      <c r="O1102" s="17"/>
      <c r="P1102" s="63" t="str">
        <f>EUconst_CNTR_WGConsumed &amp; I973</f>
        <v>WasteGasCons_</v>
      </c>
      <c r="AA1102" s="815"/>
    </row>
    <row r="1103" spans="2:27" ht="12.75" customHeight="1" x14ac:dyDescent="0.25">
      <c r="B1103" s="17"/>
      <c r="C1103" s="900"/>
      <c r="D1103" s="193" t="s">
        <v>346</v>
      </c>
      <c r="E1103" s="1528" t="str">
        <f>Translations!$B$784</f>
        <v>Specific EF (consumed waste gas)</v>
      </c>
      <c r="F1103" s="1528"/>
      <c r="G1103" s="1528"/>
      <c r="H1103" s="154" t="str">
        <f>EUconst_tCO2pTJ</f>
        <v>t CO2 / TJ</v>
      </c>
      <c r="I1103" s="311"/>
      <c r="J1103" s="311"/>
      <c r="K1103" s="311"/>
      <c r="L1103" s="311"/>
      <c r="M1103" s="311"/>
      <c r="N1103" s="266"/>
      <c r="O1103" s="17"/>
      <c r="P1103" s="63" t="str">
        <f>EUconst_CNTR_WGConsumedEF &amp; I973</f>
        <v>WasteGasConsEF_</v>
      </c>
      <c r="AA1103" s="285" t="b">
        <f>AA1101</f>
        <v>0</v>
      </c>
    </row>
    <row r="1104" spans="2:27" ht="12.75" customHeight="1" x14ac:dyDescent="0.25">
      <c r="B1104" s="17"/>
      <c r="C1104" s="900"/>
      <c r="D1104" s="342"/>
      <c r="E1104" s="342"/>
      <c r="F1104" s="342"/>
      <c r="G1104" s="342"/>
      <c r="H1104" s="342"/>
      <c r="I1104" s="342"/>
      <c r="J1104" s="342"/>
      <c r="K1104" s="342"/>
      <c r="L1104" s="342"/>
      <c r="M1104" s="342"/>
      <c r="N1104" s="266"/>
      <c r="O1104" s="17"/>
      <c r="AA1104" s="815"/>
    </row>
    <row r="1105" spans="2:27" ht="12.75" customHeight="1" x14ac:dyDescent="0.25">
      <c r="B1105" s="17"/>
      <c r="C1105" s="900"/>
      <c r="D1105" s="193" t="s">
        <v>347</v>
      </c>
      <c r="E1105" s="1529" t="str">
        <f>Translations!$B$785</f>
        <v>Types of waste gases flared:</v>
      </c>
      <c r="F1105" s="1529"/>
      <c r="G1105" s="1529"/>
      <c r="H1105" s="1529"/>
      <c r="I1105" s="1530"/>
      <c r="J1105" s="1531"/>
      <c r="K1105" s="1531"/>
      <c r="L1105" s="1531"/>
      <c r="M1105" s="1532"/>
      <c r="N1105" s="763"/>
      <c r="O1105" s="17"/>
      <c r="AA1105" s="285" t="b">
        <f>AA1095</f>
        <v>0</v>
      </c>
    </row>
    <row r="1106" spans="2:27" ht="5.0999999999999996" customHeight="1" x14ac:dyDescent="0.25">
      <c r="B1106" s="17"/>
      <c r="C1106" s="900"/>
      <c r="D1106" s="193"/>
      <c r="E1106" s="1533"/>
      <c r="F1106" s="1512"/>
      <c r="G1106" s="1512"/>
      <c r="H1106" s="1512"/>
      <c r="I1106" s="1512"/>
      <c r="J1106" s="1512"/>
      <c r="K1106" s="1512"/>
      <c r="L1106" s="1512"/>
      <c r="M1106" s="1512"/>
      <c r="N1106" s="1513"/>
      <c r="O1106" s="17"/>
      <c r="AA1106" s="815"/>
    </row>
    <row r="1107" spans="2:27" ht="12.75" customHeight="1" x14ac:dyDescent="0.25">
      <c r="B1107" s="17"/>
      <c r="C1107" s="900"/>
      <c r="D1107" s="342"/>
      <c r="E1107" s="1522"/>
      <c r="F1107" s="1523"/>
      <c r="G1107" s="1523"/>
      <c r="H1107" s="152" t="str">
        <f>EUconst_Unit</f>
        <v>Unit</v>
      </c>
      <c r="I1107" s="153">
        <f>I$1882</f>
        <v>2019</v>
      </c>
      <c r="J1107" s="153">
        <f>J$1882</f>
        <v>2020</v>
      </c>
      <c r="K1107" s="153">
        <f>K$1882</f>
        <v>2021</v>
      </c>
      <c r="L1107" s="153">
        <f>L$1882</f>
        <v>2022</v>
      </c>
      <c r="M1107" s="153">
        <f>M$1882</f>
        <v>2023</v>
      </c>
      <c r="N1107" s="903"/>
      <c r="O1107" s="17"/>
      <c r="AA1107" s="815"/>
    </row>
    <row r="1108" spans="2:27" ht="12.75" customHeight="1" thickBot="1" x14ac:dyDescent="0.3">
      <c r="B1108" s="17"/>
      <c r="C1108" s="900"/>
      <c r="D1108" s="193" t="s">
        <v>355</v>
      </c>
      <c r="E1108" s="1526" t="str">
        <f>Translations!$B$789</f>
        <v>Amounts flared</v>
      </c>
      <c r="F1108" s="1526"/>
      <c r="G1108" s="1526"/>
      <c r="H1108" s="949" t="s">
        <v>427</v>
      </c>
      <c r="I1108" s="889"/>
      <c r="J1108" s="889"/>
      <c r="K1108" s="889"/>
      <c r="L1108" s="889"/>
      <c r="M1108" s="889"/>
      <c r="N1108" s="903"/>
      <c r="O1108" s="17"/>
      <c r="R1108" s="145" t="s">
        <v>428</v>
      </c>
      <c r="AA1108" s="285" t="b">
        <f>AA1105</f>
        <v>0</v>
      </c>
    </row>
    <row r="1109" spans="2:27" ht="12.75" customHeight="1" thickBot="1" x14ac:dyDescent="0.3">
      <c r="B1109" s="17"/>
      <c r="C1109" s="900"/>
      <c r="D1109" s="193" t="s">
        <v>356</v>
      </c>
      <c r="E1109" s="1527" t="str">
        <f>Translations!$B$470</f>
        <v>Net calorific value</v>
      </c>
      <c r="F1109" s="1527"/>
      <c r="G1109" s="1527"/>
      <c r="H1109" s="950" t="str">
        <f>IF(ISBLANK(H1108),EUconst_GJperUnit,INDEX(EUconst_GJperTorKNm3,MATCH(H1108,EUconst_TonnesOrkNm3pa,0)))</f>
        <v>GJ/1000Nm3</v>
      </c>
      <c r="I1109" s="895"/>
      <c r="J1109" s="895"/>
      <c r="K1109" s="895"/>
      <c r="L1109" s="895"/>
      <c r="M1109" s="895"/>
      <c r="N1109" s="903"/>
      <c r="O1109" s="17"/>
      <c r="R1109" s="283" t="s">
        <v>399</v>
      </c>
      <c r="S1109" s="280">
        <f>I1107</f>
        <v>2019</v>
      </c>
      <c r="T1109" s="281">
        <f>J1107</f>
        <v>2020</v>
      </c>
      <c r="U1109" s="281">
        <f>K1107</f>
        <v>2021</v>
      </c>
      <c r="V1109" s="281">
        <f>L1107</f>
        <v>2022</v>
      </c>
      <c r="W1109" s="282">
        <f>M1107</f>
        <v>2023</v>
      </c>
      <c r="AA1109" s="285" t="b">
        <f>AA1108</f>
        <v>0</v>
      </c>
    </row>
    <row r="1110" spans="2:27" ht="12.75" customHeight="1" thickBot="1" x14ac:dyDescent="0.3">
      <c r="B1110" s="17"/>
      <c r="C1110" s="900"/>
      <c r="D1110" s="193" t="s">
        <v>420</v>
      </c>
      <c r="E1110" s="1528" t="str">
        <f>Translations!$B$790</f>
        <v>Waste gas flared</v>
      </c>
      <c r="F1110" s="1528"/>
      <c r="G1110" s="1528"/>
      <c r="H1110" s="154" t="str">
        <f>EUconst_TJpa</f>
        <v>TJ / year</v>
      </c>
      <c r="I1110" s="951" t="str">
        <f>IF(COUNT(I1108:I1109)=2,I1108*I1109/1000,"")</f>
        <v/>
      </c>
      <c r="J1110" s="951" t="str">
        <f>IF(COUNT(J1108:J1109)=2,J1108*J1109/1000,"")</f>
        <v/>
      </c>
      <c r="K1110" s="951" t="str">
        <f>IF(COUNT(K1108:K1109)=2,K1108*K1109/1000,"")</f>
        <v/>
      </c>
      <c r="L1110" s="951" t="str">
        <f>IF(COUNT(L1108:L1109)=2,L1108*L1109/1000,"")</f>
        <v/>
      </c>
      <c r="M1110" s="951" t="str">
        <f>IF(COUNT(M1108:M1109)=2,M1108*M1109/1000,"")</f>
        <v/>
      </c>
      <c r="N1110" s="903"/>
      <c r="O1110" s="17"/>
      <c r="P1110" s="63" t="str">
        <f>EUconst_CNTR_WGFlared &amp; I973</f>
        <v>WasteGasFlare_</v>
      </c>
      <c r="R1110" s="918" t="str">
        <f>IF(COUNT(S1110:W1110)&gt;0,AVERAGE(S1110:W1110),"")</f>
        <v/>
      </c>
      <c r="S1110" s="808" t="str">
        <f>IF(S973,IF(ISNUMBER(I1110),I1110,0),"")</f>
        <v/>
      </c>
      <c r="T1110" s="809" t="str">
        <f>IF(T973,IF(ISNUMBER(J1110),J1110,0),"")</f>
        <v/>
      </c>
      <c r="U1110" s="809" t="str">
        <f>IF(U973,IF(ISNUMBER(K1110),K1110,0),"")</f>
        <v/>
      </c>
      <c r="V1110" s="809" t="str">
        <f>IF(V973,IF(ISNUMBER(L1110),L1110,0),"")</f>
        <v/>
      </c>
      <c r="W1110" s="810" t="str">
        <f>IF(W973,IF(ISNUMBER(M1110),M1110,0),"")</f>
        <v/>
      </c>
      <c r="AA1110" s="815"/>
    </row>
    <row r="1111" spans="2:27" ht="12.75" customHeight="1" thickBot="1" x14ac:dyDescent="0.3">
      <c r="B1111" s="17"/>
      <c r="C1111" s="900"/>
      <c r="D1111" s="193" t="s">
        <v>421</v>
      </c>
      <c r="E1111" s="1528" t="str">
        <f>Translations!$B$791</f>
        <v>Specific EF (flared waste gas)</v>
      </c>
      <c r="F1111" s="1528"/>
      <c r="G1111" s="1528"/>
      <c r="H1111" s="154" t="str">
        <f>EUconst_tCO2pTJ</f>
        <v>t CO2 / TJ</v>
      </c>
      <c r="I1111" s="311"/>
      <c r="J1111" s="311"/>
      <c r="K1111" s="311"/>
      <c r="L1111" s="311"/>
      <c r="M1111" s="311"/>
      <c r="N1111" s="266"/>
      <c r="O1111" s="17"/>
      <c r="P1111" s="63" t="str">
        <f>EUconst_CNTR_WGFlaredEF &amp; I973</f>
        <v>WasteGasFlareEF_</v>
      </c>
      <c r="R1111" s="952" t="str">
        <f>IF(COUNT(S1111:W1111)&gt;0,AVERAGE(S1111:W1111),"")</f>
        <v/>
      </c>
      <c r="S1111" s="808" t="str">
        <f>IF(S973,SUM(I1110)*SUM(I1111),"")</f>
        <v/>
      </c>
      <c r="T1111" s="809" t="str">
        <f>IF(T973,SUM(J1110)*SUM(J1111),"")</f>
        <v/>
      </c>
      <c r="U1111" s="809" t="str">
        <f>IF(U973,SUM(K1110)*SUM(K1111),"")</f>
        <v/>
      </c>
      <c r="V1111" s="809" t="str">
        <f>IF(V973,SUM(L1110)*SUM(L1111),"")</f>
        <v/>
      </c>
      <c r="W1111" s="810" t="str">
        <f>IF(W973,SUM(M1110)*SUM(M1111),"")</f>
        <v/>
      </c>
      <c r="AA1111" s="285" t="b">
        <f>AA1109</f>
        <v>0</v>
      </c>
    </row>
    <row r="1112" spans="2:27" ht="12.75" customHeight="1" x14ac:dyDescent="0.25">
      <c r="B1112" s="17"/>
      <c r="C1112" s="900"/>
      <c r="D1112" s="342"/>
      <c r="E1112" s="342"/>
      <c r="F1112" s="342"/>
      <c r="G1112" s="342"/>
      <c r="H1112" s="342"/>
      <c r="I1112" s="342"/>
      <c r="J1112" s="342"/>
      <c r="K1112" s="342"/>
      <c r="L1112" s="342"/>
      <c r="M1112" s="342"/>
      <c r="N1112" s="266"/>
      <c r="O1112" s="17"/>
      <c r="AA1112" s="815"/>
    </row>
    <row r="1113" spans="2:27" ht="12.75" customHeight="1" x14ac:dyDescent="0.25">
      <c r="B1113" s="17"/>
      <c r="C1113" s="900"/>
      <c r="D1113" s="193" t="s">
        <v>422</v>
      </c>
      <c r="E1113" s="1529" t="str">
        <f>Translations!$B$792</f>
        <v>Types of waste gases imported:</v>
      </c>
      <c r="F1113" s="1529"/>
      <c r="G1113" s="1529"/>
      <c r="H1113" s="1529"/>
      <c r="I1113" s="1530"/>
      <c r="J1113" s="1531"/>
      <c r="K1113" s="1531"/>
      <c r="L1113" s="1531"/>
      <c r="M1113" s="1532"/>
      <c r="N1113" s="266"/>
      <c r="O1113" s="17"/>
      <c r="AA1113" s="285" t="b">
        <f>AA1093</f>
        <v>0</v>
      </c>
    </row>
    <row r="1114" spans="2:27" ht="5.0999999999999996" customHeight="1" x14ac:dyDescent="0.25">
      <c r="B1114" s="17"/>
      <c r="C1114" s="900"/>
      <c r="D1114" s="193"/>
      <c r="E1114" s="1535"/>
      <c r="F1114" s="1511"/>
      <c r="G1114" s="1511"/>
      <c r="H1114" s="1511"/>
      <c r="I1114" s="1511"/>
      <c r="J1114" s="1511"/>
      <c r="K1114" s="1511"/>
      <c r="L1114" s="1511"/>
      <c r="M1114" s="1511"/>
      <c r="N1114" s="1536"/>
      <c r="O1114" s="17"/>
      <c r="AA1114" s="815"/>
    </row>
    <row r="1115" spans="2:27" ht="12.75" customHeight="1" x14ac:dyDescent="0.25">
      <c r="B1115" s="17"/>
      <c r="C1115" s="900"/>
      <c r="D1115" s="342"/>
      <c r="E1115" s="1522"/>
      <c r="F1115" s="1523"/>
      <c r="G1115" s="1523"/>
      <c r="H1115" s="152" t="str">
        <f>EUconst_Unit</f>
        <v>Unit</v>
      </c>
      <c r="I1115" s="153">
        <f>I$1882</f>
        <v>2019</v>
      </c>
      <c r="J1115" s="153">
        <f>J$1882</f>
        <v>2020</v>
      </c>
      <c r="K1115" s="153">
        <f>K$1882</f>
        <v>2021</v>
      </c>
      <c r="L1115" s="153">
        <f>L$1882</f>
        <v>2022</v>
      </c>
      <c r="M1115" s="153">
        <f>M$1882</f>
        <v>2023</v>
      </c>
      <c r="N1115" s="903"/>
      <c r="O1115" s="17"/>
      <c r="AA1115" s="815"/>
    </row>
    <row r="1116" spans="2:27" ht="12.75" customHeight="1" thickBot="1" x14ac:dyDescent="0.3">
      <c r="B1116" s="17"/>
      <c r="C1116" s="900"/>
      <c r="D1116" s="193" t="s">
        <v>423</v>
      </c>
      <c r="E1116" s="1526" t="str">
        <f>Translations!$B$795</f>
        <v>Amounts imported</v>
      </c>
      <c r="F1116" s="1526"/>
      <c r="G1116" s="1526"/>
      <c r="H1116" s="949" t="s">
        <v>427</v>
      </c>
      <c r="I1116" s="889"/>
      <c r="J1116" s="889"/>
      <c r="K1116" s="889"/>
      <c r="L1116" s="889"/>
      <c r="M1116" s="889"/>
      <c r="N1116" s="903"/>
      <c r="O1116" s="17"/>
      <c r="AA1116" s="285" t="b">
        <f>AA1113</f>
        <v>0</v>
      </c>
    </row>
    <row r="1117" spans="2:27" ht="12.75" customHeight="1" x14ac:dyDescent="0.25">
      <c r="B1117" s="17"/>
      <c r="C1117" s="900"/>
      <c r="D1117" s="193" t="s">
        <v>430</v>
      </c>
      <c r="E1117" s="1527" t="str">
        <f>Translations!$B$470</f>
        <v>Net calorific value</v>
      </c>
      <c r="F1117" s="1527"/>
      <c r="G1117" s="1527"/>
      <c r="H1117" s="950" t="str">
        <f>IF(ISBLANK(H1116),EUconst_GJperUnit,INDEX(EUconst_GJperTorKNm3,MATCH(H1116,EUconst_TonnesOrkNm3pa,0)))</f>
        <v>GJ/1000Nm3</v>
      </c>
      <c r="I1117" s="895"/>
      <c r="J1117" s="895"/>
      <c r="K1117" s="895"/>
      <c r="L1117" s="895"/>
      <c r="M1117" s="895"/>
      <c r="N1117" s="903"/>
      <c r="O1117" s="17"/>
      <c r="R1117" s="459"/>
      <c r="S1117" s="326">
        <f>I1115</f>
        <v>2019</v>
      </c>
      <c r="T1117" s="326">
        <f>J1115</f>
        <v>2020</v>
      </c>
      <c r="U1117" s="326">
        <f>K1115</f>
        <v>2021</v>
      </c>
      <c r="V1117" s="326">
        <f>L1115</f>
        <v>2022</v>
      </c>
      <c r="W1117" s="327">
        <f>M1115</f>
        <v>2023</v>
      </c>
      <c r="AA1117" s="285" t="b">
        <f>AA1116</f>
        <v>0</v>
      </c>
    </row>
    <row r="1118" spans="2:27" ht="12.75" customHeight="1" x14ac:dyDescent="0.25">
      <c r="B1118" s="17"/>
      <c r="C1118" s="900"/>
      <c r="D1118" s="193" t="s">
        <v>431</v>
      </c>
      <c r="E1118" s="1528" t="str">
        <f>Translations!$B$796</f>
        <v>Waste gas imported</v>
      </c>
      <c r="F1118" s="1528"/>
      <c r="G1118" s="1528"/>
      <c r="H1118" s="154" t="str">
        <f>EUconst_TJpa</f>
        <v>TJ / year</v>
      </c>
      <c r="I1118" s="163" t="str">
        <f>IF(COUNT(I1116:I1117)=2,I1116*I1117/1000,"")</f>
        <v/>
      </c>
      <c r="J1118" s="163" t="str">
        <f>IF(COUNT(J1116:J1117)=2,J1116*J1117/1000,"")</f>
        <v/>
      </c>
      <c r="K1118" s="163" t="str">
        <f>IF(COUNT(K1116:K1117)=2,K1116*K1117/1000,"")</f>
        <v/>
      </c>
      <c r="L1118" s="163" t="str">
        <f>IF(COUNT(L1116:L1117)=2,L1116*L1117/1000,"")</f>
        <v/>
      </c>
      <c r="M1118" s="163" t="str">
        <f>IF(COUNT(M1116:M1117)=2,M1116*M1117/1000,"")</f>
        <v/>
      </c>
      <c r="N1118" s="903"/>
      <c r="O1118" s="17"/>
      <c r="P1118" s="63" t="str">
        <f>EUconst_CNTR_WGImport &amp; I973</f>
        <v>WasteGasIm_</v>
      </c>
      <c r="R1118" s="464" t="str">
        <f>EUconst_ERR_AttrEmBMapplied &amp; I973</f>
        <v>ERR_AttrEmBM_</v>
      </c>
      <c r="S1118" s="63">
        <f>IF(AND(I1118&lt;&gt;"",EUconst_StatusOfDataCollection=FALSE),1,0)</f>
        <v>0</v>
      </c>
      <c r="T1118" s="63">
        <f>IF(AND(J1118&lt;&gt;"",EUconst_StatusOfDataCollection=FALSE),1,0)</f>
        <v>0</v>
      </c>
      <c r="U1118" s="63">
        <f>IF(AND(K1118&lt;&gt;"",EUconst_StatusOfDataCollection=FALSE),1,0)</f>
        <v>0</v>
      </c>
      <c r="V1118" s="63">
        <f>IF(AND(L1118&lt;&gt;"",EUconst_StatusOfDataCollection=FALSE),1,0)</f>
        <v>0</v>
      </c>
      <c r="W1118" s="803">
        <f>IF(AND(M1118&lt;&gt;"",EUconst_StatusOfDataCollection=FALSE),1,0)</f>
        <v>0</v>
      </c>
      <c r="AA1118" s="815"/>
    </row>
    <row r="1119" spans="2:27" ht="12.75" customHeight="1" thickBot="1" x14ac:dyDescent="0.3">
      <c r="B1119" s="17"/>
      <c r="C1119" s="900"/>
      <c r="D1119" s="193" t="s">
        <v>432</v>
      </c>
      <c r="E1119" s="1528" t="str">
        <f>Translations!$B$797</f>
        <v>Specific EF (imported waste gas)</v>
      </c>
      <c r="F1119" s="1528"/>
      <c r="G1119" s="1528"/>
      <c r="H1119" s="154" t="str">
        <f>EUconst_tCO2pTJ</f>
        <v>t CO2 / TJ</v>
      </c>
      <c r="I1119" s="311"/>
      <c r="J1119" s="311"/>
      <c r="K1119" s="311"/>
      <c r="L1119" s="311"/>
      <c r="M1119" s="311"/>
      <c r="N1119" s="266"/>
      <c r="O1119" s="17"/>
      <c r="P1119" s="63" t="str">
        <f>EUconst_CNTR_WGImportEF &amp; I973</f>
        <v>WasteGasImEF_</v>
      </c>
      <c r="R1119" s="460" t="str">
        <f>EUconst_CNTR_AttributedEmissions &amp; I973</f>
        <v>AttrEmissions_</v>
      </c>
      <c r="S1119" s="389" t="str">
        <f>IF(S973,SUM(I1118)*EUconst_FuelBMvalue,"")</f>
        <v/>
      </c>
      <c r="T1119" s="389" t="str">
        <f>IF(T973,SUM(J1118)*EUconst_FuelBMvalue,"")</f>
        <v/>
      </c>
      <c r="U1119" s="389" t="str">
        <f>IF(U973,SUM(K1118)*EUconst_FuelBMvalue,"")</f>
        <v/>
      </c>
      <c r="V1119" s="389" t="str">
        <f>IF(V973,SUM(L1118)*EUconst_FuelBMvalue,"")</f>
        <v/>
      </c>
      <c r="W1119" s="390" t="str">
        <f>IF(W973,SUM(M1118)*EUconst_FuelBMvalue,"")</f>
        <v/>
      </c>
      <c r="AA1119" s="285" t="b">
        <f>AA1117</f>
        <v>0</v>
      </c>
    </row>
    <row r="1120" spans="2:27" ht="12.75" customHeight="1" x14ac:dyDescent="0.25">
      <c r="B1120" s="17"/>
      <c r="C1120" s="900"/>
      <c r="D1120" s="342"/>
      <c r="E1120" s="342"/>
      <c r="F1120" s="342"/>
      <c r="G1120" s="342"/>
      <c r="H1120" s="342"/>
      <c r="I1120" s="342"/>
      <c r="J1120" s="342"/>
      <c r="K1120" s="342"/>
      <c r="L1120" s="342"/>
      <c r="M1120" s="342"/>
      <c r="N1120" s="266"/>
      <c r="O1120" s="17"/>
      <c r="AA1120" s="815"/>
    </row>
    <row r="1121" spans="2:27" ht="12.75" customHeight="1" x14ac:dyDescent="0.25">
      <c r="B1121" s="17"/>
      <c r="C1121" s="900"/>
      <c r="D1121" s="193" t="s">
        <v>433</v>
      </c>
      <c r="E1121" s="1529" t="str">
        <f>Translations!$B$798</f>
        <v>Types of waste gases exported:</v>
      </c>
      <c r="F1121" s="1529"/>
      <c r="G1121" s="1529"/>
      <c r="H1121" s="1529"/>
      <c r="I1121" s="1530"/>
      <c r="J1121" s="1531"/>
      <c r="K1121" s="1531"/>
      <c r="L1121" s="1531"/>
      <c r="M1121" s="1532"/>
      <c r="N1121" s="763"/>
      <c r="O1121" s="17"/>
      <c r="AA1121" s="285" t="b">
        <f>AA1116</f>
        <v>0</v>
      </c>
    </row>
    <row r="1122" spans="2:27" ht="5.0999999999999996" customHeight="1" x14ac:dyDescent="0.25">
      <c r="B1122" s="17"/>
      <c r="C1122" s="900"/>
      <c r="D1122" s="193"/>
      <c r="E1122" s="1533"/>
      <c r="F1122" s="1512"/>
      <c r="G1122" s="1512"/>
      <c r="H1122" s="1512"/>
      <c r="I1122" s="1512"/>
      <c r="J1122" s="1512"/>
      <c r="K1122" s="1512"/>
      <c r="L1122" s="1512"/>
      <c r="M1122" s="1512"/>
      <c r="N1122" s="1513"/>
      <c r="O1122" s="17"/>
      <c r="AA1122" s="815"/>
    </row>
    <row r="1123" spans="2:27" ht="12.75" customHeight="1" x14ac:dyDescent="0.25">
      <c r="B1123" s="17"/>
      <c r="C1123" s="900"/>
      <c r="D1123" s="342"/>
      <c r="E1123" s="1522"/>
      <c r="F1123" s="1523"/>
      <c r="G1123" s="1523"/>
      <c r="H1123" s="152" t="str">
        <f>EUconst_Unit</f>
        <v>Unit</v>
      </c>
      <c r="I1123" s="153">
        <f>I$1882</f>
        <v>2019</v>
      </c>
      <c r="J1123" s="153">
        <f>J$1882</f>
        <v>2020</v>
      </c>
      <c r="K1123" s="153">
        <f>K$1882</f>
        <v>2021</v>
      </c>
      <c r="L1123" s="153">
        <f>L$1882</f>
        <v>2022</v>
      </c>
      <c r="M1123" s="153">
        <f>M$1882</f>
        <v>2023</v>
      </c>
      <c r="N1123" s="903"/>
      <c r="O1123" s="17"/>
      <c r="AA1123" s="815"/>
    </row>
    <row r="1124" spans="2:27" ht="12.75" customHeight="1" x14ac:dyDescent="0.25">
      <c r="B1124" s="17"/>
      <c r="C1124" s="900"/>
      <c r="D1124" s="193" t="s">
        <v>434</v>
      </c>
      <c r="E1124" s="1526" t="str">
        <f>Translations!$B$800</f>
        <v>Amounts exported</v>
      </c>
      <c r="F1124" s="1526"/>
      <c r="G1124" s="1526"/>
      <c r="H1124" s="949" t="s">
        <v>427</v>
      </c>
      <c r="I1124" s="889"/>
      <c r="J1124" s="889"/>
      <c r="K1124" s="889"/>
      <c r="L1124" s="889"/>
      <c r="M1124" s="889"/>
      <c r="N1124" s="903"/>
      <c r="O1124" s="17"/>
      <c r="AA1124" s="285" t="b">
        <f>AA1121</f>
        <v>0</v>
      </c>
    </row>
    <row r="1125" spans="2:27" ht="12.75" customHeight="1" thickBot="1" x14ac:dyDescent="0.3">
      <c r="B1125" s="17"/>
      <c r="C1125" s="900"/>
      <c r="D1125" s="193" t="s">
        <v>435</v>
      </c>
      <c r="E1125" s="1527" t="str">
        <f>Translations!$B$470</f>
        <v>Net calorific value</v>
      </c>
      <c r="F1125" s="1527"/>
      <c r="G1125" s="1527"/>
      <c r="H1125" s="950" t="str">
        <f>IF(ISBLANK(H1124),EUconst_GJperUnit,INDEX(EUconst_GJperTorKNm3,MATCH(H1124,EUconst_TonnesOrkNm3pa,0)))</f>
        <v>GJ/1000Nm3</v>
      </c>
      <c r="I1125" s="895"/>
      <c r="J1125" s="895"/>
      <c r="K1125" s="895"/>
      <c r="L1125" s="895"/>
      <c r="M1125" s="895"/>
      <c r="N1125" s="903"/>
      <c r="O1125" s="17"/>
      <c r="AA1125" s="285" t="b">
        <f>AA1124</f>
        <v>0</v>
      </c>
    </row>
    <row r="1126" spans="2:27" ht="12.75" customHeight="1" x14ac:dyDescent="0.25">
      <c r="B1126" s="17"/>
      <c r="C1126" s="900"/>
      <c r="D1126" s="193" t="s">
        <v>436</v>
      </c>
      <c r="E1126" s="1528" t="str">
        <f>Translations!$B$801</f>
        <v>Waste gas exported</v>
      </c>
      <c r="F1126" s="1528"/>
      <c r="G1126" s="1528"/>
      <c r="H1126" s="154" t="str">
        <f>EUconst_TJpa</f>
        <v>TJ / year</v>
      </c>
      <c r="I1126" s="163" t="str">
        <f>IF(COUNT(I1124:I1125)=2,I1124*I1125/1000,"")</f>
        <v/>
      </c>
      <c r="J1126" s="163" t="str">
        <f>IF(COUNT(J1124:J1125)=2,J1124*J1125/1000,"")</f>
        <v/>
      </c>
      <c r="K1126" s="163" t="str">
        <f>IF(COUNT(K1124:K1125)=2,K1124*K1125/1000,"")</f>
        <v/>
      </c>
      <c r="L1126" s="163" t="str">
        <f>IF(COUNT(L1124:L1125)=2,L1124*L1125/1000,"")</f>
        <v/>
      </c>
      <c r="M1126" s="163" t="str">
        <f>IF(COUNT(M1124:M1125)=2,M1124*M1125/1000,"")</f>
        <v/>
      </c>
      <c r="N1126" s="277"/>
      <c r="O1126" s="17"/>
      <c r="P1126" s="63" t="str">
        <f>EUconst_CNTR_WGExport &amp; I973</f>
        <v>WasteGasEx_</v>
      </c>
      <c r="R1126" s="459"/>
      <c r="S1126" s="326">
        <f>I1123</f>
        <v>2019</v>
      </c>
      <c r="T1126" s="326">
        <f>J1123</f>
        <v>2020</v>
      </c>
      <c r="U1126" s="326">
        <f>K1123</f>
        <v>2021</v>
      </c>
      <c r="V1126" s="326">
        <f>L1123</f>
        <v>2022</v>
      </c>
      <c r="W1126" s="327">
        <f>M1123</f>
        <v>2023</v>
      </c>
      <c r="AA1126" s="815"/>
    </row>
    <row r="1127" spans="2:27" ht="12.75" customHeight="1" thickBot="1" x14ac:dyDescent="0.3">
      <c r="B1127" s="17"/>
      <c r="C1127" s="900"/>
      <c r="D1127" s="193" t="s">
        <v>437</v>
      </c>
      <c r="E1127" s="1528" t="str">
        <f>Translations!$B$802</f>
        <v>Specific EF (exported waste gas)</v>
      </c>
      <c r="F1127" s="1528"/>
      <c r="G1127" s="1528"/>
      <c r="H1127" s="154" t="str">
        <f>EUconst_tCO2pTJ</f>
        <v>t CO2 / TJ</v>
      </c>
      <c r="I1127" s="311"/>
      <c r="J1127" s="311"/>
      <c r="K1127" s="311"/>
      <c r="L1127" s="311"/>
      <c r="M1127" s="311"/>
      <c r="N1127" s="266"/>
      <c r="O1127" s="17"/>
      <c r="P1127" s="63" t="str">
        <f>EUconst_CNTR_WGExportEF &amp; I973</f>
        <v>WasteGasExEF_</v>
      </c>
      <c r="R1127" s="460" t="str">
        <f>EUconst_CNTR_AttributedEmissions &amp; I973</f>
        <v>AttrEmissions_</v>
      </c>
      <c r="S1127" s="389" t="str">
        <f>IF(S973,-SUM(I1126)*EUconst_NGEFvalue*EUconst_WasteGasCorrFactor,"")</f>
        <v/>
      </c>
      <c r="T1127" s="389" t="str">
        <f>IF(T973,-SUM(J1126)*EUconst_NGEFvalue*EUconst_WasteGasCorrFactor,"")</f>
        <v/>
      </c>
      <c r="U1127" s="389" t="str">
        <f>IF(U973,-SUM(K1126)*EUconst_NGEFvalue*EUconst_WasteGasCorrFactor,"")</f>
        <v/>
      </c>
      <c r="V1127" s="389" t="str">
        <f>IF(V973,-SUM(L1126)*EUconst_NGEFvalue*EUconst_WasteGasCorrFactor,"")</f>
        <v/>
      </c>
      <c r="W1127" s="390" t="str">
        <f>IF(W973,-SUM(M1126)*EUconst_NGEFvalue*EUconst_WasteGasCorrFactor,"")</f>
        <v/>
      </c>
      <c r="AA1127" s="286" t="b">
        <f>AA1125</f>
        <v>0</v>
      </c>
    </row>
    <row r="1128" spans="2:27" ht="12.75" customHeight="1" x14ac:dyDescent="0.25">
      <c r="B1128" s="17"/>
      <c r="C1128" s="900"/>
      <c r="D1128" s="342"/>
      <c r="E1128" s="342"/>
      <c r="F1128" s="342"/>
      <c r="G1128" s="342"/>
      <c r="H1128" s="342"/>
      <c r="I1128" s="342"/>
      <c r="J1128" s="342"/>
      <c r="K1128" s="342"/>
      <c r="L1128" s="342"/>
      <c r="M1128" s="342"/>
      <c r="N1128" s="266"/>
      <c r="O1128" s="17"/>
    </row>
    <row r="1129" spans="2:27" ht="12.75" customHeight="1" thickBot="1" x14ac:dyDescent="0.3">
      <c r="B1129" s="17"/>
      <c r="C1129" s="900"/>
      <c r="D1129" s="157" t="s">
        <v>359</v>
      </c>
      <c r="E1129" s="1511" t="str">
        <f>Translations!$B$420</f>
        <v>Electricity production</v>
      </c>
      <c r="F1129" s="1512"/>
      <c r="G1129" s="1512"/>
      <c r="H1129" s="1512"/>
      <c r="I1129" s="1512"/>
      <c r="J1129" s="1512"/>
      <c r="K1129" s="1512"/>
      <c r="L1129" s="1512"/>
      <c r="M1129" s="1512"/>
      <c r="N1129" s="1513"/>
      <c r="O1129" s="17"/>
    </row>
    <row r="1130" spans="2:27" ht="12.75" customHeight="1" x14ac:dyDescent="0.25">
      <c r="B1130" s="17"/>
      <c r="C1130" s="900"/>
      <c r="D1130" s="157"/>
      <c r="E1130" s="1522"/>
      <c r="F1130" s="1523"/>
      <c r="G1130" s="1523"/>
      <c r="H1130" s="152" t="str">
        <f>EUconst_Unit</f>
        <v>Unit</v>
      </c>
      <c r="I1130" s="153">
        <f>I$1882</f>
        <v>2019</v>
      </c>
      <c r="J1130" s="153">
        <f>J$1882</f>
        <v>2020</v>
      </c>
      <c r="K1130" s="153">
        <f>K$1882</f>
        <v>2021</v>
      </c>
      <c r="L1130" s="153">
        <f>L$1882</f>
        <v>2022</v>
      </c>
      <c r="M1130" s="153">
        <f>M$1882</f>
        <v>2023</v>
      </c>
      <c r="N1130" s="266"/>
      <c r="O1130" s="17"/>
      <c r="R1130" s="459"/>
      <c r="S1130" s="326">
        <f>I1130</f>
        <v>2019</v>
      </c>
      <c r="T1130" s="326">
        <f>J1130</f>
        <v>2020</v>
      </c>
      <c r="U1130" s="326">
        <f>K1130</f>
        <v>2021</v>
      </c>
      <c r="V1130" s="326">
        <f>L1130</f>
        <v>2022</v>
      </c>
      <c r="W1130" s="327">
        <f>M1130</f>
        <v>2023</v>
      </c>
    </row>
    <row r="1131" spans="2:27" ht="12.75" customHeight="1" thickBot="1" x14ac:dyDescent="0.3">
      <c r="B1131" s="17"/>
      <c r="C1131" s="900"/>
      <c r="D1131" s="193"/>
      <c r="E1131" s="1528" t="str">
        <f>Translations!$B$805</f>
        <v>Electricity produced</v>
      </c>
      <c r="F1131" s="1528"/>
      <c r="G1131" s="1528"/>
      <c r="H1131" s="154" t="str">
        <f>EUconst_MWhpa</f>
        <v>MWh / year</v>
      </c>
      <c r="I1131" s="311"/>
      <c r="J1131" s="311"/>
      <c r="K1131" s="311"/>
      <c r="L1131" s="311"/>
      <c r="M1131" s="311"/>
      <c r="N1131" s="903"/>
      <c r="O1131" s="17"/>
      <c r="P1131" s="63" t="str">
        <f>EUconst_CNTR_ElectricityExported &amp; I973</f>
        <v>ElecEx_</v>
      </c>
      <c r="R1131" s="460" t="str">
        <f>EUconst_CNTR_AttributedEmissions &amp; I973</f>
        <v>AttrEmissions_</v>
      </c>
      <c r="S1131" s="389" t="str">
        <f>IF(S973,-SUM(I1131)*EUconst_ElBM,"")</f>
        <v/>
      </c>
      <c r="T1131" s="389" t="str">
        <f>IF(T973,-SUM(J1131)*EUconst_ElBM,"")</f>
        <v/>
      </c>
      <c r="U1131" s="389" t="str">
        <f>IF(U973,-SUM(K1131)*EUconst_ElBM,"")</f>
        <v/>
      </c>
      <c r="V1131" s="389" t="str">
        <f>IF(V973,-SUM(L1131)*EUconst_ElBM,"")</f>
        <v/>
      </c>
      <c r="W1131" s="390" t="str">
        <f>IF(W973,-SUM(M1131)*EUconst_ElBM,"")</f>
        <v/>
      </c>
    </row>
    <row r="1132" spans="2:27" ht="12.75" customHeight="1" x14ac:dyDescent="0.25">
      <c r="B1132" s="17"/>
      <c r="C1132" s="900"/>
      <c r="D1132" s="342"/>
      <c r="E1132" s="342"/>
      <c r="F1132" s="342"/>
      <c r="G1132" s="342"/>
      <c r="H1132" s="342"/>
      <c r="I1132" s="342"/>
      <c r="J1132" s="342"/>
      <c r="K1132" s="342"/>
      <c r="L1132" s="342"/>
      <c r="M1132" s="342"/>
      <c r="N1132" s="266"/>
      <c r="O1132" s="17"/>
    </row>
    <row r="1133" spans="2:27" ht="12.75" customHeight="1" thickBot="1" x14ac:dyDescent="0.3">
      <c r="B1133" s="17"/>
      <c r="C1133" s="900"/>
      <c r="D1133" s="157" t="s">
        <v>361</v>
      </c>
      <c r="E1133" s="1529" t="str">
        <f>Translations!$B$806</f>
        <v>Total amount of pulp produced</v>
      </c>
      <c r="F1133" s="1529"/>
      <c r="G1133" s="1529"/>
      <c r="H1133" s="1529"/>
      <c r="I1133" s="1529"/>
      <c r="J1133" s="1529"/>
      <c r="K1133" s="1529"/>
      <c r="L1133" s="1529"/>
      <c r="M1133" s="1529"/>
      <c r="N1133" s="1534"/>
      <c r="O1133" s="17"/>
    </row>
    <row r="1134" spans="2:27" ht="12.75" customHeight="1" thickBot="1" x14ac:dyDescent="0.3">
      <c r="B1134" s="17"/>
      <c r="C1134" s="900"/>
      <c r="D1134" s="193"/>
      <c r="E1134" s="1510" t="str">
        <f>IF(I973="","",IF(INDEX(EUconst_BMlistPulp,MATCH(I973,EUconst_BMlistNames,0)),I973,""))</f>
        <v/>
      </c>
      <c r="F1134" s="1510"/>
      <c r="G1134" s="1510"/>
      <c r="H1134" s="154" t="str">
        <f>EUconst_Tons</f>
        <v>tonnes</v>
      </c>
      <c r="I1134" s="311"/>
      <c r="J1134" s="311"/>
      <c r="K1134" s="311"/>
      <c r="L1134" s="311"/>
      <c r="M1134" s="311"/>
      <c r="N1134" s="903"/>
      <c r="O1134" s="17"/>
      <c r="P1134" s="63" t="str">
        <f>EUconst_CNTR_HALPulpTotal &amp; I973</f>
        <v>HALPulpTotal_</v>
      </c>
      <c r="AA1134" s="410" t="b">
        <f>IF(I973&lt;&gt;"",IF(INDEX(EUconst_BMlistPulp,MATCH(I973,EUconst_BMlistNames,0))=TRUE,FALSE,TRUE),FALSE)</f>
        <v>0</v>
      </c>
    </row>
    <row r="1135" spans="2:27" ht="12.75" customHeight="1" x14ac:dyDescent="0.25">
      <c r="B1135" s="17"/>
      <c r="C1135" s="900"/>
      <c r="D1135" s="193"/>
      <c r="E1135" s="193"/>
      <c r="F1135" s="193"/>
      <c r="G1135" s="193"/>
      <c r="H1135" s="193"/>
      <c r="I1135" s="193"/>
      <c r="J1135" s="193"/>
      <c r="K1135" s="193"/>
      <c r="L1135" s="193"/>
      <c r="M1135" s="193"/>
      <c r="N1135" s="903"/>
      <c r="O1135" s="17"/>
    </row>
    <row r="1136" spans="2:27" ht="12.75" customHeight="1" thickBot="1" x14ac:dyDescent="0.3">
      <c r="B1136" s="17"/>
      <c r="C1136" s="900"/>
      <c r="D1136" s="157" t="s">
        <v>362</v>
      </c>
      <c r="E1136" s="1511" t="str">
        <f>Translations!$B$810</f>
        <v>Import or export of intermediate products covered by product benchmarks</v>
      </c>
      <c r="F1136" s="1512"/>
      <c r="G1136" s="1512"/>
      <c r="H1136" s="1512"/>
      <c r="I1136" s="1512"/>
      <c r="J1136" s="1512"/>
      <c r="K1136" s="1512"/>
      <c r="L1136" s="1512"/>
      <c r="M1136" s="1512"/>
      <c r="N1136" s="1513"/>
      <c r="O1136" s="17"/>
    </row>
    <row r="1137" spans="2:27" ht="12.75" customHeight="1" thickBot="1" x14ac:dyDescent="0.3">
      <c r="B1137" s="17"/>
      <c r="C1137" s="900"/>
      <c r="D1137" s="193" t="s">
        <v>206</v>
      </c>
      <c r="E1137" s="1514" t="str">
        <f>Translations!$B$813</f>
        <v>Is there any import or export of intermediate products covered by product benchmarks?</v>
      </c>
      <c r="F1137" s="1514"/>
      <c r="G1137" s="1514"/>
      <c r="H1137" s="1514"/>
      <c r="I1137" s="1514"/>
      <c r="J1137" s="1514"/>
      <c r="K1137" s="1515"/>
      <c r="L1137" s="194"/>
      <c r="M1137" s="342"/>
      <c r="N1137" s="277"/>
      <c r="O1137" s="17"/>
      <c r="W1137" s="288" t="s">
        <v>418</v>
      </c>
      <c r="X1137" s="215" t="b">
        <f>IF(AND(I973&lt;&gt;"",ISBLANK(L1137)),EUconst_Error&amp;"BM"&amp;C973,FALSE)</f>
        <v>0</v>
      </c>
    </row>
    <row r="1138" spans="2:27" ht="5.0999999999999996" customHeight="1" x14ac:dyDescent="0.25">
      <c r="B1138" s="17"/>
      <c r="C1138" s="900"/>
      <c r="D1138" s="193"/>
      <c r="E1138" s="193"/>
      <c r="F1138" s="193"/>
      <c r="G1138" s="193"/>
      <c r="H1138" s="193"/>
      <c r="I1138" s="193"/>
      <c r="J1138" s="193"/>
      <c r="K1138" s="193"/>
      <c r="L1138" s="193"/>
      <c r="M1138" s="193"/>
      <c r="N1138" s="903"/>
      <c r="O1138" s="17"/>
    </row>
    <row r="1139" spans="2:27" ht="12.75" customHeight="1" thickBot="1" x14ac:dyDescent="0.3">
      <c r="B1139" s="17"/>
      <c r="C1139" s="900"/>
      <c r="D1139" s="157"/>
      <c r="E1139" s="1522" t="str">
        <f>Translations!$B$814</f>
        <v>Imported amounts:</v>
      </c>
      <c r="F1139" s="1523"/>
      <c r="G1139" s="1523"/>
      <c r="H1139" s="192" t="str">
        <f>EUconst_Unit</f>
        <v>Unit</v>
      </c>
      <c r="I1139" s="153">
        <f>I$1882</f>
        <v>2019</v>
      </c>
      <c r="J1139" s="153">
        <f>J$1882</f>
        <v>2020</v>
      </c>
      <c r="K1139" s="153">
        <f>K$1882</f>
        <v>2021</v>
      </c>
      <c r="L1139" s="153">
        <f>L$1882</f>
        <v>2022</v>
      </c>
      <c r="M1139" s="153">
        <f>M$1882</f>
        <v>2023</v>
      </c>
      <c r="N1139" s="903"/>
      <c r="O1139" s="17"/>
      <c r="AA1139" s="145" t="s">
        <v>396</v>
      </c>
    </row>
    <row r="1140" spans="2:27" ht="12.75" customHeight="1" x14ac:dyDescent="0.25">
      <c r="B1140" s="17"/>
      <c r="C1140" s="900"/>
      <c r="D1140" s="193" t="s">
        <v>208</v>
      </c>
      <c r="E1140" s="1524"/>
      <c r="F1140" s="1524"/>
      <c r="G1140" s="1524"/>
      <c r="H1140" s="853" t="str">
        <f>IF(E1140&lt;&gt;"",INDEX(EUconst_BMlistUnits,MATCH(E1140,EUconst_BMlistNames,0)),EUconst_Tons)</f>
        <v>tonnes</v>
      </c>
      <c r="I1140" s="953"/>
      <c r="J1140" s="953"/>
      <c r="K1140" s="953"/>
      <c r="L1140" s="953"/>
      <c r="M1140" s="953"/>
      <c r="N1140" s="903"/>
      <c r="O1140" s="17"/>
      <c r="P1140" s="63" t="str">
        <f>EUconst_CNTR_IntermediateImport &amp; R1140 &amp; "_" &amp; I973</f>
        <v>IntImp_1_</v>
      </c>
      <c r="R1140" s="63">
        <v>1</v>
      </c>
      <c r="AA1140" s="316" t="b">
        <f>AND(NOT(ISBLANK(L1137)),L1137=FALSE)</f>
        <v>0</v>
      </c>
    </row>
    <row r="1141" spans="2:27" ht="12.75" customHeight="1" x14ac:dyDescent="0.25">
      <c r="B1141" s="17"/>
      <c r="C1141" s="900"/>
      <c r="D1141" s="193" t="s">
        <v>209</v>
      </c>
      <c r="E1141" s="1525"/>
      <c r="F1141" s="1525"/>
      <c r="G1141" s="1525"/>
      <c r="H1141" s="950" t="str">
        <f>IF(E1141&lt;&gt;"",INDEX(EUconst_BMlistUnits,MATCH(E1141,EUconst_BMlistNames,0)),EUconst_Tons)</f>
        <v>tonnes</v>
      </c>
      <c r="I1141" s="954"/>
      <c r="J1141" s="954"/>
      <c r="K1141" s="954"/>
      <c r="L1141" s="954"/>
      <c r="M1141" s="954"/>
      <c r="N1141" s="903"/>
      <c r="O1141" s="17"/>
      <c r="P1141" s="63" t="str">
        <f>EUconst_CNTR_IntermediateImport &amp; R1141 &amp; "_" &amp; I973</f>
        <v>IntImp_2_</v>
      </c>
      <c r="R1141" s="63">
        <v>2</v>
      </c>
      <c r="AA1141" s="285" t="b">
        <f>AA1140</f>
        <v>0</v>
      </c>
    </row>
    <row r="1142" spans="2:27" ht="5.0999999999999996" customHeight="1" x14ac:dyDescent="0.25">
      <c r="B1142" s="17"/>
      <c r="C1142" s="900"/>
      <c r="D1142" s="193"/>
      <c r="E1142" s="193"/>
      <c r="F1142" s="193"/>
      <c r="G1142" s="193"/>
      <c r="H1142" s="193"/>
      <c r="I1142" s="193"/>
      <c r="J1142" s="193"/>
      <c r="K1142" s="193"/>
      <c r="L1142" s="193"/>
      <c r="M1142" s="193"/>
      <c r="N1142" s="903"/>
      <c r="O1142" s="17"/>
      <c r="AA1142" s="815"/>
    </row>
    <row r="1143" spans="2:27" ht="12.75" customHeight="1" x14ac:dyDescent="0.25">
      <c r="B1143" s="17"/>
      <c r="C1143" s="900"/>
      <c r="D1143" s="157"/>
      <c r="E1143" s="1522" t="str">
        <f>Translations!$B$815</f>
        <v>Exported amounts:</v>
      </c>
      <c r="F1143" s="1523"/>
      <c r="G1143" s="1523"/>
      <c r="H1143" s="192" t="str">
        <f>EUconst_Unit</f>
        <v>Unit</v>
      </c>
      <c r="I1143" s="153">
        <f>I$1882</f>
        <v>2019</v>
      </c>
      <c r="J1143" s="153">
        <f>J$1882</f>
        <v>2020</v>
      </c>
      <c r="K1143" s="153">
        <f>K$1882</f>
        <v>2021</v>
      </c>
      <c r="L1143" s="153">
        <f>L$1882</f>
        <v>2022</v>
      </c>
      <c r="M1143" s="153">
        <f>M$1882</f>
        <v>2023</v>
      </c>
      <c r="N1143" s="903"/>
      <c r="O1143" s="17"/>
      <c r="AA1143" s="815"/>
    </row>
    <row r="1144" spans="2:27" ht="12.75" customHeight="1" x14ac:dyDescent="0.25">
      <c r="B1144" s="17"/>
      <c r="C1144" s="900"/>
      <c r="D1144" s="193" t="s">
        <v>210</v>
      </c>
      <c r="E1144" s="1524"/>
      <c r="F1144" s="1524"/>
      <c r="G1144" s="1524"/>
      <c r="H1144" s="853" t="str">
        <f>IF(E1144&lt;&gt;"",INDEX(EUconst_BMlistUnits,MATCH(E1144,EUconst_BMlistNames,0)),EUconst_Tons)</f>
        <v>tonnes</v>
      </c>
      <c r="I1144" s="953"/>
      <c r="J1144" s="953"/>
      <c r="K1144" s="953"/>
      <c r="L1144" s="953"/>
      <c r="M1144" s="953"/>
      <c r="N1144" s="903"/>
      <c r="O1144" s="17"/>
      <c r="P1144" s="63" t="str">
        <f>EUconst_CNTR_IntermediateExport &amp; R1140 &amp; "_" &amp; I973</f>
        <v>IntExp_1_</v>
      </c>
      <c r="R1144" s="63">
        <v>1</v>
      </c>
      <c r="U1144" s="955"/>
      <c r="V1144" s="955"/>
      <c r="AA1144" s="285" t="b">
        <f>AA1140</f>
        <v>0</v>
      </c>
    </row>
    <row r="1145" spans="2:27" ht="12.75" customHeight="1" x14ac:dyDescent="0.25">
      <c r="B1145" s="17"/>
      <c r="C1145" s="900"/>
      <c r="D1145" s="193" t="s">
        <v>220</v>
      </c>
      <c r="E1145" s="1525"/>
      <c r="F1145" s="1525"/>
      <c r="G1145" s="1525"/>
      <c r="H1145" s="950" t="str">
        <f>IF(E1145&lt;&gt;"",INDEX(EUconst_BMlistUnits,MATCH(E1145,EUconst_BMlistNames,0)),EUconst_Tons)</f>
        <v>tonnes</v>
      </c>
      <c r="I1145" s="954"/>
      <c r="J1145" s="954"/>
      <c r="K1145" s="954"/>
      <c r="L1145" s="954"/>
      <c r="M1145" s="954"/>
      <c r="N1145" s="903"/>
      <c r="O1145" s="17"/>
      <c r="P1145" s="63" t="str">
        <f>EUconst_CNTR_IntermediateExport &amp; R1145 &amp; "_" &amp; I973</f>
        <v>IntExp_2_</v>
      </c>
      <c r="R1145" s="63">
        <v>2</v>
      </c>
      <c r="U1145" s="955"/>
      <c r="V1145" s="955"/>
      <c r="AA1145" s="285" t="b">
        <f>AA1140</f>
        <v>0</v>
      </c>
    </row>
    <row r="1146" spans="2:27" ht="5.0999999999999996" customHeight="1" x14ac:dyDescent="0.25">
      <c r="B1146" s="17"/>
      <c r="C1146" s="900"/>
      <c r="D1146" s="193"/>
      <c r="E1146" s="193"/>
      <c r="F1146" s="193"/>
      <c r="G1146" s="193"/>
      <c r="H1146" s="193"/>
      <c r="I1146" s="193"/>
      <c r="J1146" s="193"/>
      <c r="K1146" s="193"/>
      <c r="L1146" s="193"/>
      <c r="M1146" s="193"/>
      <c r="N1146" s="903"/>
      <c r="O1146" s="17"/>
      <c r="U1146" s="955"/>
      <c r="V1146" s="955"/>
      <c r="AA1146" s="815"/>
    </row>
    <row r="1147" spans="2:27" ht="12.75" customHeight="1" x14ac:dyDescent="0.25">
      <c r="B1147" s="17"/>
      <c r="C1147" s="900"/>
      <c r="D1147" s="193" t="s">
        <v>221</v>
      </c>
      <c r="E1147" s="1514" t="str">
        <f>Translations!$B$816</f>
        <v>Description of the intermediate products imported or exported</v>
      </c>
      <c r="F1147" s="1514"/>
      <c r="G1147" s="1514"/>
      <c r="H1147" s="1514"/>
      <c r="I1147" s="1514"/>
      <c r="J1147" s="1514"/>
      <c r="K1147" s="1514"/>
      <c r="L1147" s="1514"/>
      <c r="M1147" s="1514"/>
      <c r="N1147" s="903"/>
      <c r="O1147" s="17"/>
      <c r="U1147" s="955"/>
      <c r="V1147" s="955"/>
      <c r="AA1147" s="815"/>
    </row>
    <row r="1148" spans="2:27" ht="12.75" customHeight="1" x14ac:dyDescent="0.25">
      <c r="B1148" s="17"/>
      <c r="C1148" s="900"/>
      <c r="D1148" s="193"/>
      <c r="E1148" s="1516"/>
      <c r="F1148" s="1517"/>
      <c r="G1148" s="1517"/>
      <c r="H1148" s="1517"/>
      <c r="I1148" s="1517"/>
      <c r="J1148" s="1517"/>
      <c r="K1148" s="1517"/>
      <c r="L1148" s="1517"/>
      <c r="M1148" s="1518"/>
      <c r="N1148" s="903"/>
      <c r="O1148" s="17"/>
      <c r="U1148" s="955"/>
      <c r="V1148" s="955"/>
      <c r="AA1148" s="285" t="b">
        <f>AA1140</f>
        <v>0</v>
      </c>
    </row>
    <row r="1149" spans="2:27" ht="12.75" customHeight="1" thickBot="1" x14ac:dyDescent="0.3">
      <c r="B1149" s="17"/>
      <c r="C1149" s="900"/>
      <c r="D1149" s="193"/>
      <c r="E1149" s="1519"/>
      <c r="F1149" s="1520"/>
      <c r="G1149" s="1520"/>
      <c r="H1149" s="1520"/>
      <c r="I1149" s="1520"/>
      <c r="J1149" s="1520"/>
      <c r="K1149" s="1520"/>
      <c r="L1149" s="1520"/>
      <c r="M1149" s="1521"/>
      <c r="N1149" s="903"/>
      <c r="O1149" s="17"/>
      <c r="U1149" s="955"/>
      <c r="V1149" s="955"/>
      <c r="AA1149" s="286" t="b">
        <f>AA1140</f>
        <v>0</v>
      </c>
    </row>
    <row r="1150" spans="2:27" ht="12.75" customHeight="1" thickBot="1" x14ac:dyDescent="0.3">
      <c r="B1150" s="17"/>
      <c r="C1150" s="956"/>
      <c r="D1150" s="465"/>
      <c r="E1150" s="465"/>
      <c r="F1150" s="465"/>
      <c r="G1150" s="465"/>
      <c r="H1150" s="465"/>
      <c r="I1150" s="465"/>
      <c r="J1150" s="465"/>
      <c r="K1150" s="465"/>
      <c r="L1150" s="465"/>
      <c r="M1150" s="465"/>
      <c r="N1150" s="466"/>
      <c r="O1150" s="17"/>
    </row>
    <row r="1151" spans="2:27" ht="13.8" thickBot="1" x14ac:dyDescent="0.3">
      <c r="B1151" s="17"/>
      <c r="C1151" s="17"/>
      <c r="D1151" s="17"/>
      <c r="E1151" s="17"/>
      <c r="F1151" s="17"/>
      <c r="G1151" s="17"/>
      <c r="H1151" s="17"/>
      <c r="I1151" s="17"/>
      <c r="J1151" s="17"/>
      <c r="K1151" s="17"/>
      <c r="L1151" s="17"/>
      <c r="M1151" s="17"/>
      <c r="N1151" s="17"/>
      <c r="O1151" s="17"/>
      <c r="P1151" s="372" t="str">
        <f>IF(OR(AND(CNTR_ExistProductSubEntries=FALSE,P973=1),AND(I973&lt;&gt;"",COUNTIF(P1152:$P$1876,"PRINT")=0)),"PRINT","")</f>
        <v/>
      </c>
      <c r="Q1151" s="145" t="s">
        <v>442</v>
      </c>
    </row>
    <row r="1152" spans="2:27" ht="5.0999999999999996" customHeight="1" thickBot="1" x14ac:dyDescent="0.3">
      <c r="B1152" s="17"/>
      <c r="C1152" s="957"/>
      <c r="D1152" s="957"/>
      <c r="E1152" s="957"/>
      <c r="F1152" s="957"/>
      <c r="G1152" s="957"/>
      <c r="H1152" s="957"/>
      <c r="I1152" s="957"/>
      <c r="J1152" s="957"/>
      <c r="K1152" s="957"/>
      <c r="L1152" s="957"/>
      <c r="M1152" s="957"/>
      <c r="N1152" s="957"/>
      <c r="O1152" s="17"/>
    </row>
    <row r="1153" spans="2:27" ht="14.4" thickBot="1" x14ac:dyDescent="0.3">
      <c r="B1153" s="17"/>
      <c r="C1153" s="456">
        <f>C973+1</f>
        <v>7</v>
      </c>
      <c r="D1153" s="1234" t="str">
        <f>EUconst_BMSubinst &amp; ":"</f>
        <v>Sub-installation with product benchmark:</v>
      </c>
      <c r="E1153" s="1176"/>
      <c r="F1153" s="1176"/>
      <c r="G1153" s="1176"/>
      <c r="H1153" s="1260"/>
      <c r="I1153" s="1550" t="str">
        <f>IF(INDEX(CNTR_SubInstListIsProdBM,$C1153),INDEX(CNTR_SubInstListNames,$C1153),"")</f>
        <v/>
      </c>
      <c r="J1153" s="1509"/>
      <c r="K1153" s="1509"/>
      <c r="L1153" s="1509"/>
      <c r="M1153" s="1509"/>
      <c r="N1153" s="1189"/>
      <c r="O1153" s="17"/>
      <c r="P1153" s="372">
        <f>C1153</f>
        <v>7</v>
      </c>
      <c r="Q1153" s="288" t="s">
        <v>296</v>
      </c>
      <c r="R1153" s="457" t="str">
        <f>IF(I1153="","",INDEX(CNTR_SubInstStartDate,MATCH($I1153,CNTR_SubInstListNames,0)))</f>
        <v/>
      </c>
      <c r="S1153" s="458" t="b">
        <f>IF($I1153="",FALSE,AND(I$1885, IF($R1153&lt;DATE($L$1882,1,1),YEAR($R1153)&lt;=I$1882,YEAR($R1153-1)&lt;I$1882) ) )</f>
        <v>0</v>
      </c>
      <c r="T1153" s="458" t="b">
        <f>IF($I1153="",FALSE,AND(J$1885, IF($R1153&lt;DATE($L$1882,1,1),YEAR($R1153)&lt;=J$1882,YEAR($R1153-1)&lt;J$1882) ) )</f>
        <v>0</v>
      </c>
      <c r="U1153" s="458" t="b">
        <f>IF($I1153="",FALSE,AND(K$1885, IF($R1153&lt;DATE($L$1882,1,1),YEAR($R1153)&lt;=K$1882,YEAR($R1153-1)&lt;K$1882) ) )</f>
        <v>0</v>
      </c>
      <c r="V1153" s="458" t="b">
        <f>IF($I1153="",FALSE,AND(L$1885, IF($R1153&lt;DATE($L$1882,1,1),YEAR($R1153)&lt;=L$1882,YEAR($R1153-1)&lt;L$1882) ) )</f>
        <v>0</v>
      </c>
      <c r="W1153" s="458" t="b">
        <f>IF($I1153="",FALSE,AND(M$1885, IF($R1153&lt;DATE($L$1882,1,1),YEAR($R1153)&lt;=M$1882,YEAR($R1153-1)&lt;M$1882) ) )</f>
        <v>0</v>
      </c>
      <c r="Z1153" s="288" t="s">
        <v>390</v>
      </c>
      <c r="AA1153" s="410" t="b">
        <f>AND(CNTR_ExistSubInstEntries,I1153="")</f>
        <v>0</v>
      </c>
    </row>
    <row r="1154" spans="2:27" ht="5.0999999999999996" customHeight="1" x14ac:dyDescent="0.25">
      <c r="B1154" s="17"/>
      <c r="C1154" s="17"/>
      <c r="D1154" s="17"/>
      <c r="E1154" s="17"/>
      <c r="F1154" s="17"/>
      <c r="G1154" s="17"/>
      <c r="H1154" s="17"/>
      <c r="I1154" s="17"/>
      <c r="J1154" s="17"/>
      <c r="K1154" s="17"/>
      <c r="L1154" s="17"/>
      <c r="M1154" s="17"/>
      <c r="N1154" s="17"/>
      <c r="O1154" s="17"/>
    </row>
    <row r="1155" spans="2:27" ht="12.75" customHeight="1" x14ac:dyDescent="0.25">
      <c r="B1155" s="17"/>
      <c r="C1155" s="17"/>
      <c r="D1155" s="17"/>
      <c r="E1155" s="1413" t="str">
        <f>CONCATENATE(EUconst_MsgSeeFirst," (F.I.1)")</f>
        <v>Detailed instructions for data entries in this tool can be found at the first copy of this tool.  (F.I.1)</v>
      </c>
      <c r="F1155" s="1413"/>
      <c r="G1155" s="1413"/>
      <c r="H1155" s="1413"/>
      <c r="I1155" s="1413"/>
      <c r="J1155" s="1413"/>
      <c r="K1155" s="1413"/>
      <c r="L1155" s="1413"/>
      <c r="M1155" s="1413"/>
      <c r="N1155" s="1413"/>
      <c r="O1155" s="17"/>
    </row>
    <row r="1156" spans="2:27" ht="5.0999999999999996" customHeight="1" x14ac:dyDescent="0.25">
      <c r="B1156" s="17"/>
      <c r="C1156" s="17"/>
      <c r="D1156" s="17"/>
      <c r="E1156" s="17"/>
      <c r="F1156" s="17"/>
      <c r="G1156" s="17"/>
      <c r="H1156" s="17"/>
      <c r="I1156" s="17"/>
      <c r="J1156" s="17"/>
      <c r="K1156" s="17"/>
      <c r="L1156" s="17"/>
      <c r="M1156" s="17"/>
      <c r="N1156" s="17"/>
      <c r="O1156" s="17"/>
    </row>
    <row r="1157" spans="2:27" ht="13.8" thickBot="1" x14ac:dyDescent="0.3">
      <c r="B1157" s="17"/>
      <c r="C1157" s="17"/>
      <c r="D1157" s="15" t="s">
        <v>190</v>
      </c>
      <c r="E1157" s="1165" t="str">
        <f>Translations!$B$670</f>
        <v>Historic activity levels</v>
      </c>
      <c r="F1157" s="1176"/>
      <c r="G1157" s="1176"/>
      <c r="H1157" s="1176"/>
      <c r="I1157" s="1176"/>
      <c r="J1157" s="1176"/>
      <c r="K1157" s="1176"/>
      <c r="L1157" s="1176"/>
      <c r="M1157" s="1176"/>
      <c r="N1157" s="1176"/>
      <c r="O1157" s="17"/>
    </row>
    <row r="1158" spans="2:27" ht="13.5" customHeight="1" thickBot="1" x14ac:dyDescent="0.3">
      <c r="B1158" s="17"/>
      <c r="C1158" s="17"/>
      <c r="D1158" s="15"/>
      <c r="E1158" s="1259" t="str">
        <f>Translations!$B$676</f>
        <v>Annual activity levels:</v>
      </c>
      <c r="F1158" s="1259"/>
      <c r="G1158" s="1259"/>
      <c r="H1158" s="23" t="str">
        <f>EUconst_Unit</f>
        <v>Unit</v>
      </c>
      <c r="I1158" s="128">
        <f>I$1882</f>
        <v>2019</v>
      </c>
      <c r="J1158" s="128">
        <f>J$1882</f>
        <v>2020</v>
      </c>
      <c r="K1158" s="128">
        <f>K$1882</f>
        <v>2021</v>
      </c>
      <c r="L1158" s="128">
        <f>L$1882</f>
        <v>2022</v>
      </c>
      <c r="M1158" s="144">
        <f>M$1882</f>
        <v>2023</v>
      </c>
      <c r="N1158" s="376" t="str">
        <f>IF(I1153="","",IF(S1163,YEAR(R1153)+1,""))</f>
        <v/>
      </c>
      <c r="O1158" s="17"/>
      <c r="Q1158" s="147" t="s">
        <v>395</v>
      </c>
      <c r="R1158" s="920"/>
      <c r="S1158" s="920"/>
      <c r="T1158" s="920"/>
      <c r="U1158" s="920"/>
      <c r="V1158" s="920"/>
      <c r="W1158" s="921"/>
      <c r="Y1158" s="316" t="b">
        <f>IF(CNTR_ExistSubInstEntries,IF(I1153&lt;&gt;"",NOT(S1163),TRUE),FALSE)</f>
        <v>0</v>
      </c>
      <c r="AA1158" s="145" t="s">
        <v>396</v>
      </c>
    </row>
    <row r="1159" spans="2:27" ht="13.8" thickBot="1" x14ac:dyDescent="0.3">
      <c r="B1159" s="17"/>
      <c r="C1159" s="17"/>
      <c r="D1159" s="113" t="s">
        <v>206</v>
      </c>
      <c r="E1159" s="1560" t="str">
        <f>I1153</f>
        <v/>
      </c>
      <c r="F1159" s="1560"/>
      <c r="G1159" s="1560"/>
      <c r="H1159" s="820" t="str">
        <f>IF(INDEX(CNTR_SubInstListIsProdBM,$C1153),INDEX(CNTR_SubInstListHALUnit,$C1153),EUconst_Tons)</f>
        <v>tonnes</v>
      </c>
      <c r="I1159" s="231"/>
      <c r="J1159" s="231"/>
      <c r="K1159" s="231"/>
      <c r="L1159" s="231"/>
      <c r="M1159" s="375"/>
      <c r="N1159" s="922"/>
      <c r="O1159" s="17"/>
      <c r="P1159" s="392" t="s">
        <v>397</v>
      </c>
      <c r="Q1159" s="581" t="s">
        <v>398</v>
      </c>
      <c r="R1159" s="65" t="s">
        <v>399</v>
      </c>
      <c r="S1159" s="808">
        <f>I1158</f>
        <v>2019</v>
      </c>
      <c r="T1159" s="809">
        <f>J1158</f>
        <v>2020</v>
      </c>
      <c r="U1159" s="809">
        <f>K1158</f>
        <v>2021</v>
      </c>
      <c r="V1159" s="809">
        <f>L1158</f>
        <v>2022</v>
      </c>
      <c r="W1159" s="810">
        <f>M1158</f>
        <v>2023</v>
      </c>
      <c r="Y1159" s="406" t="b">
        <f>IF(CNTR_ExistSubInstEntries,IF(AND(I1153&lt;&gt;"",N1160=""),NOT(S1163),TRUE),FALSE)</f>
        <v>0</v>
      </c>
      <c r="AA1159" s="316" t="b">
        <f>IF(CNTR_ExistSubInstEntries,AND(I1153&lt;&gt;"",Q1163),FALSE)</f>
        <v>0</v>
      </c>
    </row>
    <row r="1160" spans="2:27" ht="13.8" thickBot="1" x14ac:dyDescent="0.3">
      <c r="B1160" s="17"/>
      <c r="C1160" s="17"/>
      <c r="D1160" s="113" t="s">
        <v>208</v>
      </c>
      <c r="E1160" s="1560" t="str">
        <f>Translations!$B$677</f>
        <v>From sheet "H_SpecialBM":</v>
      </c>
      <c r="F1160" s="1560"/>
      <c r="G1160" s="1560"/>
      <c r="H1160" s="820" t="str">
        <f>H1159</f>
        <v>tonnes</v>
      </c>
      <c r="I1160" s="148" t="str">
        <f>IF($I1153="","",IF($Q1163,SUMIF(H_SpecialBM!$P$9:$P$384,$P1160,H_SpecialBM!I$9:I$384),""))</f>
        <v/>
      </c>
      <c r="J1160" s="148" t="str">
        <f>IF($I1153="","",IF($Q1163,SUMIF(H_SpecialBM!$P$9:$P$384,$P1160,H_SpecialBM!J$9:J$384),""))</f>
        <v/>
      </c>
      <c r="K1160" s="148" t="str">
        <f>IF($I1153="","",IF($Q1163,SUMIF(H_SpecialBM!$P$9:$P$384,$P1160,H_SpecialBM!K$9:K$384),""))</f>
        <v/>
      </c>
      <c r="L1160" s="148" t="str">
        <f>IF($I1153="","",IF($Q1163,SUMIF(H_SpecialBM!$P$9:$P$384,$P1160,H_SpecialBM!L$9:L$384),""))</f>
        <v/>
      </c>
      <c r="M1160" s="923" t="str">
        <f>IF($I1153="","",IF($Q1163,SUMIF(H_SpecialBM!$P$9:$P$384,$P1160,H_SpecialBM!M$9:M$384),""))</f>
        <v/>
      </c>
      <c r="N1160" s="924" t="str">
        <f>IF($I1153="","",IF(AND($Q1163,$S1163),SUMIF(H_SpecialBM!$P$9:$P$384,$P1160,H_SpecialBM!N$9:N$384),""))</f>
        <v/>
      </c>
      <c r="O1160" s="17"/>
      <c r="P1160" s="392" t="str">
        <f>EUconst_CNTR_HALspecial&amp;I1153</f>
        <v>HALspecial_</v>
      </c>
      <c r="Q1160" s="391" t="str">
        <f>IF(COUNT($U1160:$V1160)&gt;0,SUM($U1160:$V1160),"")</f>
        <v/>
      </c>
      <c r="R1160" s="925" t="str">
        <f>IF(COUNT(S1160:W1160)&gt;0,AVERAGE(S1160:W1160),"")</f>
        <v/>
      </c>
      <c r="S1160" s="385" t="str">
        <f>IF(S1153,IF(ISNUMBER(I1160),I1160,""),"")</f>
        <v/>
      </c>
      <c r="T1160" s="926" t="str">
        <f>IF(T1153,IF(ISNUMBER(J1160),J1160,""),"")</f>
        <v/>
      </c>
      <c r="U1160" s="926" t="str">
        <f>IF(U1153,IF(ISNUMBER(K1160),K1160,""),"")</f>
        <v/>
      </c>
      <c r="V1160" s="926" t="str">
        <f>IF(V1153,IF(ISNUMBER(L1160),L1160,""),"")</f>
        <v/>
      </c>
      <c r="W1160" s="925" t="str">
        <f>IF(W1153,IF(ISNUMBER(M1160),M1160,""),"")</f>
        <v/>
      </c>
      <c r="Y1160" s="406" t="b">
        <f>OR(Y1158,AA1160)</f>
        <v>0</v>
      </c>
      <c r="AA1160" s="317" t="b">
        <f>Q1163=FALSE</f>
        <v>0</v>
      </c>
    </row>
    <row r="1161" spans="2:27" ht="13.8" thickBot="1" x14ac:dyDescent="0.3">
      <c r="B1161" s="17"/>
      <c r="C1161" s="17"/>
      <c r="D1161" s="113" t="s">
        <v>209</v>
      </c>
      <c r="E1161" s="1560" t="str">
        <f>Translations!$B$678</f>
        <v>Values used for calculation:</v>
      </c>
      <c r="F1161" s="1560"/>
      <c r="G1161" s="1560"/>
      <c r="H1161" s="820" t="str">
        <f>H1160</f>
        <v>tonnes</v>
      </c>
      <c r="I1161" s="148" t="str">
        <f>IF($I1153="","",IF($Q1163=TRUE,IF(ISNUMBER(I1160),I1160,0),IF(ISNUMBER(I1159),I1159,0)))</f>
        <v/>
      </c>
      <c r="J1161" s="148" t="str">
        <f>IF($I1153="","",IF($Q1163=TRUE,IF(ISNUMBER(J1160),J1160,0),IF(ISNUMBER(J1159),J1159,0)))</f>
        <v/>
      </c>
      <c r="K1161" s="148" t="str">
        <f>IF($I1153="","",IF($Q1163=TRUE,IF(ISNUMBER(K1160),K1160,0),IF(ISNUMBER(K1159),K1159,0)))</f>
        <v/>
      </c>
      <c r="L1161" s="148" t="str">
        <f>IF($I1153="","",IF($Q1163=TRUE,IF(ISNUMBER(L1160),L1160,0),IF(ISNUMBER(L1159),L1159,0)))</f>
        <v/>
      </c>
      <c r="M1161" s="923" t="str">
        <f>IF($I1153="","",IF($Q1163=TRUE,IF(ISNUMBER(M1160),M1160,0),IF(ISNUMBER(M1159),M1159,0)))</f>
        <v/>
      </c>
      <c r="N1161" s="924" t="str">
        <f>IF($I1153="","",IF(S1163,IF($Q1163=TRUE,IF(ISNUMBER(N1160),N1160,0),IF(ISNUMBER(N1159),N1159,0)),""))</f>
        <v/>
      </c>
      <c r="O1161" s="17"/>
      <c r="P1161" s="392" t="str">
        <f>EUconst_CNTR_HAL&amp;I1153</f>
        <v>HAL_</v>
      </c>
      <c r="Q1161" s="286" t="str">
        <f>IF(COUNT($U1161:$V1161)&gt;0,SUM($U1161:$V1161),"")</f>
        <v/>
      </c>
      <c r="R1161" s="390" t="str">
        <f>IF(COUNT(S1161:W1161)&gt;0,AVERAGE(S1161:W1161),"")</f>
        <v/>
      </c>
      <c r="S1161" s="388" t="str">
        <f>IF(S1153,IF(ISNUMBER(I1161),I1161,""),"")</f>
        <v/>
      </c>
      <c r="T1161" s="389" t="str">
        <f>IF(T1153,IF(ISNUMBER(J1161),J1161,""),"")</f>
        <v/>
      </c>
      <c r="U1161" s="389" t="str">
        <f>IF(U1153,IF(ISNUMBER(K1161),K1161,""),"")</f>
        <v/>
      </c>
      <c r="V1161" s="389" t="str">
        <f>IF(V1153,IF(ISNUMBER(L1161),L1161,""),"")</f>
        <v/>
      </c>
      <c r="W1161" s="390" t="str">
        <f>IF(W1153,IF(ISNUMBER(M1161),M1161,""),"")</f>
        <v/>
      </c>
      <c r="Y1161" s="286" t="b">
        <f>Y1158</f>
        <v>0</v>
      </c>
    </row>
    <row r="1162" spans="2:27" ht="5.0999999999999996" customHeight="1" x14ac:dyDescent="0.25">
      <c r="B1162" s="17"/>
      <c r="C1162" s="17"/>
      <c r="D1162" s="17"/>
      <c r="E1162" s="17"/>
      <c r="F1162" s="17"/>
      <c r="G1162" s="17"/>
      <c r="H1162" s="17"/>
      <c r="I1162" s="17"/>
      <c r="J1162" s="17"/>
      <c r="K1162" s="17"/>
      <c r="L1162" s="17"/>
      <c r="M1162" s="17"/>
      <c r="N1162" s="17"/>
      <c r="O1162" s="17"/>
    </row>
    <row r="1163" spans="2:27" x14ac:dyDescent="0.25">
      <c r="B1163" s="17"/>
      <c r="C1163" s="17"/>
      <c r="D1163" s="15" t="s">
        <v>192</v>
      </c>
      <c r="E1163" s="1165" t="str">
        <f>Translations!$B$679</f>
        <v>Special reporting requirements:</v>
      </c>
      <c r="F1163" s="1165"/>
      <c r="G1163" s="1425"/>
      <c r="H1163" s="1561" t="str">
        <f>IF(I1153="","",HYPERLINK(INDEX(EUconst_BMlistSpecialJumpTable,MATCH(I1153,EUconst_BMlistNames,0)),INDEX(EUconst_BMlistSpecialReporting,MATCH(I1153,EUconst_BMlistNames,0))))</f>
        <v/>
      </c>
      <c r="I1163" s="1562"/>
      <c r="J1163" s="1562"/>
      <c r="K1163" s="1562"/>
      <c r="L1163" s="1562"/>
      <c r="M1163" s="1562"/>
      <c r="N1163" s="1563"/>
      <c r="O1163" s="17"/>
      <c r="P1163" s="288" t="s">
        <v>400</v>
      </c>
      <c r="Q1163" s="63" t="str">
        <f>IF(I1153="","",IF(AND(INDEX(EUconst_BMlistSpecialJumpTable,MATCH(I1153,EUconst_BMlistNames,0))&lt;&gt;"",MATCH(I1153,EUconst_BMlistNames,0)&lt;&gt;47),TRUE,FALSE))</f>
        <v/>
      </c>
      <c r="R1163" s="288" t="s">
        <v>304</v>
      </c>
      <c r="S1163" s="63" t="b">
        <f>IF(I1153="",FALSE,INDEX(CNTR_SubInstLess1Year,MATCH(I1153,CNTR_SubInstListNames,0)))</f>
        <v>0</v>
      </c>
    </row>
    <row r="1164" spans="2:27" ht="12.75" customHeight="1" x14ac:dyDescent="0.25">
      <c r="B1164" s="17"/>
      <c r="C1164" s="17"/>
      <c r="D1164" s="17"/>
      <c r="E1164" s="17"/>
      <c r="F1164" s="17"/>
      <c r="G1164" s="17"/>
      <c r="H1164" s="17"/>
      <c r="I1164" s="17"/>
      <c r="J1164" s="17"/>
      <c r="K1164" s="17"/>
      <c r="L1164" s="17"/>
      <c r="M1164" s="17"/>
      <c r="N1164" s="17"/>
      <c r="O1164" s="17"/>
    </row>
    <row r="1165" spans="2:27" ht="15" customHeight="1" x14ac:dyDescent="0.25">
      <c r="B1165" s="17"/>
      <c r="C1165" s="17"/>
      <c r="D1165" s="1234" t="str">
        <f>Translations!$B$681</f>
        <v>Further correction factors</v>
      </c>
      <c r="E1165" s="1176"/>
      <c r="F1165" s="1176"/>
      <c r="G1165" s="1176"/>
      <c r="H1165" s="1176"/>
      <c r="I1165" s="1176"/>
      <c r="J1165" s="1176"/>
      <c r="K1165" s="1176"/>
      <c r="L1165" s="1176"/>
      <c r="M1165" s="1176"/>
      <c r="N1165" s="1176"/>
      <c r="O1165" s="17"/>
    </row>
    <row r="1166" spans="2:27" ht="5.0999999999999996" customHeight="1" x14ac:dyDescent="0.25">
      <c r="B1166" s="17"/>
      <c r="C1166" s="17"/>
      <c r="D1166" s="17"/>
      <c r="E1166" s="17"/>
      <c r="F1166" s="17"/>
      <c r="G1166" s="17"/>
      <c r="H1166" s="17"/>
      <c r="I1166" s="17"/>
      <c r="J1166" s="17"/>
      <c r="K1166" s="17"/>
      <c r="L1166" s="17"/>
      <c r="M1166" s="17"/>
      <c r="N1166" s="17"/>
      <c r="O1166" s="17"/>
    </row>
    <row r="1167" spans="2:27" ht="13.8" thickBot="1" x14ac:dyDescent="0.3">
      <c r="B1167" s="17"/>
      <c r="C1167" s="17"/>
      <c r="D1167" s="15" t="s">
        <v>195</v>
      </c>
      <c r="E1167" s="1165" t="str">
        <f>Translations!$B$682</f>
        <v>Exchangeability of fuel and electricity:</v>
      </c>
      <c r="F1167" s="1176"/>
      <c r="G1167" s="1176"/>
      <c r="H1167" s="1176"/>
      <c r="I1167" s="1260"/>
      <c r="J1167" s="1561" t="str">
        <f>IF(I1153="","",IF(INDEX(EUconst_BMlistElExchangability,MATCH(I1153,EUconst_BMlistNames,0))=TRUE,"",HYPERLINK(Q1167,EUconst_MsgGoOn)))</f>
        <v/>
      </c>
      <c r="K1167" s="1564"/>
      <c r="L1167" s="1564"/>
      <c r="M1167" s="1564"/>
      <c r="N1167" s="1205"/>
      <c r="O1167" s="17"/>
      <c r="P1167" s="145" t="s">
        <v>334</v>
      </c>
      <c r="Q1167" s="372" t="str">
        <f>"#"&amp;ADDRESS(ROW(D1175),COLUMN(D1175))</f>
        <v>#$D$1175</v>
      </c>
    </row>
    <row r="1168" spans="2:27" ht="13.8" thickBot="1" x14ac:dyDescent="0.3">
      <c r="B1168" s="17"/>
      <c r="C1168" s="17"/>
      <c r="D1168" s="15"/>
      <c r="E1168" s="1259" t="str">
        <f>Translations!$B$686</f>
        <v>Parameter</v>
      </c>
      <c r="F1168" s="1212"/>
      <c r="G1168" s="1212"/>
      <c r="H1168" s="23" t="str">
        <f>EUconst_Unit</f>
        <v>Unit</v>
      </c>
      <c r="I1168" s="128">
        <f>I$66</f>
        <v>2019</v>
      </c>
      <c r="J1168" s="128">
        <f>J$66</f>
        <v>2020</v>
      </c>
      <c r="K1168" s="128">
        <f>K$66</f>
        <v>2021</v>
      </c>
      <c r="L1168" s="128">
        <f>L$66</f>
        <v>2022</v>
      </c>
      <c r="M1168" s="144">
        <f>M$66</f>
        <v>2023</v>
      </c>
      <c r="N1168" s="376" t="str">
        <f>IF(AA1169=FALSE,N1158,"")</f>
        <v/>
      </c>
      <c r="O1168" s="17"/>
      <c r="Y1168" s="316" t="b">
        <f>OR(Y1158,AA1169)</f>
        <v>0</v>
      </c>
      <c r="AA1168" s="145" t="s">
        <v>402</v>
      </c>
    </row>
    <row r="1169" spans="2:27" ht="13.8" thickBot="1" x14ac:dyDescent="0.3">
      <c r="B1169" s="17"/>
      <c r="C1169" s="17"/>
      <c r="D1169" s="113" t="s">
        <v>206</v>
      </c>
      <c r="E1169" s="1248" t="str">
        <f>Translations!$B$687</f>
        <v>Direct emissions</v>
      </c>
      <c r="F1169" s="1248"/>
      <c r="G1169" s="1248"/>
      <c r="H1169" s="222" t="str">
        <f>EUconst_tCO2pa</f>
        <v>t CO2 / year</v>
      </c>
      <c r="I1169" s="331"/>
      <c r="J1169" s="331"/>
      <c r="K1169" s="332"/>
      <c r="L1169" s="331"/>
      <c r="M1169" s="377"/>
      <c r="N1169" s="383"/>
      <c r="O1169" s="17"/>
      <c r="Y1169" s="285" t="b">
        <f>Y1168</f>
        <v>0</v>
      </c>
      <c r="AA1169" s="316" t="b">
        <f>IF(CNTR_ExistSubInstEntries,IF(I1153&lt;&gt;"",IF(INDEX(EUconst_BMlistElExchangability,MATCH(I1153,EUconst_BMlistNames,0)),FALSE,TRUE),TRUE),FALSE)</f>
        <v>0</v>
      </c>
    </row>
    <row r="1170" spans="2:27" x14ac:dyDescent="0.25">
      <c r="B1170" s="17"/>
      <c r="C1170" s="17"/>
      <c r="D1170" s="113" t="s">
        <v>208</v>
      </c>
      <c r="E1170" s="1251" t="str">
        <f>Translations!$B$688</f>
        <v>Net imported heat</v>
      </c>
      <c r="F1170" s="1251"/>
      <c r="G1170" s="1251"/>
      <c r="H1170" s="225" t="str">
        <f>EUconst_TJpa</f>
        <v>TJ / year</v>
      </c>
      <c r="I1170" s="226" t="str">
        <f>IF($I1153&lt;&gt;"",IF(INDEX(EUconst_BMlistElExchangability,MATCH($I1153,EUconst_BMlistNames,0)),SUM(I1254),""),"")</f>
        <v/>
      </c>
      <c r="J1170" s="226" t="str">
        <f>IF($I1153&lt;&gt;"",IF(INDEX(EUconst_BMlistElExchangability,MATCH($I1153,EUconst_BMlistNames,0)),SUM(J1254),""),"")</f>
        <v/>
      </c>
      <c r="K1170" s="226" t="str">
        <f>IF($I1153&lt;&gt;"",IF(INDEX(EUconst_BMlistElExchangability,MATCH($I1153,EUconst_BMlistNames,0)),SUM(K1254),""),"")</f>
        <v/>
      </c>
      <c r="L1170" s="226" t="str">
        <f>IF($I1153&lt;&gt;"",IF(INDEX(EUconst_BMlistElExchangability,MATCH($I1153,EUconst_BMlistNames,0)),SUM(L1254),""),"")</f>
        <v/>
      </c>
      <c r="M1170" s="378" t="str">
        <f>IF($I1153&lt;&gt;"",IF(INDEX(EUconst_BMlistElExchangability,MATCH($I1153,EUconst_BMlistNames,0)),SUM(M1254),""),"")</f>
        <v/>
      </c>
      <c r="N1170" s="384"/>
      <c r="O1170" s="17"/>
      <c r="R1170" s="459"/>
      <c r="S1170" s="326">
        <f>I1168</f>
        <v>2019</v>
      </c>
      <c r="T1170" s="326">
        <f>J1168</f>
        <v>2020</v>
      </c>
      <c r="U1170" s="326">
        <f>K1168</f>
        <v>2021</v>
      </c>
      <c r="V1170" s="326">
        <f>L1168</f>
        <v>2022</v>
      </c>
      <c r="W1170" s="327">
        <f>M1168</f>
        <v>2023</v>
      </c>
      <c r="Y1170" s="285" t="b">
        <f>Y1169</f>
        <v>0</v>
      </c>
      <c r="AA1170" s="285" t="b">
        <f>AA1169</f>
        <v>0</v>
      </c>
    </row>
    <row r="1171" spans="2:27" ht="12.75" customHeight="1" thickBot="1" x14ac:dyDescent="0.3">
      <c r="B1171" s="17"/>
      <c r="C1171" s="17"/>
      <c r="D1171" s="113" t="s">
        <v>209</v>
      </c>
      <c r="E1171" s="1565" t="str">
        <f>Translations!$B$689</f>
        <v>Relevant electricity consumption</v>
      </c>
      <c r="F1171" s="1565"/>
      <c r="G1171" s="1565"/>
      <c r="H1171" s="927" t="str">
        <f>EUconst_MWhpa</f>
        <v>MWh / year</v>
      </c>
      <c r="I1171" s="928"/>
      <c r="J1171" s="928"/>
      <c r="K1171" s="928"/>
      <c r="L1171" s="928"/>
      <c r="M1171" s="929"/>
      <c r="N1171" s="930"/>
      <c r="O1171" s="17"/>
      <c r="P1171" s="63" t="str">
        <f>EUconst_CNTR_HAL&amp;EUconst_CNTR_ELEXCH</f>
        <v>HAL_ELEXCH_</v>
      </c>
      <c r="Q1171" s="63" t="str">
        <f>EUconst_CNTR_HAL&amp;EUconst_CNTR_ELEXCH &amp; I1153</f>
        <v>HAL_ELEXCH_</v>
      </c>
      <c r="R1171" s="460" t="str">
        <f>EUconst_CNTR_AttributedEmissions &amp; I1153</f>
        <v>AttrEmissions_</v>
      </c>
      <c r="S1171" s="389" t="str">
        <f>IF(S1153,SUM(I1171)*EUconst_ElBM,"")</f>
        <v/>
      </c>
      <c r="T1171" s="389" t="str">
        <f>IF(T1153,SUM(J1171)*EUconst_ElBM,"")</f>
        <v/>
      </c>
      <c r="U1171" s="389" t="str">
        <f>IF(U1153,SUM(K1171)*EUconst_ElBM,"")</f>
        <v/>
      </c>
      <c r="V1171" s="389" t="str">
        <f>IF(V1153,SUM(L1171)*EUconst_ElBM,"")</f>
        <v/>
      </c>
      <c r="W1171" s="390" t="str">
        <f>IF(W1153,SUM(M1171)*EUconst_ElBM,"")</f>
        <v/>
      </c>
      <c r="X1171" s="145" t="str">
        <f>N1168</f>
        <v/>
      </c>
      <c r="Y1171" s="285" t="b">
        <f>Y1170</f>
        <v>0</v>
      </c>
      <c r="AA1171" s="285" t="b">
        <f>AA1170</f>
        <v>0</v>
      </c>
    </row>
    <row r="1172" spans="2:27" ht="13.8" thickBot="1" x14ac:dyDescent="0.3">
      <c r="B1172" s="17"/>
      <c r="C1172" s="17"/>
      <c r="D1172" s="113" t="s">
        <v>210</v>
      </c>
      <c r="E1172" s="1248" t="str">
        <f>Translations!$B$690</f>
        <v>Total direct emissions</v>
      </c>
      <c r="F1172" s="1248"/>
      <c r="G1172" s="1248"/>
      <c r="H1172" s="222" t="str">
        <f>EUconst_tCO2pa</f>
        <v>t CO2 / year</v>
      </c>
      <c r="I1172" s="223" t="str">
        <f>IF(ISNUMBER(I1169),I1169+SUM(I1170)*EUconst_HeatBMvalue,"")</f>
        <v/>
      </c>
      <c r="J1172" s="223" t="str">
        <f>IF(ISNUMBER(J1169),J1169+SUM(J1170)*EUconst_HeatBMvalue,"")</f>
        <v/>
      </c>
      <c r="K1172" s="224" t="str">
        <f>IF(ISNUMBER(K1169),K1169+SUM(K1170)*EUconst_HeatBMvalue,"")</f>
        <v/>
      </c>
      <c r="L1172" s="223" t="str">
        <f>IF(ISNUMBER(L1169),L1169+SUM(L1170)*EUconst_HeatBMvalue,"")</f>
        <v/>
      </c>
      <c r="M1172" s="379" t="str">
        <f>IF(ISNUMBER(M1169),M1169+SUM(M1170)*EUconst_HeatBMvalue,"")</f>
        <v/>
      </c>
      <c r="N1172" s="381" t="str">
        <f>IF(AND(S1163,ISNUMBER(N1169)),N1169+SUM(N1170)*EUconst_HeatBMvalue,"")</f>
        <v/>
      </c>
      <c r="O1172" s="17"/>
      <c r="R1172" s="288" t="s">
        <v>403</v>
      </c>
      <c r="S1172" s="385" t="str">
        <f>IF(S1153,IF(ISNUMBER(I1172),I1172,0),"")</f>
        <v/>
      </c>
      <c r="T1172" s="386" t="str">
        <f>IF(T1153,IF(ISNUMBER(J1172),J1172,0),"")</f>
        <v/>
      </c>
      <c r="U1172" s="386" t="str">
        <f>IF(U1153,IF(ISNUMBER(K1172),K1172,0),"")</f>
        <v/>
      </c>
      <c r="V1172" s="386" t="str">
        <f>IF(V1153,IF(ISNUMBER(L1172),L1172,0),"")</f>
        <v/>
      </c>
      <c r="W1172" s="387" t="str">
        <f>IF(W1153,IF(ISNUMBER(M1172),M1172,0),"")</f>
        <v/>
      </c>
      <c r="X1172" s="391" t="str">
        <f>IF(S1163,IF(ISNUMBER(N1172),N1172,0),"")</f>
        <v/>
      </c>
      <c r="Y1172" s="285" t="b">
        <f>Y1171</f>
        <v>0</v>
      </c>
      <c r="AA1172" s="285" t="b">
        <f>AA1171</f>
        <v>0</v>
      </c>
    </row>
    <row r="1173" spans="2:27" ht="13.8" thickBot="1" x14ac:dyDescent="0.3">
      <c r="B1173" s="17"/>
      <c r="C1173" s="17"/>
      <c r="D1173" s="113" t="s">
        <v>220</v>
      </c>
      <c r="E1173" s="1254" t="str">
        <f>Translations!$B$691</f>
        <v>Indirect emissions</v>
      </c>
      <c r="F1173" s="1254"/>
      <c r="G1173" s="1254"/>
      <c r="H1173" s="227" t="str">
        <f>EUconst_tCO2pa</f>
        <v>t CO2 / year</v>
      </c>
      <c r="I1173" s="228" t="str">
        <f t="shared" ref="I1173:N1173" si="24">IF(ISNUMBER(I1171),I1171*EUconst_ElBM,"")</f>
        <v/>
      </c>
      <c r="J1173" s="228" t="str">
        <f t="shared" si="24"/>
        <v/>
      </c>
      <c r="K1173" s="229" t="str">
        <f t="shared" si="24"/>
        <v/>
      </c>
      <c r="L1173" s="228" t="str">
        <f t="shared" si="24"/>
        <v/>
      </c>
      <c r="M1173" s="380" t="str">
        <f t="shared" si="24"/>
        <v/>
      </c>
      <c r="N1173" s="382" t="str">
        <f t="shared" si="24"/>
        <v/>
      </c>
      <c r="O1173" s="17"/>
      <c r="P1173" s="392" t="str">
        <f>EUconst_CNTR_ELEXCH &amp; I1153</f>
        <v>ELEXCH_</v>
      </c>
      <c r="Q1173" s="393" t="str">
        <f>IF(SUM(S1173:X1173)&lt;&gt;0,SUM(S1172:X1172)/SUM(S1173:X1173),EUconst_NA)</f>
        <v>N.A.</v>
      </c>
      <c r="R1173" s="288" t="s">
        <v>323</v>
      </c>
      <c r="S1173" s="388" t="str">
        <f>IF(S1153,IF(COUNT(I1172:I1173)&gt;0,SUM(I1172:I1173),0),"")</f>
        <v/>
      </c>
      <c r="T1173" s="389" t="str">
        <f>IF(T1153,IF(COUNT(J1172:J1173)&gt;0,SUM(J1172:J1173),0),"")</f>
        <v/>
      </c>
      <c r="U1173" s="389" t="str">
        <f>IF(U1153,IF(COUNT(K1172:K1173)&gt;0,SUM(K1172:K1173),0),"")</f>
        <v/>
      </c>
      <c r="V1173" s="389" t="str">
        <f>IF(V1153,IF(COUNT(L1172:L1173)&gt;0,SUM(L1172:L1173),0),"")</f>
        <v/>
      </c>
      <c r="W1173" s="390" t="str">
        <f>IF(W1153,IF(COUNT(M1172:M1173)&gt;0,SUM(M1172:M1173),0),"")</f>
        <v/>
      </c>
      <c r="X1173" s="286" t="str">
        <f>IF(S1163,IF(COUNT(N1172:N1173)&gt;0,SUM(N1172:N1173),0),"")</f>
        <v/>
      </c>
      <c r="Y1173" s="286" t="b">
        <f>Y1172</f>
        <v>0</v>
      </c>
      <c r="AA1173" s="286" t="b">
        <f>AA1172</f>
        <v>0</v>
      </c>
    </row>
    <row r="1174" spans="2:27" ht="5.0999999999999996" customHeight="1" x14ac:dyDescent="0.25">
      <c r="B1174" s="17"/>
      <c r="C1174" s="17"/>
      <c r="D1174" s="17"/>
      <c r="E1174" s="17"/>
      <c r="F1174" s="17"/>
      <c r="G1174" s="17"/>
      <c r="H1174" s="17"/>
      <c r="I1174" s="17"/>
      <c r="J1174" s="17"/>
      <c r="K1174" s="17"/>
      <c r="L1174" s="17"/>
      <c r="M1174" s="17"/>
      <c r="N1174" s="17"/>
      <c r="O1174" s="17"/>
    </row>
    <row r="1175" spans="2:27" x14ac:dyDescent="0.25">
      <c r="B1175" s="17"/>
      <c r="C1175" s="17"/>
      <c r="D1175" s="15" t="s">
        <v>197</v>
      </c>
      <c r="E1175" s="1165" t="str">
        <f>Translations!$B$692</f>
        <v>Heat imported from non-ETS installations or entities:</v>
      </c>
      <c r="F1175" s="1165"/>
      <c r="G1175" s="1165"/>
      <c r="H1175" s="1165"/>
      <c r="I1175" s="1425"/>
      <c r="J1175" s="1561" t="str">
        <f>IF(I1153="","",HYPERLINK(Q1175,EUconst_MsgGoOnIfNotRelevant))</f>
        <v/>
      </c>
      <c r="K1175" s="1564"/>
      <c r="L1175" s="1564"/>
      <c r="M1175" s="1564"/>
      <c r="N1175" s="1205"/>
      <c r="O1175" s="17"/>
      <c r="P1175" s="145" t="s">
        <v>334</v>
      </c>
      <c r="Q1175" s="372" t="str">
        <f>"#"&amp;ADDRESS(ROW(D1182),COLUMN(D1182))</f>
        <v>#$D$1182</v>
      </c>
    </row>
    <row r="1176" spans="2:27" ht="13.5" customHeight="1" thickBot="1" x14ac:dyDescent="0.3">
      <c r="B1176" s="17"/>
      <c r="C1176" s="17"/>
      <c r="D1176" s="17"/>
      <c r="E1176" s="1223"/>
      <c r="F1176" s="1223"/>
      <c r="G1176" s="1223"/>
      <c r="H1176" s="1223"/>
      <c r="I1176" s="1223"/>
      <c r="J1176" s="1223"/>
      <c r="K1176" s="1223"/>
      <c r="L1176" s="1223"/>
      <c r="M1176" s="1223"/>
      <c r="N1176" s="1223"/>
      <c r="O1176" s="17"/>
      <c r="Y1176" s="145" t="s">
        <v>394</v>
      </c>
    </row>
    <row r="1177" spans="2:27" ht="13.8" thickBot="1" x14ac:dyDescent="0.3">
      <c r="B1177" s="17"/>
      <c r="C1177" s="17"/>
      <c r="D1177" s="15"/>
      <c r="E1177" s="1259" t="str">
        <f>Translations!$B$686</f>
        <v>Parameter</v>
      </c>
      <c r="F1177" s="1212"/>
      <c r="G1177" s="1212"/>
      <c r="H1177" s="23" t="str">
        <f>EUconst_Unit</f>
        <v>Unit</v>
      </c>
      <c r="I1177" s="128">
        <f>I$66</f>
        <v>2019</v>
      </c>
      <c r="J1177" s="128">
        <f>J$66</f>
        <v>2020</v>
      </c>
      <c r="K1177" s="128">
        <f>K$66</f>
        <v>2021</v>
      </c>
      <c r="L1177" s="128">
        <f>L$66</f>
        <v>2022</v>
      </c>
      <c r="M1177" s="144">
        <f>M$66</f>
        <v>2023</v>
      </c>
      <c r="N1177" s="376" t="str">
        <f>N1168</f>
        <v/>
      </c>
      <c r="O1177" s="17"/>
      <c r="Q1177" s="28"/>
      <c r="S1177" s="28">
        <f t="shared" ref="S1177:X1177" si="25">I1177</f>
        <v>2019</v>
      </c>
      <c r="T1177" s="28">
        <f t="shared" si="25"/>
        <v>2020</v>
      </c>
      <c r="U1177" s="28">
        <f t="shared" si="25"/>
        <v>2021</v>
      </c>
      <c r="V1177" s="28">
        <f t="shared" si="25"/>
        <v>2022</v>
      </c>
      <c r="W1177" s="28">
        <f t="shared" si="25"/>
        <v>2023</v>
      </c>
      <c r="X1177" s="145" t="str">
        <f t="shared" si="25"/>
        <v/>
      </c>
      <c r="Y1177" s="295" t="b">
        <f>Y1158</f>
        <v>0</v>
      </c>
      <c r="Z1177" s="28"/>
      <c r="AA1177" s="145" t="s">
        <v>396</v>
      </c>
    </row>
    <row r="1178" spans="2:27" ht="13.8" thickBot="1" x14ac:dyDescent="0.3">
      <c r="B1178" s="17"/>
      <c r="C1178" s="17"/>
      <c r="D1178" s="113" t="s">
        <v>206</v>
      </c>
      <c r="E1178" s="1412" t="str">
        <f>Translations!$B$697</f>
        <v>Measurable heat imported from non-ETS:</v>
      </c>
      <c r="F1178" s="1412"/>
      <c r="G1178" s="1412"/>
      <c r="H1178" s="43" t="str">
        <f>EUconst_TJpa</f>
        <v>TJ / year</v>
      </c>
      <c r="I1178" s="293"/>
      <c r="J1178" s="293"/>
      <c r="K1178" s="293"/>
      <c r="L1178" s="293"/>
      <c r="M1178" s="931"/>
      <c r="N1178" s="397"/>
      <c r="O1178" s="17"/>
      <c r="P1178" s="63" t="str">
        <f>EUconst_CNTR_HAL&amp;EUconst_CNTR_nonETSMeasHeat</f>
        <v>HAL_non-ETS measurable heat</v>
      </c>
      <c r="S1178" s="808" t="str">
        <f>IF(S1153,IF(ISNUMBER(I1178),I1178,0),"")</f>
        <v/>
      </c>
      <c r="T1178" s="809" t="str">
        <f>IF(T1153,IF(ISNUMBER(J1178),J1178,0),"")</f>
        <v/>
      </c>
      <c r="U1178" s="809" t="str">
        <f>IF(U1153,IF(ISNUMBER(K1178),K1178,0),"")</f>
        <v/>
      </c>
      <c r="V1178" s="809" t="str">
        <f>IF(V1153,IF(ISNUMBER(L1178),L1178,0),"")</f>
        <v/>
      </c>
      <c r="W1178" s="810" t="str">
        <f>IF(W1153,IF(ISNUMBER(M1178),M1178,0),"")</f>
        <v/>
      </c>
      <c r="X1178" s="215" t="str">
        <f>IF(S1163,IF(ISNUMBER(N1178),N1178,0),"")</f>
        <v/>
      </c>
      <c r="Y1178" s="286" t="b">
        <f>Y1177</f>
        <v>0</v>
      </c>
      <c r="AA1178" s="316" t="b">
        <f>AND(CNTR_ExistSubInstEntries,I1153="")</f>
        <v>0</v>
      </c>
    </row>
    <row r="1179" spans="2:27" ht="25.5" customHeight="1" thickBot="1" x14ac:dyDescent="0.3">
      <c r="B1179" s="17"/>
      <c r="C1179" s="17"/>
      <c r="D1179" s="113" t="s">
        <v>208</v>
      </c>
      <c r="E1179" s="1248" t="str">
        <f>Translations!$B$698</f>
        <v>Consistency check with sheet "E_Energy flows":</v>
      </c>
      <c r="F1179" s="1248"/>
      <c r="G1179" s="1248"/>
      <c r="H1179" s="856" t="s">
        <v>354</v>
      </c>
      <c r="I1179" s="932" t="str">
        <f>IF(AND(ISNUMBER(I1178),ISNUMBER(E_EnergyFlows!I$102)), I1178/E_EnergyFlows!I$102*100,"")</f>
        <v/>
      </c>
      <c r="J1179" s="932" t="str">
        <f>IF(AND(ISNUMBER(J1178),ISNUMBER(E_EnergyFlows!J$102)), J1178/E_EnergyFlows!J$102*100,"")</f>
        <v/>
      </c>
      <c r="K1179" s="932" t="str">
        <f>IF(AND(ISNUMBER(K1178),ISNUMBER(E_EnergyFlows!K$102)), K1178/E_EnergyFlows!K$102*100,"")</f>
        <v/>
      </c>
      <c r="L1179" s="932" t="str">
        <f>IF(AND(ISNUMBER(L1178),ISNUMBER(E_EnergyFlows!L$102)), L1178/E_EnergyFlows!L$102*100,"")</f>
        <v/>
      </c>
      <c r="M1179" s="933" t="str">
        <f>IF(AND(ISNUMBER(M1178),ISNUMBER(E_EnergyFlows!M$102)), M1178/E_EnergyFlows!M$102*100,"")</f>
        <v/>
      </c>
      <c r="N1179" s="646"/>
      <c r="O1179" s="17"/>
      <c r="P1179" s="392" t="str">
        <f>EUconst_CNTR_HEAT &amp; I1153</f>
        <v>HEAT_</v>
      </c>
      <c r="Q1179" s="109" t="str">
        <f>IF(COUNT(S1178:X1178)&gt;0,AVERAGE(S1178:X1178)*EUconst_HeatBMvalue,EUconst_NA)</f>
        <v>N.A.</v>
      </c>
      <c r="AA1179" s="815"/>
    </row>
    <row r="1180" spans="2:27" ht="12.75" customHeight="1" x14ac:dyDescent="0.25">
      <c r="B1180" s="17"/>
      <c r="C1180" s="17"/>
      <c r="D1180" s="113" t="s">
        <v>209</v>
      </c>
      <c r="E1180" s="1254" t="str">
        <f>Translations!$B$699</f>
        <v>Consistency check with point (k)(i):</v>
      </c>
      <c r="F1180" s="1254"/>
      <c r="G1180" s="1254"/>
      <c r="H1180" s="860" t="s">
        <v>354</v>
      </c>
      <c r="I1180" s="934" t="str">
        <f>IF(AND(I1254&gt;0,ISNUMBER(I1178)), I1178/I1254*100,"")</f>
        <v/>
      </c>
      <c r="J1180" s="934" t="str">
        <f>IF(AND(J1254&gt;0,ISNUMBER(J1178)), J1178/J1254*100,"")</f>
        <v/>
      </c>
      <c r="K1180" s="934" t="str">
        <f>IF(AND(K1254&gt;0,ISNUMBER(K1178)), K1178/K1254*100,"")</f>
        <v/>
      </c>
      <c r="L1180" s="934" t="str">
        <f>IF(AND(L1254&gt;0,ISNUMBER(L1178)), L1178/L1254*100,"")</f>
        <v/>
      </c>
      <c r="M1180" s="935" t="str">
        <f>IF(AND(M1254&gt;0,ISNUMBER(M1178)), M1178/M1254*100,"")</f>
        <v/>
      </c>
      <c r="N1180" s="646"/>
      <c r="O1180" s="17"/>
      <c r="AA1180" s="815"/>
    </row>
    <row r="1181" spans="2:27" ht="12.75" customHeight="1" x14ac:dyDescent="0.25">
      <c r="B1181" s="17"/>
      <c r="C1181" s="17"/>
      <c r="D1181" s="17"/>
      <c r="E1181" s="17"/>
      <c r="F1181" s="17"/>
      <c r="G1181" s="17"/>
      <c r="H1181" s="17"/>
      <c r="I1181" s="31"/>
      <c r="J1181" s="17"/>
      <c r="K1181" s="17"/>
      <c r="L1181" s="17"/>
      <c r="M1181" s="17"/>
      <c r="N1181" s="17"/>
      <c r="O1181" s="17"/>
      <c r="P1181" s="44"/>
      <c r="AA1181" s="815"/>
    </row>
    <row r="1182" spans="2:27" ht="13.8" x14ac:dyDescent="0.25">
      <c r="B1182" s="17"/>
      <c r="C1182" s="338"/>
      <c r="D1182" s="1234" t="str">
        <f>Translations!$B$700</f>
        <v>Production details</v>
      </c>
      <c r="E1182" s="1176"/>
      <c r="F1182" s="1176"/>
      <c r="G1182" s="1176"/>
      <c r="H1182" s="1176"/>
      <c r="I1182" s="1176"/>
      <c r="J1182" s="1176"/>
      <c r="K1182" s="1176"/>
      <c r="L1182" s="1176"/>
      <c r="M1182" s="1176"/>
      <c r="N1182" s="1176"/>
      <c r="O1182" s="17"/>
      <c r="AA1182" s="815"/>
    </row>
    <row r="1183" spans="2:27" ht="5.0999999999999996" customHeight="1" x14ac:dyDescent="0.25">
      <c r="B1183" s="17"/>
      <c r="C1183" s="17"/>
      <c r="D1183" s="17"/>
      <c r="E1183" s="17"/>
      <c r="F1183" s="17"/>
      <c r="G1183" s="17"/>
      <c r="H1183" s="17"/>
      <c r="I1183" s="17"/>
      <c r="J1183" s="17"/>
      <c r="K1183" s="17"/>
      <c r="L1183" s="17"/>
      <c r="M1183" s="17"/>
      <c r="N1183" s="17"/>
      <c r="O1183" s="17"/>
      <c r="AA1183" s="815"/>
    </row>
    <row r="1184" spans="2:27" x14ac:dyDescent="0.25">
      <c r="B1184" s="17"/>
      <c r="C1184" s="15"/>
      <c r="D1184" s="15" t="s">
        <v>202</v>
      </c>
      <c r="E1184" s="1165" t="str">
        <f>Translations!$B$701</f>
        <v>Identification of products included in this product benchmark sub-installation</v>
      </c>
      <c r="F1184" s="1176"/>
      <c r="G1184" s="1176"/>
      <c r="H1184" s="1176"/>
      <c r="I1184" s="1176"/>
      <c r="J1184" s="1176"/>
      <c r="K1184" s="1176"/>
      <c r="L1184" s="1176"/>
      <c r="M1184" s="1176"/>
      <c r="N1184" s="1176"/>
      <c r="O1184" s="17"/>
      <c r="AA1184" s="815"/>
    </row>
    <row r="1185" spans="2:27" ht="13.2" customHeight="1" x14ac:dyDescent="0.25">
      <c r="B1185" s="17"/>
      <c r="C1185" s="17"/>
      <c r="D1185" s="17"/>
      <c r="E1185" s="1223" t="s">
        <v>443</v>
      </c>
      <c r="F1185" s="1176"/>
      <c r="G1185" s="1176"/>
      <c r="H1185" s="1176"/>
      <c r="I1185" s="1176"/>
      <c r="J1185" s="1176"/>
      <c r="K1185" s="1176"/>
      <c r="L1185" s="1176"/>
      <c r="M1185" s="1176"/>
      <c r="N1185" s="1176"/>
      <c r="O1185" s="17"/>
      <c r="AA1185" s="815"/>
    </row>
    <row r="1186" spans="2:27" x14ac:dyDescent="0.25">
      <c r="B1186" s="17"/>
      <c r="C1186" s="17"/>
      <c r="D1186" s="17"/>
      <c r="E1186" s="1554" t="s">
        <v>408</v>
      </c>
      <c r="F1186" s="1555"/>
      <c r="G1186" s="1555"/>
      <c r="H1186" s="1555"/>
      <c r="I1186" s="1555"/>
      <c r="J1186" s="1555"/>
      <c r="K1186" s="1555"/>
      <c r="L1186" s="1555"/>
      <c r="M1186" s="1555"/>
      <c r="N1186" s="1555"/>
      <c r="O1186" s="17"/>
      <c r="AA1186" s="815"/>
    </row>
    <row r="1187" spans="2:27" ht="5.0999999999999996" customHeight="1" x14ac:dyDescent="0.25">
      <c r="B1187" s="17"/>
      <c r="C1187" s="17"/>
      <c r="D1187" s="17"/>
      <c r="E1187" s="17"/>
      <c r="F1187" s="17"/>
      <c r="G1187" s="17"/>
      <c r="H1187" s="17"/>
      <c r="I1187" s="17"/>
      <c r="J1187" s="17"/>
      <c r="K1187" s="17"/>
      <c r="L1187" s="17"/>
      <c r="M1187" s="17"/>
      <c r="N1187" s="17"/>
      <c r="O1187" s="17"/>
      <c r="AA1187" s="815"/>
    </row>
    <row r="1188" spans="2:27" x14ac:dyDescent="0.25">
      <c r="B1188" s="17"/>
      <c r="C1188" s="15"/>
      <c r="D1188" s="15" t="s">
        <v>199</v>
      </c>
      <c r="E1188" s="1165" t="str">
        <f>Translations!$B$706</f>
        <v>Individual production levels of products included in this product benchmark sub-installation</v>
      </c>
      <c r="F1188" s="1176"/>
      <c r="G1188" s="1176"/>
      <c r="H1188" s="1176"/>
      <c r="I1188" s="1176"/>
      <c r="J1188" s="1176"/>
      <c r="K1188" s="1176"/>
      <c r="L1188" s="1176"/>
      <c r="M1188" s="1176"/>
      <c r="N1188" s="1176"/>
      <c r="O1188" s="17"/>
      <c r="AA1188" s="815"/>
    </row>
    <row r="1189" spans="2:27" ht="5.0999999999999996" customHeight="1" x14ac:dyDescent="0.25">
      <c r="B1189" s="17"/>
      <c r="C1189" s="17"/>
      <c r="D1189" s="17"/>
      <c r="E1189" s="884"/>
      <c r="F1189" s="884"/>
      <c r="G1189" s="884"/>
      <c r="H1189" s="884"/>
      <c r="I1189" s="884"/>
      <c r="J1189" s="77"/>
      <c r="K1189" s="77"/>
      <c r="L1189" s="77"/>
      <c r="M1189" s="17"/>
      <c r="N1189" s="17"/>
      <c r="O1189" s="17"/>
      <c r="AA1189" s="815"/>
    </row>
    <row r="1190" spans="2:27" ht="25.5" customHeight="1" x14ac:dyDescent="0.25">
      <c r="B1190" s="17"/>
      <c r="C1190" s="17"/>
      <c r="D1190" s="26"/>
      <c r="E1190" s="129" t="s">
        <v>409</v>
      </c>
      <c r="F1190" s="1556" t="str">
        <f>Translations!$B$707</f>
        <v>Name of product or group of products</v>
      </c>
      <c r="G1190" s="1557"/>
      <c r="H1190" s="461" t="str">
        <f>EUconst_Unit</f>
        <v>Unit</v>
      </c>
      <c r="I1190" s="128">
        <f>I$1882</f>
        <v>2019</v>
      </c>
      <c r="J1190" s="128">
        <f>J$1882</f>
        <v>2020</v>
      </c>
      <c r="K1190" s="128">
        <f>K$1882</f>
        <v>2021</v>
      </c>
      <c r="L1190" s="128">
        <f>L$1882</f>
        <v>2022</v>
      </c>
      <c r="M1190" s="128">
        <f>M$1882</f>
        <v>2023</v>
      </c>
      <c r="N1190" s="17"/>
      <c r="O1190" s="17"/>
      <c r="AA1190" s="815"/>
    </row>
    <row r="1191" spans="2:27" x14ac:dyDescent="0.25">
      <c r="B1191" s="17"/>
      <c r="C1191" s="17"/>
      <c r="D1191" s="222">
        <v>1</v>
      </c>
      <c r="E1191" s="602"/>
      <c r="F1191" s="1558"/>
      <c r="G1191" s="1559"/>
      <c r="H1191" s="322"/>
      <c r="I1191" s="889"/>
      <c r="J1191" s="889"/>
      <c r="K1191" s="889"/>
      <c r="L1191" s="889"/>
      <c r="M1191" s="889"/>
      <c r="N1191" s="17"/>
      <c r="O1191" s="17"/>
      <c r="AA1191" s="285" t="b">
        <f>AA1178</f>
        <v>0</v>
      </c>
    </row>
    <row r="1192" spans="2:27" x14ac:dyDescent="0.25">
      <c r="B1192" s="17"/>
      <c r="C1192" s="17"/>
      <c r="D1192" s="225">
        <f>D1191+1</f>
        <v>2</v>
      </c>
      <c r="E1192" s="760"/>
      <c r="F1192" s="1542"/>
      <c r="G1192" s="1543"/>
      <c r="H1192" s="936"/>
      <c r="I1192" s="892"/>
      <c r="J1192" s="892"/>
      <c r="K1192" s="892"/>
      <c r="L1192" s="892"/>
      <c r="M1192" s="892"/>
      <c r="N1192" s="17"/>
      <c r="O1192" s="17"/>
      <c r="AA1192" s="285" t="b">
        <f>AA1191</f>
        <v>0</v>
      </c>
    </row>
    <row r="1193" spans="2:27" x14ac:dyDescent="0.25">
      <c r="B1193" s="17"/>
      <c r="C1193" s="17"/>
      <c r="D1193" s="225">
        <f t="shared" ref="D1193:D1200" si="26">D1192+1</f>
        <v>3</v>
      </c>
      <c r="E1193" s="760"/>
      <c r="F1193" s="1542"/>
      <c r="G1193" s="1543"/>
      <c r="H1193" s="936"/>
      <c r="I1193" s="892"/>
      <c r="J1193" s="892"/>
      <c r="K1193" s="892"/>
      <c r="L1193" s="892"/>
      <c r="M1193" s="892"/>
      <c r="N1193" s="17"/>
      <c r="O1193" s="17"/>
      <c r="AA1193" s="285" t="b">
        <f t="shared" ref="AA1193:AA1201" si="27">AA1192</f>
        <v>0</v>
      </c>
    </row>
    <row r="1194" spans="2:27" x14ac:dyDescent="0.25">
      <c r="B1194" s="17"/>
      <c r="C1194" s="17"/>
      <c r="D1194" s="225">
        <f t="shared" si="26"/>
        <v>4</v>
      </c>
      <c r="E1194" s="760"/>
      <c r="F1194" s="1542"/>
      <c r="G1194" s="1543"/>
      <c r="H1194" s="936"/>
      <c r="I1194" s="892"/>
      <c r="J1194" s="892"/>
      <c r="K1194" s="892"/>
      <c r="L1194" s="892"/>
      <c r="M1194" s="892"/>
      <c r="N1194" s="17"/>
      <c r="O1194" s="17"/>
      <c r="AA1194" s="285" t="b">
        <f t="shared" si="27"/>
        <v>0</v>
      </c>
    </row>
    <row r="1195" spans="2:27" x14ac:dyDescent="0.25">
      <c r="B1195" s="17"/>
      <c r="C1195" s="17"/>
      <c r="D1195" s="225">
        <f t="shared" si="26"/>
        <v>5</v>
      </c>
      <c r="E1195" s="760"/>
      <c r="F1195" s="1542"/>
      <c r="G1195" s="1543"/>
      <c r="H1195" s="936"/>
      <c r="I1195" s="892"/>
      <c r="J1195" s="892"/>
      <c r="K1195" s="892"/>
      <c r="L1195" s="892"/>
      <c r="M1195" s="892"/>
      <c r="N1195" s="17"/>
      <c r="O1195" s="17"/>
      <c r="AA1195" s="285" t="b">
        <f t="shared" si="27"/>
        <v>0</v>
      </c>
    </row>
    <row r="1196" spans="2:27" x14ac:dyDescent="0.25">
      <c r="B1196" s="17"/>
      <c r="C1196" s="17"/>
      <c r="D1196" s="225">
        <f t="shared" si="26"/>
        <v>6</v>
      </c>
      <c r="E1196" s="760"/>
      <c r="F1196" s="1542"/>
      <c r="G1196" s="1543"/>
      <c r="H1196" s="936"/>
      <c r="I1196" s="892"/>
      <c r="J1196" s="892"/>
      <c r="K1196" s="892"/>
      <c r="L1196" s="892"/>
      <c r="M1196" s="892"/>
      <c r="N1196" s="17"/>
      <c r="O1196" s="17"/>
      <c r="AA1196" s="285" t="b">
        <f t="shared" si="27"/>
        <v>0</v>
      </c>
    </row>
    <row r="1197" spans="2:27" x14ac:dyDescent="0.25">
      <c r="B1197" s="17"/>
      <c r="C1197" s="17"/>
      <c r="D1197" s="225">
        <f t="shared" si="26"/>
        <v>7</v>
      </c>
      <c r="E1197" s="760"/>
      <c r="F1197" s="1542"/>
      <c r="G1197" s="1543"/>
      <c r="H1197" s="936"/>
      <c r="I1197" s="892"/>
      <c r="J1197" s="892"/>
      <c r="K1197" s="892"/>
      <c r="L1197" s="892"/>
      <c r="M1197" s="892"/>
      <c r="N1197" s="17"/>
      <c r="O1197" s="17"/>
      <c r="AA1197" s="285" t="b">
        <f t="shared" si="27"/>
        <v>0</v>
      </c>
    </row>
    <row r="1198" spans="2:27" x14ac:dyDescent="0.25">
      <c r="B1198" s="17"/>
      <c r="C1198" s="17"/>
      <c r="D1198" s="225">
        <f t="shared" si="26"/>
        <v>8</v>
      </c>
      <c r="E1198" s="760"/>
      <c r="F1198" s="1542"/>
      <c r="G1198" s="1543"/>
      <c r="H1198" s="936"/>
      <c r="I1198" s="892"/>
      <c r="J1198" s="892"/>
      <c r="K1198" s="892"/>
      <c r="L1198" s="892"/>
      <c r="M1198" s="892"/>
      <c r="N1198" s="17"/>
      <c r="O1198" s="17"/>
      <c r="AA1198" s="285" t="b">
        <f t="shared" si="27"/>
        <v>0</v>
      </c>
    </row>
    <row r="1199" spans="2:27" x14ac:dyDescent="0.25">
      <c r="B1199" s="17"/>
      <c r="C1199" s="17"/>
      <c r="D1199" s="225">
        <f t="shared" si="26"/>
        <v>9</v>
      </c>
      <c r="E1199" s="760"/>
      <c r="F1199" s="1542"/>
      <c r="G1199" s="1543"/>
      <c r="H1199" s="936"/>
      <c r="I1199" s="892"/>
      <c r="J1199" s="892"/>
      <c r="K1199" s="892"/>
      <c r="L1199" s="892"/>
      <c r="M1199" s="892"/>
      <c r="N1199" s="17"/>
      <c r="O1199" s="17"/>
      <c r="AA1199" s="285" t="b">
        <f t="shared" si="27"/>
        <v>0</v>
      </c>
    </row>
    <row r="1200" spans="2:27" x14ac:dyDescent="0.25">
      <c r="B1200" s="17"/>
      <c r="C1200" s="17"/>
      <c r="D1200" s="227">
        <f t="shared" si="26"/>
        <v>10</v>
      </c>
      <c r="E1200" s="761"/>
      <c r="F1200" s="1544"/>
      <c r="G1200" s="1545"/>
      <c r="H1200" s="937"/>
      <c r="I1200" s="895"/>
      <c r="J1200" s="895"/>
      <c r="K1200" s="895"/>
      <c r="L1200" s="895"/>
      <c r="M1200" s="895"/>
      <c r="N1200" s="17"/>
      <c r="O1200" s="17"/>
      <c r="AA1200" s="285" t="b">
        <f t="shared" si="27"/>
        <v>0</v>
      </c>
    </row>
    <row r="1201" spans="2:27" ht="12.75" customHeight="1" thickBot="1" x14ac:dyDescent="0.3">
      <c r="B1201" s="17"/>
      <c r="C1201" s="17"/>
      <c r="D1201" s="262"/>
      <c r="E1201" s="1546" t="str">
        <f>Translations!$B$708</f>
        <v>Sum of production levels</v>
      </c>
      <c r="F1201" s="1546"/>
      <c r="G1201" s="1546"/>
      <c r="H1201" s="1067"/>
      <c r="I1201" s="841" t="str">
        <f>IF(COUNT(I1191:I1200)&gt;0,SUM(I1191:I1200),"")</f>
        <v/>
      </c>
      <c r="J1201" s="841" t="str">
        <f>IF(COUNT(J1191:J1200)&gt;0,SUM(J1191:J1200),"")</f>
        <v/>
      </c>
      <c r="K1201" s="841" t="str">
        <f>IF(COUNT(K1191:K1200)&gt;0,SUM(K1191:K1200),"")</f>
        <v/>
      </c>
      <c r="L1201" s="841" t="str">
        <f>IF(COUNT(L1191:L1200)&gt;0,SUM(L1191:L1200),"")</f>
        <v/>
      </c>
      <c r="M1201" s="841" t="str">
        <f>IF(COUNT(M1191:M1200)&gt;0,SUM(M1191:M1200),"")</f>
        <v/>
      </c>
      <c r="N1201" s="17"/>
      <c r="O1201" s="17"/>
      <c r="AA1201" s="286" t="b">
        <f t="shared" si="27"/>
        <v>0</v>
      </c>
    </row>
    <row r="1202" spans="2:27" ht="12.75" customHeight="1" thickBot="1" x14ac:dyDescent="0.3">
      <c r="B1202" s="17"/>
      <c r="C1202" s="17"/>
      <c r="D1202" s="17"/>
      <c r="E1202" s="17"/>
      <c r="F1202" s="17"/>
      <c r="G1202" s="17"/>
      <c r="H1202" s="17"/>
      <c r="I1202" s="17"/>
      <c r="J1202" s="17"/>
      <c r="K1202" s="17"/>
      <c r="L1202" s="17"/>
      <c r="M1202" s="17"/>
      <c r="N1202" s="17"/>
      <c r="O1202" s="17"/>
    </row>
    <row r="1203" spans="2:27" ht="5.0999999999999996" customHeight="1" x14ac:dyDescent="0.25">
      <c r="B1203" s="17"/>
      <c r="C1203" s="938"/>
      <c r="D1203" s="462"/>
      <c r="E1203" s="462"/>
      <c r="F1203" s="462"/>
      <c r="G1203" s="462"/>
      <c r="H1203" s="462"/>
      <c r="I1203" s="462"/>
      <c r="J1203" s="462"/>
      <c r="K1203" s="462"/>
      <c r="L1203" s="462"/>
      <c r="M1203" s="462"/>
      <c r="N1203" s="463"/>
      <c r="O1203" s="17"/>
    </row>
    <row r="1204" spans="2:27" ht="15" customHeight="1" x14ac:dyDescent="0.25">
      <c r="B1204" s="17"/>
      <c r="C1204" s="900"/>
      <c r="D1204" s="1547" t="s">
        <v>410</v>
      </c>
      <c r="E1204" s="1512"/>
      <c r="F1204" s="1512"/>
      <c r="G1204" s="1512"/>
      <c r="H1204" s="1512"/>
      <c r="I1204" s="1512"/>
      <c r="J1204" s="1512"/>
      <c r="K1204" s="1512"/>
      <c r="L1204" s="1512"/>
      <c r="M1204" s="1512"/>
      <c r="N1204" s="1513"/>
      <c r="O1204" s="17"/>
    </row>
    <row r="1205" spans="2:27" ht="5.0999999999999996" customHeight="1" x14ac:dyDescent="0.25">
      <c r="B1205" s="17"/>
      <c r="C1205" s="900"/>
      <c r="D1205" s="342"/>
      <c r="E1205" s="342"/>
      <c r="F1205" s="342"/>
      <c r="G1205" s="342"/>
      <c r="H1205" s="342"/>
      <c r="I1205" s="342"/>
      <c r="J1205" s="342"/>
      <c r="K1205" s="342"/>
      <c r="L1205" s="342"/>
      <c r="M1205" s="342"/>
      <c r="N1205" s="266"/>
      <c r="O1205" s="17"/>
    </row>
    <row r="1206" spans="2:27" ht="15" customHeight="1" x14ac:dyDescent="0.25">
      <c r="B1206" s="17"/>
      <c r="C1206" s="900"/>
      <c r="D1206" s="1548" t="str">
        <f>EUconst_BMSubinst &amp; ":"</f>
        <v>Sub-installation with product benchmark:</v>
      </c>
      <c r="E1206" s="1512"/>
      <c r="F1206" s="1512"/>
      <c r="G1206" s="1512"/>
      <c r="H1206" s="1549"/>
      <c r="I1206" s="1550" t="str">
        <f>I1153</f>
        <v/>
      </c>
      <c r="J1206" s="1509"/>
      <c r="K1206" s="1509"/>
      <c r="L1206" s="1509"/>
      <c r="M1206" s="1509"/>
      <c r="N1206" s="1551"/>
      <c r="O1206" s="17"/>
    </row>
    <row r="1207" spans="2:27" ht="5.0999999999999996" customHeight="1" x14ac:dyDescent="0.25">
      <c r="B1207" s="17"/>
      <c r="C1207" s="900"/>
      <c r="D1207" s="342"/>
      <c r="E1207" s="342"/>
      <c r="F1207" s="342"/>
      <c r="G1207" s="342"/>
      <c r="H1207" s="342"/>
      <c r="I1207" s="342"/>
      <c r="J1207" s="342"/>
      <c r="K1207" s="342"/>
      <c r="L1207" s="342"/>
      <c r="M1207" s="342"/>
      <c r="N1207" s="266"/>
      <c r="O1207" s="17"/>
    </row>
    <row r="1208" spans="2:27" ht="15" customHeight="1" x14ac:dyDescent="0.25">
      <c r="B1208" s="17"/>
      <c r="C1208" s="900"/>
      <c r="D1208" s="342"/>
      <c r="E1208" s="1439" t="str">
        <f>Translations!$B$714</f>
        <v>Upon entries made below, the attributable emissions are calculated in section K.III.2 of the summary sheet.</v>
      </c>
      <c r="F1208" s="1439"/>
      <c r="G1208" s="1439"/>
      <c r="H1208" s="1439"/>
      <c r="I1208" s="1439"/>
      <c r="J1208" s="1439"/>
      <c r="K1208" s="1439"/>
      <c r="L1208" s="1439"/>
      <c r="M1208" s="1439"/>
      <c r="N1208" s="277"/>
      <c r="O1208" s="17"/>
    </row>
    <row r="1209" spans="2:27" ht="5.0999999999999996" customHeight="1" x14ac:dyDescent="0.25">
      <c r="B1209" s="17"/>
      <c r="C1209" s="900"/>
      <c r="D1209" s="342"/>
      <c r="E1209" s="342"/>
      <c r="F1209" s="342"/>
      <c r="G1209" s="342"/>
      <c r="H1209" s="342"/>
      <c r="I1209" s="342"/>
      <c r="J1209" s="342"/>
      <c r="K1209" s="342"/>
      <c r="L1209" s="342"/>
      <c r="M1209" s="342"/>
      <c r="N1209" s="266"/>
      <c r="O1209" s="17"/>
    </row>
    <row r="1210" spans="2:27" ht="12.75" customHeight="1" x14ac:dyDescent="0.25">
      <c r="B1210" s="17"/>
      <c r="C1210" s="900"/>
      <c r="D1210" s="157" t="s">
        <v>212</v>
      </c>
      <c r="E1210" s="1511" t="str">
        <f>Translations!$B$715</f>
        <v>Directly attributable emissions (DirEm* (MP source streams)) to this sub-installation</v>
      </c>
      <c r="F1210" s="1512"/>
      <c r="G1210" s="1512"/>
      <c r="H1210" s="1512"/>
      <c r="I1210" s="1512"/>
      <c r="J1210" s="1512"/>
      <c r="K1210" s="1512"/>
      <c r="L1210" s="1512"/>
      <c r="M1210" s="1512"/>
      <c r="N1210" s="1513"/>
      <c r="O1210" s="17"/>
    </row>
    <row r="1211" spans="2:27" ht="12.75" customHeight="1" thickBot="1" x14ac:dyDescent="0.3">
      <c r="B1211" s="17"/>
      <c r="C1211" s="900"/>
      <c r="D1211" s="342"/>
      <c r="E1211" s="1552"/>
      <c r="F1211" s="1552"/>
      <c r="G1211" s="1552"/>
      <c r="H1211" s="1552"/>
      <c r="I1211" s="1552"/>
      <c r="J1211" s="1552"/>
      <c r="K1211" s="1552"/>
      <c r="L1211" s="1552"/>
      <c r="M1211" s="1552"/>
      <c r="N1211" s="1553"/>
      <c r="O1211" s="17"/>
    </row>
    <row r="1212" spans="2:27" ht="12.75" customHeight="1" x14ac:dyDescent="0.25">
      <c r="B1212" s="17"/>
      <c r="C1212" s="900"/>
      <c r="D1212" s="157"/>
      <c r="E1212" s="1522" t="str">
        <f>Translations!$B$725</f>
        <v>Directly attributable emissions (DirEm*)</v>
      </c>
      <c r="F1212" s="1523"/>
      <c r="G1212" s="1523"/>
      <c r="H1212" s="152" t="str">
        <f>EUconst_Unit</f>
        <v>Unit</v>
      </c>
      <c r="I1212" s="153">
        <f>I$1882</f>
        <v>2019</v>
      </c>
      <c r="J1212" s="153">
        <f>J$1882</f>
        <v>2020</v>
      </c>
      <c r="K1212" s="153">
        <f>K$1882</f>
        <v>2021</v>
      </c>
      <c r="L1212" s="153">
        <f>L$1882</f>
        <v>2022</v>
      </c>
      <c r="M1212" s="153">
        <f>M$1882</f>
        <v>2023</v>
      </c>
      <c r="N1212" s="266"/>
      <c r="O1212" s="17"/>
      <c r="R1212" s="459"/>
      <c r="S1212" s="326">
        <f>I1212</f>
        <v>2019</v>
      </c>
      <c r="T1212" s="326">
        <f>J1212</f>
        <v>2020</v>
      </c>
      <c r="U1212" s="326">
        <f>K1212</f>
        <v>2021</v>
      </c>
      <c r="V1212" s="326">
        <f>L1212</f>
        <v>2022</v>
      </c>
      <c r="W1212" s="327">
        <f>M1212</f>
        <v>2023</v>
      </c>
    </row>
    <row r="1213" spans="2:27" ht="12.75" customHeight="1" thickBot="1" x14ac:dyDescent="0.3">
      <c r="B1213" s="17"/>
      <c r="C1213" s="900"/>
      <c r="D1213" s="342"/>
      <c r="E1213" s="1510" t="str">
        <f>I1153</f>
        <v/>
      </c>
      <c r="F1213" s="1510"/>
      <c r="G1213" s="1510"/>
      <c r="H1213" s="154" t="str">
        <f>EUconst_tCO2epa</f>
        <v>t CO2e/year</v>
      </c>
      <c r="I1213" s="293"/>
      <c r="J1213" s="293"/>
      <c r="K1213" s="293"/>
      <c r="L1213" s="293"/>
      <c r="M1213" s="293"/>
      <c r="N1213" s="266"/>
      <c r="O1213" s="17"/>
      <c r="P1213" s="63" t="str">
        <f>EUconst_CNTR_Emissions &amp; I1153</f>
        <v>DirEmissions_</v>
      </c>
      <c r="R1213" s="460" t="str">
        <f>EUconst_CNTR_AttributedEmissions &amp; I1153</f>
        <v>AttrEmissions_</v>
      </c>
      <c r="S1213" s="389" t="str">
        <f>IF(S1153,SUM(I1213),"")</f>
        <v/>
      </c>
      <c r="T1213" s="389" t="str">
        <f>IF(T1153,SUM(J1213),"")</f>
        <v/>
      </c>
      <c r="U1213" s="389" t="str">
        <f>IF(U1153,SUM(K1213),"")</f>
        <v/>
      </c>
      <c r="V1213" s="389" t="str">
        <f>IF(V1153,SUM(L1213),"")</f>
        <v/>
      </c>
      <c r="W1213" s="390" t="str">
        <f>IF(W1153,SUM(M1213),"")</f>
        <v/>
      </c>
    </row>
    <row r="1214" spans="2:27" ht="12.75" customHeight="1" x14ac:dyDescent="0.25">
      <c r="B1214" s="17"/>
      <c r="C1214" s="900"/>
      <c r="D1214" s="342"/>
      <c r="E1214" s="342"/>
      <c r="F1214" s="342"/>
      <c r="G1214" s="342"/>
      <c r="H1214" s="342"/>
      <c r="I1214" s="342"/>
      <c r="J1214" s="342"/>
      <c r="K1214" s="342"/>
      <c r="L1214" s="342"/>
      <c r="M1214" s="342"/>
      <c r="N1214" s="266"/>
      <c r="O1214" s="17"/>
    </row>
    <row r="1215" spans="2:27" ht="12.75" customHeight="1" x14ac:dyDescent="0.25">
      <c r="B1215" s="17"/>
      <c r="C1215" s="900"/>
      <c r="D1215" s="157" t="s">
        <v>218</v>
      </c>
      <c r="E1215" s="1529" t="str">
        <f>Translations!$B$726</f>
        <v>Fuel input to this sub-installation and relevant emission factor</v>
      </c>
      <c r="F1215" s="1529"/>
      <c r="G1215" s="1529"/>
      <c r="H1215" s="1529"/>
      <c r="I1215" s="1529"/>
      <c r="J1215" s="1529"/>
      <c r="K1215" s="1529"/>
      <c r="L1215" s="1529"/>
      <c r="M1215" s="1529"/>
      <c r="N1215" s="1534"/>
      <c r="O1215" s="17"/>
    </row>
    <row r="1216" spans="2:27" ht="12.75" customHeight="1" x14ac:dyDescent="0.25">
      <c r="B1216" s="17"/>
      <c r="C1216" s="900"/>
      <c r="D1216" s="157"/>
      <c r="E1216" s="1522"/>
      <c r="F1216" s="1523"/>
      <c r="G1216" s="1523"/>
      <c r="H1216" s="152" t="str">
        <f>EUconst_Unit</f>
        <v>Unit</v>
      </c>
      <c r="I1216" s="153">
        <f>I$1882</f>
        <v>2019</v>
      </c>
      <c r="J1216" s="153">
        <f>J$1882</f>
        <v>2020</v>
      </c>
      <c r="K1216" s="153">
        <f>K$1882</f>
        <v>2021</v>
      </c>
      <c r="L1216" s="153">
        <f>L$1882</f>
        <v>2022</v>
      </c>
      <c r="M1216" s="153">
        <f>M$1882</f>
        <v>2023</v>
      </c>
      <c r="N1216" s="266"/>
      <c r="O1216" s="17"/>
    </row>
    <row r="1217" spans="2:27" ht="12.75" customHeight="1" x14ac:dyDescent="0.25">
      <c r="B1217" s="17"/>
      <c r="C1217" s="900"/>
      <c r="D1217" s="193" t="s">
        <v>206</v>
      </c>
      <c r="E1217" s="1528" t="str">
        <f>Translations!$B$731</f>
        <v>Fuel input</v>
      </c>
      <c r="F1217" s="1528"/>
      <c r="G1217" s="1528"/>
      <c r="H1217" s="154" t="str">
        <f>EUconst_TJpa</f>
        <v>TJ / year</v>
      </c>
      <c r="I1217" s="293"/>
      <c r="J1217" s="293"/>
      <c r="K1217" s="293"/>
      <c r="L1217" s="293"/>
      <c r="M1217" s="293"/>
      <c r="N1217" s="277"/>
      <c r="O1217" s="17"/>
      <c r="P1217" s="63" t="str">
        <f>EUconst_CNTR_FuelInput &amp; I1153</f>
        <v>FuelInput_</v>
      </c>
    </row>
    <row r="1218" spans="2:27" ht="12.75" customHeight="1" x14ac:dyDescent="0.25">
      <c r="B1218" s="17"/>
      <c r="C1218" s="900"/>
      <c r="D1218" s="193" t="s">
        <v>208</v>
      </c>
      <c r="E1218" s="1523" t="str">
        <f>Translations!$B$732</f>
        <v>Weighted emission factor</v>
      </c>
      <c r="F1218" s="1523"/>
      <c r="G1218" s="1523"/>
      <c r="H1218" s="904" t="str">
        <f>EUconst_tCO2pTJ</f>
        <v>t CO2 / TJ</v>
      </c>
      <c r="I1218" s="865"/>
      <c r="J1218" s="865"/>
      <c r="K1218" s="865"/>
      <c r="L1218" s="865"/>
      <c r="M1218" s="865"/>
      <c r="N1218" s="266"/>
      <c r="O1218" s="17"/>
      <c r="P1218" s="63" t="str">
        <f>EUconst_CNTR_FuelEF &amp; I1153</f>
        <v>FuelEF_</v>
      </c>
    </row>
    <row r="1219" spans="2:27" ht="12.75" customHeight="1" x14ac:dyDescent="0.25">
      <c r="B1219" s="17"/>
      <c r="C1219" s="900"/>
      <c r="D1219" s="342"/>
      <c r="E1219" s="342"/>
      <c r="F1219" s="342"/>
      <c r="G1219" s="342"/>
      <c r="H1219" s="342"/>
      <c r="I1219" s="342"/>
      <c r="J1219" s="342"/>
      <c r="K1219" s="342"/>
      <c r="L1219" s="342"/>
      <c r="M1219" s="342"/>
      <c r="N1219" s="266"/>
      <c r="O1219" s="17"/>
    </row>
    <row r="1220" spans="2:27" ht="12.75" customHeight="1" thickBot="1" x14ac:dyDescent="0.3">
      <c r="B1220" s="17"/>
      <c r="C1220" s="900"/>
      <c r="D1220" s="157" t="s">
        <v>225</v>
      </c>
      <c r="E1220" s="1529" t="str">
        <f>Translations!$B$733</f>
        <v>Further internal source streams imported to or exported from this sub-installation</v>
      </c>
      <c r="F1220" s="1529"/>
      <c r="G1220" s="1529"/>
      <c r="H1220" s="1529"/>
      <c r="I1220" s="1529"/>
      <c r="J1220" s="1529"/>
      <c r="K1220" s="1529"/>
      <c r="L1220" s="1529"/>
      <c r="M1220" s="1529"/>
      <c r="N1220" s="1534"/>
      <c r="O1220" s="17"/>
    </row>
    <row r="1221" spans="2:27" ht="12.75" customHeight="1" thickBot="1" x14ac:dyDescent="0.3">
      <c r="B1221" s="17"/>
      <c r="C1221" s="900"/>
      <c r="D1221" s="193" t="s">
        <v>206</v>
      </c>
      <c r="E1221" s="1514" t="str">
        <f>Translations!$B$739</f>
        <v>Are further imported or exported internal source streams relevant for this sub-installation?</v>
      </c>
      <c r="F1221" s="1514"/>
      <c r="G1221" s="1514"/>
      <c r="H1221" s="1514"/>
      <c r="I1221" s="1514"/>
      <c r="J1221" s="1514"/>
      <c r="K1221" s="1515"/>
      <c r="L1221" s="194"/>
      <c r="M1221" s="762"/>
      <c r="N1221" s="763"/>
      <c r="O1221" s="17"/>
      <c r="W1221" s="288" t="s">
        <v>418</v>
      </c>
      <c r="X1221" s="215" t="b">
        <f>IF(AND(I1153&lt;&gt;"",ISBLANK(L1221)),EUconst_Error&amp;"BM"&amp;C1153,FALSE)</f>
        <v>0</v>
      </c>
    </row>
    <row r="1222" spans="2:27" ht="5.0999999999999996" customHeight="1" thickBot="1" x14ac:dyDescent="0.3">
      <c r="B1222" s="17"/>
      <c r="C1222" s="900"/>
      <c r="D1222" s="342"/>
      <c r="E1222" s="1533"/>
      <c r="F1222" s="1512"/>
      <c r="G1222" s="1512"/>
      <c r="H1222" s="1512"/>
      <c r="I1222" s="1512"/>
      <c r="J1222" s="1512"/>
      <c r="K1222" s="1512"/>
      <c r="L1222" s="1512"/>
      <c r="M1222" s="1512"/>
      <c r="N1222" s="1513"/>
      <c r="O1222" s="17"/>
      <c r="AA1222" s="145" t="s">
        <v>396</v>
      </c>
    </row>
    <row r="1223" spans="2:27" ht="12.75" customHeight="1" x14ac:dyDescent="0.25">
      <c r="B1223" s="17"/>
      <c r="C1223" s="900"/>
      <c r="D1223" s="193" t="s">
        <v>208</v>
      </c>
      <c r="E1223" s="1529" t="str">
        <f>Translations!$B$741</f>
        <v>Name of further source streams - 1:</v>
      </c>
      <c r="F1223" s="1529"/>
      <c r="G1223" s="1529"/>
      <c r="H1223" s="1529"/>
      <c r="I1223" s="1530"/>
      <c r="J1223" s="1531"/>
      <c r="K1223" s="1531"/>
      <c r="L1223" s="1531"/>
      <c r="M1223" s="1532"/>
      <c r="N1223" s="266"/>
      <c r="O1223" s="17"/>
      <c r="AA1223" s="316" t="b">
        <f>IF(I1153&lt;&gt;"",AND(L1221&lt;&gt;"",L1221=FALSE),FALSE)</f>
        <v>0</v>
      </c>
    </row>
    <row r="1224" spans="2:27" ht="5.0999999999999996" customHeight="1" x14ac:dyDescent="0.25">
      <c r="B1224" s="17"/>
      <c r="C1224" s="900"/>
      <c r="D1224" s="342"/>
      <c r="E1224" s="902"/>
      <c r="F1224" s="762"/>
      <c r="G1224" s="762"/>
      <c r="H1224" s="762"/>
      <c r="I1224" s="762"/>
      <c r="J1224" s="762"/>
      <c r="K1224" s="762"/>
      <c r="L1224" s="762"/>
      <c r="M1224" s="762"/>
      <c r="N1224" s="763"/>
      <c r="O1224" s="17"/>
      <c r="AA1224" s="815"/>
    </row>
    <row r="1225" spans="2:27" ht="12.75" customHeight="1" x14ac:dyDescent="0.25">
      <c r="B1225" s="17"/>
      <c r="C1225" s="900"/>
      <c r="D1225" s="342"/>
      <c r="E1225" s="1522" t="str">
        <f>Translations!$B$742</f>
        <v>Further source streams - 1</v>
      </c>
      <c r="F1225" s="1523"/>
      <c r="G1225" s="1523"/>
      <c r="H1225" s="152" t="str">
        <f>EUconst_Unit</f>
        <v>Unit</v>
      </c>
      <c r="I1225" s="153">
        <f>I$1882</f>
        <v>2019</v>
      </c>
      <c r="J1225" s="153">
        <f>J$1882</f>
        <v>2020</v>
      </c>
      <c r="K1225" s="153">
        <f>K$1882</f>
        <v>2021</v>
      </c>
      <c r="L1225" s="153">
        <f>L$1882</f>
        <v>2022</v>
      </c>
      <c r="M1225" s="153">
        <f>M$1882</f>
        <v>2023</v>
      </c>
      <c r="N1225" s="266"/>
      <c r="O1225" s="17"/>
      <c r="AA1225" s="815"/>
    </row>
    <row r="1226" spans="2:27" ht="12.75" customHeight="1" x14ac:dyDescent="0.25">
      <c r="B1226" s="17"/>
      <c r="C1226" s="900"/>
      <c r="D1226" s="193" t="s">
        <v>209</v>
      </c>
      <c r="E1226" s="1526" t="str">
        <f>Translations!$B$743</f>
        <v>Amount imported or exported</v>
      </c>
      <c r="F1226" s="1526"/>
      <c r="G1226" s="1526"/>
      <c r="H1226" s="939" t="str">
        <f>EUconst_tpa</f>
        <v>t / year</v>
      </c>
      <c r="I1226" s="825"/>
      <c r="J1226" s="825"/>
      <c r="K1226" s="825"/>
      <c r="L1226" s="825"/>
      <c r="M1226" s="825"/>
      <c r="N1226" s="266"/>
      <c r="O1226" s="17"/>
      <c r="AA1226" s="285" t="b">
        <f>AA1223</f>
        <v>0</v>
      </c>
    </row>
    <row r="1227" spans="2:27" ht="12.75" customHeight="1" x14ac:dyDescent="0.25">
      <c r="B1227" s="17"/>
      <c r="C1227" s="900"/>
      <c r="D1227" s="193" t="s">
        <v>210</v>
      </c>
      <c r="E1227" s="1540" t="str">
        <f>Translations!$B$744</f>
        <v>Net calorific value (NCV), if applicable</v>
      </c>
      <c r="F1227" s="1540"/>
      <c r="G1227" s="1540"/>
      <c r="H1227" s="940" t="str">
        <f>EUconst_GJpt</f>
        <v>GJ / t</v>
      </c>
      <c r="I1227" s="296"/>
      <c r="J1227" s="296"/>
      <c r="K1227" s="296"/>
      <c r="L1227" s="296"/>
      <c r="M1227" s="296"/>
      <c r="N1227" s="266"/>
      <c r="O1227" s="17"/>
      <c r="AA1227" s="285" t="b">
        <f>AA1226</f>
        <v>0</v>
      </c>
    </row>
    <row r="1228" spans="2:27" ht="12.75" customHeight="1" thickBot="1" x14ac:dyDescent="0.3">
      <c r="B1228" s="17"/>
      <c r="C1228" s="900"/>
      <c r="D1228" s="193" t="s">
        <v>220</v>
      </c>
      <c r="E1228" s="1540" t="str">
        <f>Translations!$B$745</f>
        <v>Carbon content (mass %)</v>
      </c>
      <c r="F1228" s="1540"/>
      <c r="G1228" s="1540"/>
      <c r="H1228" s="941" t="s">
        <v>419</v>
      </c>
      <c r="I1228" s="296"/>
      <c r="J1228" s="296"/>
      <c r="K1228" s="296"/>
      <c r="L1228" s="296"/>
      <c r="M1228" s="296"/>
      <c r="N1228" s="266"/>
      <c r="O1228" s="17"/>
      <c r="AA1228" s="285" t="b">
        <f>AA1227</f>
        <v>0</v>
      </c>
    </row>
    <row r="1229" spans="2:27" ht="12.75" customHeight="1" x14ac:dyDescent="0.25">
      <c r="B1229" s="17"/>
      <c r="C1229" s="900"/>
      <c r="D1229" s="193" t="s">
        <v>221</v>
      </c>
      <c r="E1229" s="1527" t="str">
        <f>Translations!$B$746</f>
        <v>Biomass content (as fraction of carbon)</v>
      </c>
      <c r="F1229" s="1527"/>
      <c r="G1229" s="1527"/>
      <c r="H1229" s="343" t="s">
        <v>419</v>
      </c>
      <c r="I1229" s="826"/>
      <c r="J1229" s="826"/>
      <c r="K1229" s="826"/>
      <c r="L1229" s="826"/>
      <c r="M1229" s="826"/>
      <c r="N1229" s="266"/>
      <c r="O1229" s="17"/>
      <c r="R1229" s="459"/>
      <c r="S1229" s="326">
        <f>I1225</f>
        <v>2019</v>
      </c>
      <c r="T1229" s="326">
        <f>J1225</f>
        <v>2020</v>
      </c>
      <c r="U1229" s="326">
        <f>K1225</f>
        <v>2021</v>
      </c>
      <c r="V1229" s="326">
        <f>L1225</f>
        <v>2022</v>
      </c>
      <c r="W1229" s="327">
        <f>M1225</f>
        <v>2023</v>
      </c>
      <c r="AA1229" s="285" t="b">
        <f>AA1228</f>
        <v>0</v>
      </c>
    </row>
    <row r="1230" spans="2:27" ht="12.75" customHeight="1" thickBot="1" x14ac:dyDescent="0.3">
      <c r="B1230" s="17"/>
      <c r="C1230" s="900"/>
      <c r="D1230" s="193" t="s">
        <v>222</v>
      </c>
      <c r="E1230" s="1526" t="str">
        <f>Translations!$B$747</f>
        <v>Emissions (fossil, calculated)</v>
      </c>
      <c r="F1230" s="1526"/>
      <c r="G1230" s="1526"/>
      <c r="H1230" s="942" t="str">
        <f>EUconst_tCO2pa</f>
        <v>t CO2 / year</v>
      </c>
      <c r="I1230" s="943" t="str">
        <f>IF(AND(COUNT(I1226:I1229)&gt;0,I1233=""),3.664*I1226*(I1228/100)*(1-I1229/100),"")</f>
        <v/>
      </c>
      <c r="J1230" s="943" t="str">
        <f>IF(AND(COUNT(J1226:J1229)&gt;0,J1233=""),3.664*J1226*(J1228/100)*(1-J1229/100),"")</f>
        <v/>
      </c>
      <c r="K1230" s="943" t="str">
        <f>IF(AND(COUNT(K1226:K1229)&gt;0,K1233=""),3.664*K1226*(K1228/100)*(1-K1229/100),"")</f>
        <v/>
      </c>
      <c r="L1230" s="943" t="str">
        <f>IF(AND(COUNT(L1226:L1229)&gt;0,L1233=""),3.664*L1226*(L1228/100)*(1-L1229/100),"")</f>
        <v/>
      </c>
      <c r="M1230" s="943" t="str">
        <f>IF(AND(COUNT(M1226:M1229)&gt;0,M1233=""),3.664*M1226*(M1228/100)*(1-M1229/100),"")</f>
        <v/>
      </c>
      <c r="N1230" s="266"/>
      <c r="O1230" s="17"/>
      <c r="P1230" s="63" t="str">
        <f>EUconst_CNTR_EmissionsIntSource1 &amp; I1153</f>
        <v>EmInternalSource1_</v>
      </c>
      <c r="R1230" s="460" t="str">
        <f>EUconst_CNTR_AttributedEmissions &amp; I1153</f>
        <v>AttrEmissions_</v>
      </c>
      <c r="S1230" s="389" t="str">
        <f>IF(S1153,SUM(I1230),"")</f>
        <v/>
      </c>
      <c r="T1230" s="389" t="str">
        <f>IF(T1153,SUM(J1230),"")</f>
        <v/>
      </c>
      <c r="U1230" s="389" t="str">
        <f>IF(U1153,SUM(K1230),"")</f>
        <v/>
      </c>
      <c r="V1230" s="389" t="str">
        <f>IF(V1153,SUM(L1230),"")</f>
        <v/>
      </c>
      <c r="W1230" s="390" t="str">
        <f>IF(W1153,SUM(M1230),"")</f>
        <v/>
      </c>
      <c r="AA1230" s="815"/>
    </row>
    <row r="1231" spans="2:27" ht="12.75" customHeight="1" x14ac:dyDescent="0.25">
      <c r="B1231" s="17"/>
      <c r="C1231" s="900"/>
      <c r="D1231" s="193" t="s">
        <v>223</v>
      </c>
      <c r="E1231" s="1540" t="str">
        <f>Translations!$B$748</f>
        <v>Memo-Item: Biomass emissions</v>
      </c>
      <c r="F1231" s="1540"/>
      <c r="G1231" s="1540"/>
      <c r="H1231" s="944" t="str">
        <f>EUconst_tCO2pa</f>
        <v>t CO2 / year</v>
      </c>
      <c r="I1231" s="945" t="str">
        <f>IF(ISNUMBER(I1230),3.664*I1226*(I1228/100)*(I1229/100),"")</f>
        <v/>
      </c>
      <c r="J1231" s="945" t="str">
        <f>IF(ISNUMBER(J1230),3.664*J1226*(J1228/100)*(J1229/100),"")</f>
        <v/>
      </c>
      <c r="K1231" s="945" t="str">
        <f>IF(ISNUMBER(K1230),3.664*K1226*(K1228/100)*(K1229/100),"")</f>
        <v/>
      </c>
      <c r="L1231" s="945" t="str">
        <f>IF(ISNUMBER(L1230),3.664*L1226*(L1228/100)*(L1229/100),"")</f>
        <v/>
      </c>
      <c r="M1231" s="945" t="str">
        <f>IF(ISNUMBER(M1230),3.664*M1226*(M1228/100)*(M1229/100),"")</f>
        <v/>
      </c>
      <c r="N1231" s="266"/>
      <c r="O1231" s="17"/>
      <c r="AA1231" s="815"/>
    </row>
    <row r="1232" spans="2:27" ht="12.75" customHeight="1" x14ac:dyDescent="0.25">
      <c r="B1232" s="17"/>
      <c r="C1232" s="900"/>
      <c r="D1232" s="193" t="s">
        <v>224</v>
      </c>
      <c r="E1232" s="1527" t="str">
        <f>Translations!$B$749</f>
        <v>Energy content (calculated)</v>
      </c>
      <c r="F1232" s="1527"/>
      <c r="G1232" s="1527"/>
      <c r="H1232" s="946" t="str">
        <f>EUconst_TJpa</f>
        <v>TJ / year</v>
      </c>
      <c r="I1232" s="841" t="str">
        <f>IF(COUNT(I1226:I1227)=2,I1226*I1227/1000,"")</f>
        <v/>
      </c>
      <c r="J1232" s="841" t="str">
        <f>IF(COUNT(J1226:J1227)=2,J1226*J1227/1000,"")</f>
        <v/>
      </c>
      <c r="K1232" s="841" t="str">
        <f>IF(COUNT(K1226:K1227)=2,K1226*K1227/1000,"")</f>
        <v/>
      </c>
      <c r="L1232" s="841" t="str">
        <f>IF(COUNT(L1226:L1227)=2,L1226*L1227/1000,"")</f>
        <v/>
      </c>
      <c r="M1232" s="841" t="str">
        <f>IF(COUNT(M1226:M1227)=2,M1226*M1227/1000,"")</f>
        <v/>
      </c>
      <c r="N1232" s="266"/>
      <c r="O1232" s="17"/>
      <c r="AA1232" s="815"/>
    </row>
    <row r="1233" spans="2:27" ht="12.75" customHeight="1" x14ac:dyDescent="0.25">
      <c r="B1233" s="17"/>
      <c r="C1233" s="900"/>
      <c r="D1233" s="193" t="s">
        <v>345</v>
      </c>
      <c r="E1233" s="1541" t="str">
        <f>Translations!$B$750</f>
        <v>Error messages (emissions)</v>
      </c>
      <c r="F1233" s="1541"/>
      <c r="G1233" s="1541"/>
      <c r="H1233" s="947"/>
      <c r="I1233" s="267" t="str">
        <f>IF(COUNT(I1226,I1228:I1229)&gt;0,IF(COUNTIF(I1227:I1229,"&lt;0")&gt;0,EUconst_Negative,IF(COUNT(I1226,I1228:I1229)&lt;3,EUconst_Incomplete,"")),"")</f>
        <v/>
      </c>
      <c r="J1233" s="267" t="str">
        <f>IF(COUNT(J1226,J1228:J1229)&gt;0,IF(COUNTIF(J1227:J1229,"&lt;0")&gt;0,EUconst_Negative,IF(COUNT(J1226,J1228:J1229)&lt;3,EUconst_Incomplete,"")),"")</f>
        <v/>
      </c>
      <c r="K1233" s="267" t="str">
        <f>IF(COUNT(K1226,K1228:K1229)&gt;0,IF(COUNTIF(K1227:K1229,"&lt;0")&gt;0,EUconst_Negative,IF(COUNT(K1226,K1228:K1229)&lt;3,EUconst_Incomplete,"")),"")</f>
        <v/>
      </c>
      <c r="L1233" s="267" t="str">
        <f>IF(COUNT(L1226,L1228:L1229)&gt;0,IF(COUNTIF(L1227:L1229,"&lt;0")&gt;0,EUconst_Negative,IF(COUNT(L1226,L1228:L1229)&lt;3,EUconst_Incomplete,"")),"")</f>
        <v/>
      </c>
      <c r="M1233" s="267" t="str">
        <f>IF(COUNT(M1226,M1228:M1229)&gt;0,IF(COUNTIF(M1227:M1229,"&lt;0")&gt;0,EUconst_Negative,IF(COUNT(M1226,M1228:M1229)&lt;3,EUconst_Incomplete,"")),"")</f>
        <v/>
      </c>
      <c r="N1233" s="266"/>
      <c r="O1233" s="17"/>
      <c r="AA1233" s="815"/>
    </row>
    <row r="1234" spans="2:27" ht="12.75" customHeight="1" x14ac:dyDescent="0.25">
      <c r="B1234" s="17"/>
      <c r="C1234" s="900"/>
      <c r="D1234" s="193"/>
      <c r="E1234" s="342"/>
      <c r="F1234" s="342"/>
      <c r="G1234" s="342"/>
      <c r="H1234" s="342"/>
      <c r="I1234" s="342"/>
      <c r="J1234" s="342"/>
      <c r="K1234" s="342"/>
      <c r="L1234" s="342"/>
      <c r="M1234" s="342"/>
      <c r="N1234" s="266"/>
      <c r="O1234" s="17"/>
      <c r="AA1234" s="815"/>
    </row>
    <row r="1235" spans="2:27" ht="12.75" customHeight="1" x14ac:dyDescent="0.25">
      <c r="B1235" s="17"/>
      <c r="C1235" s="900"/>
      <c r="D1235" s="193" t="s">
        <v>346</v>
      </c>
      <c r="E1235" s="1529" t="str">
        <f>Translations!$B$751</f>
        <v>Name of further source streams - 2:</v>
      </c>
      <c r="F1235" s="1529"/>
      <c r="G1235" s="1529"/>
      <c r="H1235" s="1529"/>
      <c r="I1235" s="1530"/>
      <c r="J1235" s="1531"/>
      <c r="K1235" s="1531"/>
      <c r="L1235" s="1531"/>
      <c r="M1235" s="1532"/>
      <c r="N1235" s="763"/>
      <c r="O1235" s="17"/>
      <c r="AA1235" s="285" t="b">
        <f>AA1223</f>
        <v>0</v>
      </c>
    </row>
    <row r="1236" spans="2:27" ht="5.0999999999999996" customHeight="1" x14ac:dyDescent="0.25">
      <c r="B1236" s="17"/>
      <c r="C1236" s="900"/>
      <c r="D1236" s="342"/>
      <c r="E1236" s="902"/>
      <c r="F1236" s="762"/>
      <c r="G1236" s="762"/>
      <c r="H1236" s="762"/>
      <c r="I1236" s="762"/>
      <c r="J1236" s="762"/>
      <c r="K1236" s="762"/>
      <c r="L1236" s="762"/>
      <c r="M1236" s="762"/>
      <c r="N1236" s="763"/>
      <c r="O1236" s="17"/>
      <c r="AA1236" s="815"/>
    </row>
    <row r="1237" spans="2:27" ht="12.75" customHeight="1" x14ac:dyDescent="0.25">
      <c r="B1237" s="17"/>
      <c r="C1237" s="900"/>
      <c r="D1237" s="193"/>
      <c r="E1237" s="1522" t="str">
        <f>Translations!$B$752</f>
        <v>Further source streams - 2</v>
      </c>
      <c r="F1237" s="1523"/>
      <c r="G1237" s="1523"/>
      <c r="H1237" s="152" t="str">
        <f>EUconst_Unit</f>
        <v>Unit</v>
      </c>
      <c r="I1237" s="153">
        <f>I$1882</f>
        <v>2019</v>
      </c>
      <c r="J1237" s="153">
        <f>J$1882</f>
        <v>2020</v>
      </c>
      <c r="K1237" s="153">
        <f>K$1882</f>
        <v>2021</v>
      </c>
      <c r="L1237" s="153">
        <f>L$1882</f>
        <v>2022</v>
      </c>
      <c r="M1237" s="153">
        <f>M$1882</f>
        <v>2023</v>
      </c>
      <c r="N1237" s="266"/>
      <c r="O1237" s="17"/>
      <c r="AA1237" s="815"/>
    </row>
    <row r="1238" spans="2:27" ht="12.75" customHeight="1" x14ac:dyDescent="0.25">
      <c r="B1238" s="17"/>
      <c r="C1238" s="900"/>
      <c r="D1238" s="193" t="s">
        <v>347</v>
      </c>
      <c r="E1238" s="1526" t="str">
        <f>Translations!$B$743</f>
        <v>Amount imported or exported</v>
      </c>
      <c r="F1238" s="1526"/>
      <c r="G1238" s="1526"/>
      <c r="H1238" s="939" t="str">
        <f>EUconst_tpa</f>
        <v>t / year</v>
      </c>
      <c r="I1238" s="825"/>
      <c r="J1238" s="825"/>
      <c r="K1238" s="825"/>
      <c r="L1238" s="825"/>
      <c r="M1238" s="825"/>
      <c r="N1238" s="266"/>
      <c r="O1238" s="17"/>
      <c r="AA1238" s="285" t="b">
        <f>AA1235</f>
        <v>0</v>
      </c>
    </row>
    <row r="1239" spans="2:27" ht="12.75" customHeight="1" x14ac:dyDescent="0.25">
      <c r="B1239" s="17"/>
      <c r="C1239" s="900"/>
      <c r="D1239" s="193" t="s">
        <v>355</v>
      </c>
      <c r="E1239" s="1540" t="str">
        <f>Translations!$B$744</f>
        <v>Net calorific value (NCV), if applicable</v>
      </c>
      <c r="F1239" s="1540"/>
      <c r="G1239" s="1540"/>
      <c r="H1239" s="940" t="str">
        <f>EUconst_GJpt</f>
        <v>GJ / t</v>
      </c>
      <c r="I1239" s="296"/>
      <c r="J1239" s="296"/>
      <c r="K1239" s="296"/>
      <c r="L1239" s="296"/>
      <c r="M1239" s="296"/>
      <c r="N1239" s="266"/>
      <c r="O1239" s="17"/>
      <c r="AA1239" s="285" t="b">
        <f>AA1238</f>
        <v>0</v>
      </c>
    </row>
    <row r="1240" spans="2:27" ht="12.75" customHeight="1" thickBot="1" x14ac:dyDescent="0.3">
      <c r="B1240" s="17"/>
      <c r="C1240" s="900"/>
      <c r="D1240" s="193" t="s">
        <v>356</v>
      </c>
      <c r="E1240" s="1540" t="str">
        <f>Translations!$B$745</f>
        <v>Carbon content (mass %)</v>
      </c>
      <c r="F1240" s="1540"/>
      <c r="G1240" s="1540"/>
      <c r="H1240" s="941" t="s">
        <v>419</v>
      </c>
      <c r="I1240" s="296"/>
      <c r="J1240" s="296"/>
      <c r="K1240" s="296"/>
      <c r="L1240" s="296"/>
      <c r="M1240" s="296"/>
      <c r="N1240" s="266"/>
      <c r="O1240" s="17"/>
      <c r="AA1240" s="285" t="b">
        <f>AA1239</f>
        <v>0</v>
      </c>
    </row>
    <row r="1241" spans="2:27" ht="12.75" customHeight="1" thickBot="1" x14ac:dyDescent="0.3">
      <c r="B1241" s="17"/>
      <c r="C1241" s="900"/>
      <c r="D1241" s="193" t="s">
        <v>420</v>
      </c>
      <c r="E1241" s="1527" t="str">
        <f>Translations!$B$746</f>
        <v>Biomass content (as fraction of carbon)</v>
      </c>
      <c r="F1241" s="1527"/>
      <c r="G1241" s="1527"/>
      <c r="H1241" s="343" t="s">
        <v>419</v>
      </c>
      <c r="I1241" s="826"/>
      <c r="J1241" s="826"/>
      <c r="K1241" s="826"/>
      <c r="L1241" s="826"/>
      <c r="M1241" s="826"/>
      <c r="N1241" s="266"/>
      <c r="O1241" s="17"/>
      <c r="R1241" s="459"/>
      <c r="S1241" s="326">
        <f>I1237</f>
        <v>2019</v>
      </c>
      <c r="T1241" s="326">
        <f>J1237</f>
        <v>2020</v>
      </c>
      <c r="U1241" s="326">
        <f>K1237</f>
        <v>2021</v>
      </c>
      <c r="V1241" s="326">
        <f>L1237</f>
        <v>2022</v>
      </c>
      <c r="W1241" s="327">
        <f>M1237</f>
        <v>2023</v>
      </c>
      <c r="AA1241" s="286" t="b">
        <f>AA1240</f>
        <v>0</v>
      </c>
    </row>
    <row r="1242" spans="2:27" ht="12.75" customHeight="1" thickBot="1" x14ac:dyDescent="0.3">
      <c r="B1242" s="17"/>
      <c r="C1242" s="900"/>
      <c r="D1242" s="193" t="s">
        <v>421</v>
      </c>
      <c r="E1242" s="1526" t="str">
        <f>Translations!$B$747</f>
        <v>Emissions (fossil, calculated)</v>
      </c>
      <c r="F1242" s="1526"/>
      <c r="G1242" s="1526"/>
      <c r="H1242" s="942" t="str">
        <f>EUconst_tCO2pa</f>
        <v>t CO2 / year</v>
      </c>
      <c r="I1242" s="943" t="str">
        <f>IF(AND(COUNT(I1238:I1241)&gt;0,I1245=""),3.664*I1238*(I1240/100)*(1-I1241/100),"")</f>
        <v/>
      </c>
      <c r="J1242" s="943" t="str">
        <f>IF(AND(COUNT(J1238:J1241)&gt;0,J1245=""),3.664*J1238*(J1240/100)*(1-J1241/100),"")</f>
        <v/>
      </c>
      <c r="K1242" s="943" t="str">
        <f>IF(AND(COUNT(K1238:K1241)&gt;0,K1245=""),3.664*K1238*(K1240/100)*(1-K1241/100),"")</f>
        <v/>
      </c>
      <c r="L1242" s="943" t="str">
        <f>IF(AND(COUNT(L1238:L1241)&gt;0,L1245=""),3.664*L1238*(L1240/100)*(1-L1241/100),"")</f>
        <v/>
      </c>
      <c r="M1242" s="943" t="str">
        <f>IF(AND(COUNT(M1238:M1241)&gt;0,M1245=""),3.664*M1238*(M1240/100)*(1-M1241/100),"")</f>
        <v/>
      </c>
      <c r="N1242" s="266"/>
      <c r="O1242" s="17"/>
      <c r="P1242" s="63" t="str">
        <f>EUconst_CNTR_EmissionsIntSource2 &amp; I1153</f>
        <v>EmInternalSource2_</v>
      </c>
      <c r="R1242" s="460" t="str">
        <f>EUconst_CNTR_AttributedEmissions &amp; I1153</f>
        <v>AttrEmissions_</v>
      </c>
      <c r="S1242" s="389" t="str">
        <f>IF(S1153,SUM(I1242),"")</f>
        <v/>
      </c>
      <c r="T1242" s="389" t="str">
        <f>IF(T1153,SUM(J1242),"")</f>
        <v/>
      </c>
      <c r="U1242" s="389" t="str">
        <f>IF(U1153,SUM(K1242),"")</f>
        <v/>
      </c>
      <c r="V1242" s="389" t="str">
        <f>IF(V1153,SUM(L1242),"")</f>
        <v/>
      </c>
      <c r="W1242" s="390" t="str">
        <f>IF(W1153,SUM(M1242),"")</f>
        <v/>
      </c>
    </row>
    <row r="1243" spans="2:27" ht="12.75" customHeight="1" x14ac:dyDescent="0.25">
      <c r="B1243" s="17"/>
      <c r="C1243" s="900"/>
      <c r="D1243" s="193" t="s">
        <v>422</v>
      </c>
      <c r="E1243" s="1540" t="str">
        <f>Translations!$B$748</f>
        <v>Memo-Item: Biomass emissions</v>
      </c>
      <c r="F1243" s="1540"/>
      <c r="G1243" s="1540"/>
      <c r="H1243" s="944" t="str">
        <f>EUconst_tCO2pa</f>
        <v>t CO2 / year</v>
      </c>
      <c r="I1243" s="945" t="str">
        <f>IF(ISNUMBER(I1242),3.664*I1238*(I1240/100)*(I1241/100),"")</f>
        <v/>
      </c>
      <c r="J1243" s="945" t="str">
        <f>IF(ISNUMBER(J1242),3.664*J1238*(J1240/100)*(J1241/100),"")</f>
        <v/>
      </c>
      <c r="K1243" s="945" t="str">
        <f>IF(ISNUMBER(K1242),3.664*K1238*(K1240/100)*(K1241/100),"")</f>
        <v/>
      </c>
      <c r="L1243" s="945" t="str">
        <f>IF(ISNUMBER(L1242),3.664*L1238*(L1240/100)*(L1241/100),"")</f>
        <v/>
      </c>
      <c r="M1243" s="945" t="str">
        <f>IF(ISNUMBER(M1242),3.664*M1238*(M1240/100)*(M1241/100),"")</f>
        <v/>
      </c>
      <c r="N1243" s="266"/>
      <c r="O1243" s="17"/>
    </row>
    <row r="1244" spans="2:27" ht="12.75" customHeight="1" x14ac:dyDescent="0.25">
      <c r="B1244" s="17"/>
      <c r="C1244" s="900"/>
      <c r="D1244" s="193" t="s">
        <v>423</v>
      </c>
      <c r="E1244" s="1527" t="str">
        <f>Translations!$B$749</f>
        <v>Energy content (calculated)</v>
      </c>
      <c r="F1244" s="1527"/>
      <c r="G1244" s="1527"/>
      <c r="H1244" s="946" t="str">
        <f>EUconst_TJpa</f>
        <v>TJ / year</v>
      </c>
      <c r="I1244" s="841" t="str">
        <f>IF(COUNT(I1238:I1239)=2,I1238*I1239/1000,"")</f>
        <v/>
      </c>
      <c r="J1244" s="841" t="str">
        <f>IF(COUNT(J1238:J1239)=2,J1238*J1239/1000,"")</f>
        <v/>
      </c>
      <c r="K1244" s="841" t="str">
        <f>IF(COUNT(K1238:K1239)=2,K1238*K1239/1000,"")</f>
        <v/>
      </c>
      <c r="L1244" s="841" t="str">
        <f>IF(COUNT(L1238:L1239)=2,L1238*L1239/1000,"")</f>
        <v/>
      </c>
      <c r="M1244" s="841" t="str">
        <f>IF(COUNT(M1238:M1239)=2,M1238*M1239/1000,"")</f>
        <v/>
      </c>
      <c r="N1244" s="266"/>
      <c r="O1244" s="17"/>
    </row>
    <row r="1245" spans="2:27" ht="12.75" customHeight="1" x14ac:dyDescent="0.25">
      <c r="B1245" s="17"/>
      <c r="C1245" s="900"/>
      <c r="D1245" s="193" t="s">
        <v>356</v>
      </c>
      <c r="E1245" s="1541" t="str">
        <f>Translations!$B$750</f>
        <v>Error messages (emissions)</v>
      </c>
      <c r="F1245" s="1541"/>
      <c r="G1245" s="1541"/>
      <c r="H1245" s="947"/>
      <c r="I1245" s="267" t="str">
        <f>IF(COUNT(I1238,I1240:I1241)&gt;0,IF(COUNTIF(I1239:I1241,"&lt;0")&gt;0,EUconst_Negative,IF(COUNT(I1238,I1240:I1241)&lt;3,EUconst_Incomplete,"")),"")</f>
        <v/>
      </c>
      <c r="J1245" s="267" t="str">
        <f>IF(COUNT(J1238,J1240:J1241)&gt;0,IF(COUNTIF(J1239:J1241,"&lt;0")&gt;0,EUconst_Negative,IF(COUNT(J1238,J1240:J1241)&lt;3,EUconst_Incomplete,"")),"")</f>
        <v/>
      </c>
      <c r="K1245" s="267" t="str">
        <f>IF(COUNT(K1238,K1240:K1241)&gt;0,IF(COUNTIF(K1239:K1241,"&lt;0")&gt;0,EUconst_Negative,IF(COUNT(K1238,K1240:K1241)&lt;3,EUconst_Incomplete,"")),"")</f>
        <v/>
      </c>
      <c r="L1245" s="267" t="str">
        <f>IF(COUNT(L1238,L1240:L1241)&gt;0,IF(COUNTIF(L1239:L1241,"&lt;0")&gt;0,EUconst_Negative,IF(COUNT(L1238,L1240:L1241)&lt;3,EUconst_Incomplete,"")),"")</f>
        <v/>
      </c>
      <c r="M1245" s="267" t="str">
        <f>IF(COUNT(M1238,M1240:M1241)&gt;0,IF(COUNTIF(M1239:M1241,"&lt;0")&gt;0,EUconst_Negative,IF(COUNT(M1238,M1240:M1241)&lt;3,EUconst_Incomplete,"")),"")</f>
        <v/>
      </c>
      <c r="N1245" s="266"/>
      <c r="O1245" s="17"/>
    </row>
    <row r="1246" spans="2:27" ht="12.75" customHeight="1" x14ac:dyDescent="0.25">
      <c r="B1246" s="17"/>
      <c r="C1246" s="900"/>
      <c r="D1246" s="342"/>
      <c r="E1246" s="342"/>
      <c r="F1246" s="342"/>
      <c r="G1246" s="342"/>
      <c r="H1246" s="342"/>
      <c r="I1246" s="342"/>
      <c r="J1246" s="342"/>
      <c r="K1246" s="342"/>
      <c r="L1246" s="342"/>
      <c r="M1246" s="342"/>
      <c r="N1246" s="266"/>
      <c r="O1246" s="17"/>
    </row>
    <row r="1247" spans="2:27" ht="12.75" customHeight="1" thickBot="1" x14ac:dyDescent="0.3">
      <c r="B1247" s="17"/>
      <c r="C1247" s="900"/>
      <c r="D1247" s="157" t="s">
        <v>339</v>
      </c>
      <c r="E1247" s="1511" t="str">
        <f>Translations!$B$753</f>
        <v>Amount of GHG imported or exported as feedstock</v>
      </c>
      <c r="F1247" s="1512"/>
      <c r="G1247" s="1512"/>
      <c r="H1247" s="1512"/>
      <c r="I1247" s="1512"/>
      <c r="J1247" s="1512"/>
      <c r="K1247" s="1512"/>
      <c r="L1247" s="1512"/>
      <c r="M1247" s="1512"/>
      <c r="N1247" s="1513"/>
      <c r="O1247" s="17"/>
    </row>
    <row r="1248" spans="2:27" ht="12.75" customHeight="1" x14ac:dyDescent="0.25">
      <c r="B1248" s="17"/>
      <c r="C1248" s="900"/>
      <c r="D1248" s="157"/>
      <c r="E1248" s="1522"/>
      <c r="F1248" s="1523"/>
      <c r="G1248" s="1523"/>
      <c r="H1248" s="152" t="str">
        <f>EUconst_Unit</f>
        <v>Unit</v>
      </c>
      <c r="I1248" s="153">
        <f>I$1882</f>
        <v>2019</v>
      </c>
      <c r="J1248" s="153">
        <f>J$1882</f>
        <v>2020</v>
      </c>
      <c r="K1248" s="153">
        <f>K$1882</f>
        <v>2021</v>
      </c>
      <c r="L1248" s="153">
        <f>L$1882</f>
        <v>2022</v>
      </c>
      <c r="M1248" s="153">
        <f>M$1882</f>
        <v>2023</v>
      </c>
      <c r="N1248" s="266"/>
      <c r="O1248" s="17"/>
      <c r="R1248" s="459"/>
      <c r="S1248" s="326">
        <f>I1248</f>
        <v>2019</v>
      </c>
      <c r="T1248" s="326">
        <f>J1248</f>
        <v>2020</v>
      </c>
      <c r="U1248" s="326">
        <f>K1248</f>
        <v>2021</v>
      </c>
      <c r="V1248" s="326">
        <f>L1248</f>
        <v>2022</v>
      </c>
      <c r="W1248" s="327">
        <f>M1248</f>
        <v>2023</v>
      </c>
    </row>
    <row r="1249" spans="2:24" ht="12.75" customHeight="1" thickBot="1" x14ac:dyDescent="0.3">
      <c r="B1249" s="17"/>
      <c r="C1249" s="900"/>
      <c r="D1249" s="193"/>
      <c r="E1249" s="1528" t="str">
        <f>Translations!$B$756</f>
        <v>GHG imported or exported</v>
      </c>
      <c r="F1249" s="1528"/>
      <c r="G1249" s="1528"/>
      <c r="H1249" s="154" t="str">
        <f>EUconst_tCO2epa</f>
        <v>t CO2e/year</v>
      </c>
      <c r="I1249" s="311"/>
      <c r="J1249" s="311"/>
      <c r="K1249" s="311"/>
      <c r="L1249" s="311"/>
      <c r="M1249" s="311"/>
      <c r="N1249" s="903"/>
      <c r="O1249" s="17"/>
      <c r="P1249" s="63" t="str">
        <f>EUconst_CNTR_CO2Feedstock &amp; I1153</f>
        <v>EmCO2Feedstock_</v>
      </c>
      <c r="R1249" s="460" t="str">
        <f>EUconst_CNTR_AttributedEmissions &amp; I1153</f>
        <v>AttrEmissions_</v>
      </c>
      <c r="S1249" s="389" t="str">
        <f>IF(S1153,SUM(I1249),"")</f>
        <v/>
      </c>
      <c r="T1249" s="389" t="str">
        <f>IF(T1153,SUM(J1249),"")</f>
        <v/>
      </c>
      <c r="U1249" s="389" t="str">
        <f>IF(U1153,SUM(K1249),"")</f>
        <v/>
      </c>
      <c r="V1249" s="389" t="str">
        <f>IF(V1153,SUM(L1249),"")</f>
        <v/>
      </c>
      <c r="W1249" s="390" t="str">
        <f>IF(W1153,SUM(M1249),"")</f>
        <v/>
      </c>
    </row>
    <row r="1250" spans="2:24" ht="12.75" customHeight="1" x14ac:dyDescent="0.25">
      <c r="B1250" s="17"/>
      <c r="C1250" s="900"/>
      <c r="D1250" s="342"/>
      <c r="E1250" s="342"/>
      <c r="F1250" s="342"/>
      <c r="G1250" s="342"/>
      <c r="H1250" s="342"/>
      <c r="I1250" s="342"/>
      <c r="J1250" s="342"/>
      <c r="K1250" s="342"/>
      <c r="L1250" s="342"/>
      <c r="M1250" s="342"/>
      <c r="N1250" s="266"/>
      <c r="O1250" s="17"/>
    </row>
    <row r="1251" spans="2:24" ht="12.75" customHeight="1" x14ac:dyDescent="0.25">
      <c r="B1251" s="17"/>
      <c r="C1251" s="900"/>
      <c r="D1251" s="157" t="s">
        <v>357</v>
      </c>
      <c r="E1251" s="1511" t="str">
        <f>Translations!$B$757</f>
        <v>Measurable heat import to and export from this sub-installation</v>
      </c>
      <c r="F1251" s="1512"/>
      <c r="G1251" s="1512"/>
      <c r="H1251" s="1512"/>
      <c r="I1251" s="1512"/>
      <c r="J1251" s="1512"/>
      <c r="K1251" s="1512"/>
      <c r="L1251" s="1512"/>
      <c r="M1251" s="1512"/>
      <c r="N1251" s="1513"/>
      <c r="O1251" s="17"/>
    </row>
    <row r="1252" spans="2:24" ht="12.75" customHeight="1" thickBot="1" x14ac:dyDescent="0.3">
      <c r="B1252" s="17"/>
      <c r="C1252" s="900"/>
      <c r="D1252" s="342"/>
      <c r="E1252" s="1477" t="str">
        <f>Translations!$B$762</f>
        <v>For attributing emissions from cogeneration (CHP) to production of heat, the "CHP tool" in section D.III. of this template has to be used.</v>
      </c>
      <c r="F1252" s="1477"/>
      <c r="G1252" s="1477"/>
      <c r="H1252" s="1477"/>
      <c r="I1252" s="1477"/>
      <c r="J1252" s="1477"/>
      <c r="K1252" s="1477"/>
      <c r="L1252" s="1477"/>
      <c r="M1252" s="1477"/>
      <c r="N1252" s="903"/>
      <c r="O1252" s="17"/>
    </row>
    <row r="1253" spans="2:24" ht="12.75" customHeight="1" x14ac:dyDescent="0.25">
      <c r="B1253" s="17"/>
      <c r="C1253" s="900"/>
      <c r="D1253" s="342"/>
      <c r="E1253" s="1522" t="str">
        <f>Translations!$B$763</f>
        <v>Total heat imported</v>
      </c>
      <c r="F1253" s="1523"/>
      <c r="G1253" s="1523"/>
      <c r="H1253" s="152" t="str">
        <f>EUconst_Unit</f>
        <v>Unit</v>
      </c>
      <c r="I1253" s="153">
        <f>I$1882</f>
        <v>2019</v>
      </c>
      <c r="J1253" s="153">
        <f>J$1882</f>
        <v>2020</v>
      </c>
      <c r="K1253" s="153">
        <f>K$1882</f>
        <v>2021</v>
      </c>
      <c r="L1253" s="153">
        <f>L$1882</f>
        <v>2022</v>
      </c>
      <c r="M1253" s="153">
        <f>M$1882</f>
        <v>2023</v>
      </c>
      <c r="N1253" s="903"/>
      <c r="O1253" s="17"/>
      <c r="R1253" s="459"/>
      <c r="S1253" s="326">
        <f>I1253</f>
        <v>2019</v>
      </c>
      <c r="T1253" s="326">
        <f>J1253</f>
        <v>2020</v>
      </c>
      <c r="U1253" s="326">
        <f>K1253</f>
        <v>2021</v>
      </c>
      <c r="V1253" s="326">
        <f>L1253</f>
        <v>2022</v>
      </c>
      <c r="W1253" s="327">
        <f>M1253</f>
        <v>2023</v>
      </c>
    </row>
    <row r="1254" spans="2:24" ht="12.75" customHeight="1" x14ac:dyDescent="0.25">
      <c r="B1254" s="17"/>
      <c r="C1254" s="900"/>
      <c r="D1254" s="193" t="s">
        <v>206</v>
      </c>
      <c r="E1254" s="1528" t="str">
        <f>Translations!$B$764</f>
        <v>Net heat imported</v>
      </c>
      <c r="F1254" s="1528"/>
      <c r="G1254" s="1528"/>
      <c r="H1254" s="154" t="str">
        <f>EUconst_TJpa</f>
        <v>TJ / year</v>
      </c>
      <c r="I1254" s="311"/>
      <c r="J1254" s="311"/>
      <c r="K1254" s="311"/>
      <c r="L1254" s="311"/>
      <c r="M1254" s="311"/>
      <c r="N1254" s="277"/>
      <c r="O1254" s="17"/>
      <c r="P1254" s="63" t="str">
        <f>EUconst_CNTR_HeatImport &amp; I1153</f>
        <v>HeatIm_</v>
      </c>
      <c r="R1254" s="464" t="str">
        <f>EUconst_ERR_AttrEmBMapplied &amp; I1153</f>
        <v>ERR_AttrEmBM_</v>
      </c>
      <c r="S1254" s="63">
        <f>IF(AND(I1254&lt;&gt;0,I1255="",EUconst_StatusOfDataCollection=FALSE),1,0)</f>
        <v>0</v>
      </c>
      <c r="T1254" s="63">
        <f>IF(AND(J1254&lt;&gt;0,J1255="",EUconst_StatusOfDataCollection=FALSE),1,0)</f>
        <v>0</v>
      </c>
      <c r="U1254" s="63">
        <f>IF(AND(K1254&lt;&gt;0,K1255="",EUconst_StatusOfDataCollection=FALSE),1,0)</f>
        <v>0</v>
      </c>
      <c r="V1254" s="63">
        <f>IF(AND(L1254&lt;&gt;0,L1255="",EUconst_StatusOfDataCollection=FALSE),1,0)</f>
        <v>0</v>
      </c>
      <c r="W1254" s="803">
        <f>IF(AND(M1254&lt;&gt;0,M1255="",EUconst_StatusOfDataCollection=FALSE),1,0)</f>
        <v>0</v>
      </c>
      <c r="X1254" s="28"/>
    </row>
    <row r="1255" spans="2:24" ht="12.75" customHeight="1" thickBot="1" x14ac:dyDescent="0.3">
      <c r="B1255" s="17"/>
      <c r="C1255" s="900"/>
      <c r="D1255" s="193" t="s">
        <v>208</v>
      </c>
      <c r="E1255" s="1528" t="str">
        <f>Translations!$B$765</f>
        <v>Specific EF (imported heat)</v>
      </c>
      <c r="F1255" s="1528"/>
      <c r="G1255" s="1528"/>
      <c r="H1255" s="154" t="str">
        <f>EUconst_tCO2pTJ</f>
        <v>t CO2 / TJ</v>
      </c>
      <c r="I1255" s="1065"/>
      <c r="J1255" s="1065"/>
      <c r="K1255" s="1065"/>
      <c r="L1255" s="1065"/>
      <c r="M1255" s="1065"/>
      <c r="N1255" s="266"/>
      <c r="O1255" s="17"/>
      <c r="P1255" s="63" t="str">
        <f>EUconst_CNTR_HeatImportEF &amp; I1153</f>
        <v>HeatImEF_</v>
      </c>
      <c r="R1255" s="460" t="str">
        <f>EUconst_CNTR_AttributedEmissions &amp; I1153</f>
        <v>AttrEmissions_</v>
      </c>
      <c r="S1255" s="389" t="str">
        <f>IF(S1153,SUM(I1254)*IF(ISNUMBER(I1255),I1255,EUconst_HeatBMvalueForBM),"")</f>
        <v/>
      </c>
      <c r="T1255" s="389" t="str">
        <f>IF(T1153,SUM(J1254)*IF(ISNUMBER(J1255),J1255,EUconst_HeatBMvalueForBM),"")</f>
        <v/>
      </c>
      <c r="U1255" s="389" t="str">
        <f>IF(U1153,SUM(K1254)*IF(ISNUMBER(K1255),K1255,EUconst_HeatBMvalueForBM),"")</f>
        <v/>
      </c>
      <c r="V1255" s="389" t="str">
        <f>IF(V1153,SUM(L1254)*IF(ISNUMBER(L1255),L1255,EUconst_HeatBMvalueForBM),"")</f>
        <v/>
      </c>
      <c r="W1255" s="390" t="str">
        <f>IF(W1153,SUM(M1254)*IF(ISNUMBER(M1255),M1255,EUconst_HeatBMvalueForBM),"")</f>
        <v/>
      </c>
    </row>
    <row r="1256" spans="2:24" ht="5.0999999999999996" customHeight="1" x14ac:dyDescent="0.25">
      <c r="B1256" s="17"/>
      <c r="C1256" s="900"/>
      <c r="D1256" s="342"/>
      <c r="E1256" s="342"/>
      <c r="F1256" s="342"/>
      <c r="G1256" s="342"/>
      <c r="H1256" s="342"/>
      <c r="I1256" s="342"/>
      <c r="J1256" s="342"/>
      <c r="K1256" s="342"/>
      <c r="L1256" s="342"/>
      <c r="M1256" s="342"/>
      <c r="N1256" s="266"/>
      <c r="O1256" s="17"/>
    </row>
    <row r="1257" spans="2:24" ht="12.75" customHeight="1" x14ac:dyDescent="0.25">
      <c r="B1257" s="17"/>
      <c r="C1257" s="900"/>
      <c r="D1257" s="342"/>
      <c r="E1257" s="1522" t="str">
        <f>Translations!$B$766</f>
        <v>Special heat import</v>
      </c>
      <c r="F1257" s="1522"/>
      <c r="G1257" s="1522"/>
      <c r="H1257" s="152" t="str">
        <f>EUconst_Unit</f>
        <v>Unit</v>
      </c>
      <c r="I1257" s="153">
        <f>I$1882</f>
        <v>2019</v>
      </c>
      <c r="J1257" s="153">
        <f>J$1882</f>
        <v>2020</v>
      </c>
      <c r="K1257" s="153">
        <f>K$1882</f>
        <v>2021</v>
      </c>
      <c r="L1257" s="153">
        <f>L$1882</f>
        <v>2022</v>
      </c>
      <c r="M1257" s="153">
        <f>M$1882</f>
        <v>2023</v>
      </c>
      <c r="N1257" s="903"/>
      <c r="O1257" s="17"/>
    </row>
    <row r="1258" spans="2:24" ht="12.75" customHeight="1" x14ac:dyDescent="0.25">
      <c r="B1258" s="17"/>
      <c r="C1258" s="900"/>
      <c r="D1258" s="193" t="s">
        <v>209</v>
      </c>
      <c r="E1258" s="1528" t="str">
        <f>Translations!$B$820</f>
        <v>Net heat imported from pulp</v>
      </c>
      <c r="F1258" s="1528"/>
      <c r="G1258" s="1528"/>
      <c r="H1258" s="154" t="str">
        <f>EUconst_TJpa</f>
        <v>TJ / year</v>
      </c>
      <c r="I1258" s="948"/>
      <c r="J1258" s="948"/>
      <c r="K1258" s="948"/>
      <c r="L1258" s="948"/>
      <c r="M1258" s="948"/>
      <c r="N1258" s="277"/>
      <c r="O1258" s="17"/>
      <c r="P1258" s="63" t="str">
        <f>EUconst_CNTR_HeatImportPulp &amp; I1153</f>
        <v>HeatImPulp_</v>
      </c>
    </row>
    <row r="1259" spans="2:24" ht="12.75" customHeight="1" x14ac:dyDescent="0.25">
      <c r="B1259" s="17"/>
      <c r="C1259" s="900"/>
      <c r="D1259" s="193" t="s">
        <v>210</v>
      </c>
      <c r="E1259" s="1528" t="str">
        <f>Translations!$B$768</f>
        <v>Net heat imported from nitric acid sub-installation</v>
      </c>
      <c r="F1259" s="1528"/>
      <c r="G1259" s="1528"/>
      <c r="H1259" s="154" t="str">
        <f>EUconst_TJpa</f>
        <v>TJ / year</v>
      </c>
      <c r="I1259" s="311"/>
      <c r="J1259" s="311"/>
      <c r="K1259" s="311"/>
      <c r="L1259" s="311"/>
      <c r="M1259" s="311"/>
      <c r="N1259" s="277"/>
      <c r="O1259" s="17"/>
      <c r="P1259" s="63" t="str">
        <f>EUconst_CNTR_HeatImportNitric &amp; I1153</f>
        <v>HeatImNitric_</v>
      </c>
    </row>
    <row r="1260" spans="2:24" ht="5.0999999999999996" customHeight="1" thickBot="1" x14ac:dyDescent="0.3">
      <c r="B1260" s="17"/>
      <c r="C1260" s="900"/>
      <c r="D1260" s="342"/>
      <c r="E1260" s="342"/>
      <c r="F1260" s="342"/>
      <c r="G1260" s="342"/>
      <c r="H1260" s="342"/>
      <c r="I1260" s="342"/>
      <c r="J1260" s="342"/>
      <c r="K1260" s="342"/>
      <c r="L1260" s="342"/>
      <c r="M1260" s="342"/>
      <c r="N1260" s="266"/>
      <c r="O1260" s="17"/>
    </row>
    <row r="1261" spans="2:24" ht="12.75" customHeight="1" x14ac:dyDescent="0.25">
      <c r="B1261" s="17"/>
      <c r="C1261" s="900"/>
      <c r="D1261" s="342"/>
      <c r="E1261" s="1522" t="str">
        <f>Translations!$B$769</f>
        <v>Total heat exported</v>
      </c>
      <c r="F1261" s="1522"/>
      <c r="G1261" s="1522"/>
      <c r="H1261" s="152" t="str">
        <f>EUconst_Unit</f>
        <v>Unit</v>
      </c>
      <c r="I1261" s="153">
        <f>I$1882</f>
        <v>2019</v>
      </c>
      <c r="J1261" s="153">
        <f>J$1882</f>
        <v>2020</v>
      </c>
      <c r="K1261" s="153">
        <f>K$1882</f>
        <v>2021</v>
      </c>
      <c r="L1261" s="153">
        <f>L$1882</f>
        <v>2022</v>
      </c>
      <c r="M1261" s="153">
        <f>M$1882</f>
        <v>2023</v>
      </c>
      <c r="N1261" s="903"/>
      <c r="O1261" s="17"/>
      <c r="R1261" s="459"/>
      <c r="S1261" s="326">
        <f>I1261</f>
        <v>2019</v>
      </c>
      <c r="T1261" s="326">
        <f>J1261</f>
        <v>2020</v>
      </c>
      <c r="U1261" s="326">
        <f>K1261</f>
        <v>2021</v>
      </c>
      <c r="V1261" s="326">
        <f>L1261</f>
        <v>2022</v>
      </c>
      <c r="W1261" s="327">
        <f>M1261</f>
        <v>2023</v>
      </c>
    </row>
    <row r="1262" spans="2:24" ht="12.75" customHeight="1" x14ac:dyDescent="0.25">
      <c r="B1262" s="17"/>
      <c r="C1262" s="900"/>
      <c r="D1262" s="193" t="s">
        <v>220</v>
      </c>
      <c r="E1262" s="1528" t="str">
        <f>Translations!$B$770</f>
        <v>Net heat exported</v>
      </c>
      <c r="F1262" s="1528"/>
      <c r="G1262" s="1528"/>
      <c r="H1262" s="154" t="str">
        <f>EUconst_TJpa</f>
        <v>TJ / year</v>
      </c>
      <c r="I1262" s="311"/>
      <c r="J1262" s="311"/>
      <c r="K1262" s="311"/>
      <c r="L1262" s="311"/>
      <c r="M1262" s="311"/>
      <c r="N1262" s="277"/>
      <c r="O1262" s="17"/>
      <c r="P1262" s="63" t="str">
        <f>EUconst_CNTR_HeatExport &amp; I1153</f>
        <v>HeatEx_</v>
      </c>
      <c r="R1262" s="464" t="str">
        <f>EUconst_ERR_AttrEmBMapplied &amp; I1153</f>
        <v>ERR_AttrEmBM_</v>
      </c>
      <c r="S1262" s="63">
        <f>IF(AND(I1262&lt;&gt;0,I1263="",EUconst_StatusOfDataCollection=FALSE),1,0)</f>
        <v>0</v>
      </c>
      <c r="T1262" s="63">
        <f>IF(AND(J1262&lt;&gt;0,J1263="",EUconst_StatusOfDataCollection=FALSE),1,0)</f>
        <v>0</v>
      </c>
      <c r="U1262" s="63">
        <f>IF(AND(K1262&lt;&gt;0,K1263="",EUconst_StatusOfDataCollection=FALSE),1,0)</f>
        <v>0</v>
      </c>
      <c r="V1262" s="63">
        <f>IF(AND(L1262&lt;&gt;0,L1263="",EUconst_StatusOfDataCollection=FALSE),1,0)</f>
        <v>0</v>
      </c>
      <c r="W1262" s="803">
        <f>IF(AND(M1262&lt;&gt;0,M1263="",EUconst_StatusOfDataCollection=FALSE),1,0)</f>
        <v>0</v>
      </c>
    </row>
    <row r="1263" spans="2:24" ht="12.75" customHeight="1" thickBot="1" x14ac:dyDescent="0.3">
      <c r="B1263" s="17"/>
      <c r="C1263" s="900"/>
      <c r="D1263" s="193" t="s">
        <v>221</v>
      </c>
      <c r="E1263" s="1528" t="str">
        <f>Translations!$B$771</f>
        <v>Specific EF (exported heat)</v>
      </c>
      <c r="F1263" s="1528"/>
      <c r="G1263" s="1528"/>
      <c r="H1263" s="154" t="str">
        <f>EUconst_tCO2pTJ</f>
        <v>t CO2 / TJ</v>
      </c>
      <c r="I1263" s="1065"/>
      <c r="J1263" s="1065"/>
      <c r="K1263" s="1065"/>
      <c r="L1263" s="1065"/>
      <c r="M1263" s="1065"/>
      <c r="N1263" s="266"/>
      <c r="O1263" s="17"/>
      <c r="P1263" s="63" t="str">
        <f>EUconst_CNTR_HeatExportEF &amp; I1153</f>
        <v>HeatExEF_</v>
      </c>
      <c r="R1263" s="460" t="str">
        <f>EUconst_CNTR_AttributedEmissions &amp; I1153</f>
        <v>AttrEmissions_</v>
      </c>
      <c r="S1263" s="389" t="str">
        <f>IF(S1153,-SUM(I1262)*IF(INDEX(EUconst_BMlistNumberOfBM,MATCH($I1153,EUconst_BMlistNames,0))=39,0,IF(ISNUMBER(I1263),I1263,EUconst_HeatBMvalueForBM)),"")</f>
        <v/>
      </c>
      <c r="T1263" s="389" t="str">
        <f>IF(T1153,-SUM(J1262)*IF(INDEX(EUconst_BMlistNumberOfBM,MATCH($I1153,EUconst_BMlistNames,0))=39,0,IF(ISNUMBER(J1263),J1263,EUconst_HeatBMvalueForBM)),"")</f>
        <v/>
      </c>
      <c r="U1263" s="389" t="str">
        <f>IF(U1153,-SUM(K1262)*IF(INDEX(EUconst_BMlistNumberOfBM,MATCH($I1153,EUconst_BMlistNames,0))=39,0,IF(ISNUMBER(K1263),K1263,EUconst_HeatBMvalueForBM)),"")</f>
        <v/>
      </c>
      <c r="V1263" s="389" t="str">
        <f>IF(V1153,-SUM(L1262)*IF(INDEX(EUconst_BMlistNumberOfBM,MATCH($I1153,EUconst_BMlistNames,0))=39,0,IF(ISNUMBER(L1263),L1263,EUconst_HeatBMvalueForBM)),"")</f>
        <v/>
      </c>
      <c r="W1263" s="390" t="str">
        <f>IF(W1153,-SUM(M1262)*IF(INDEX(EUconst_BMlistNumberOfBM,MATCH($I1153,EUconst_BMlistNames,0))=39,0,IF(ISNUMBER(M1263),M1263,EUconst_HeatBMvalueForBM)),"")</f>
        <v/>
      </c>
    </row>
    <row r="1264" spans="2:24" ht="12.75" customHeight="1" x14ac:dyDescent="0.25">
      <c r="B1264" s="17"/>
      <c r="C1264" s="900"/>
      <c r="D1264" s="342"/>
      <c r="E1264" s="342"/>
      <c r="F1264" s="342"/>
      <c r="G1264" s="342"/>
      <c r="H1264" s="342"/>
      <c r="I1264" s="342"/>
      <c r="J1264" s="342"/>
      <c r="K1264" s="342"/>
      <c r="L1264" s="342"/>
      <c r="M1264" s="342"/>
      <c r="N1264" s="266"/>
      <c r="O1264" s="17"/>
    </row>
    <row r="1265" spans="2:27" ht="12.75" customHeight="1" x14ac:dyDescent="0.25">
      <c r="B1265" s="17"/>
      <c r="C1265" s="900"/>
      <c r="D1265" s="157" t="s">
        <v>358</v>
      </c>
      <c r="E1265" s="1511" t="str">
        <f>Translations!$B$772</f>
        <v>Waste gas balance for this sub-installation</v>
      </c>
      <c r="F1265" s="1512"/>
      <c r="G1265" s="1512"/>
      <c r="H1265" s="1512"/>
      <c r="I1265" s="1512"/>
      <c r="J1265" s="1512"/>
      <c r="K1265" s="1512"/>
      <c r="L1265" s="1512"/>
      <c r="M1265" s="1512"/>
      <c r="N1265" s="1513"/>
      <c r="O1265" s="17"/>
    </row>
    <row r="1266" spans="2:27" ht="5.0999999999999996" customHeight="1" thickBot="1" x14ac:dyDescent="0.3">
      <c r="B1266" s="17"/>
      <c r="C1266" s="900"/>
      <c r="D1266" s="342"/>
      <c r="E1266" s="1533"/>
      <c r="F1266" s="1533"/>
      <c r="G1266" s="1533"/>
      <c r="H1266" s="1533"/>
      <c r="I1266" s="1533"/>
      <c r="J1266" s="1533"/>
      <c r="K1266" s="1533"/>
      <c r="L1266" s="1533"/>
      <c r="M1266" s="1533"/>
      <c r="N1266" s="1537"/>
      <c r="O1266" s="17"/>
    </row>
    <row r="1267" spans="2:27" ht="12.75" customHeight="1" thickBot="1" x14ac:dyDescent="0.3">
      <c r="B1267" s="17"/>
      <c r="C1267" s="900"/>
      <c r="D1267" s="193" t="s">
        <v>206</v>
      </c>
      <c r="E1267" s="1538" t="str">
        <f>Translations!$B$773</f>
        <v>Are waste gases relevant for this sub-installation?</v>
      </c>
      <c r="F1267" s="1538"/>
      <c r="G1267" s="1538"/>
      <c r="H1267" s="1538"/>
      <c r="I1267" s="1538"/>
      <c r="J1267" s="1538"/>
      <c r="K1267" s="1539"/>
      <c r="L1267" s="194"/>
      <c r="M1267" s="762"/>
      <c r="N1267" s="763"/>
      <c r="O1267" s="17"/>
      <c r="W1267" s="288" t="s">
        <v>418</v>
      </c>
      <c r="X1267" s="215" t="b">
        <f>IF(AND(I1153&lt;&gt;"",ISBLANK(L1267)),EUconst_Error&amp;"BM"&amp;C1153,FALSE)</f>
        <v>0</v>
      </c>
    </row>
    <row r="1268" spans="2:27" ht="5.0999999999999996" customHeight="1" thickBot="1" x14ac:dyDescent="0.3">
      <c r="B1268" s="17"/>
      <c r="C1268" s="900"/>
      <c r="D1268" s="342"/>
      <c r="E1268" s="1533"/>
      <c r="F1268" s="1512"/>
      <c r="G1268" s="1512"/>
      <c r="H1268" s="1512"/>
      <c r="I1268" s="1512"/>
      <c r="J1268" s="1512"/>
      <c r="K1268" s="1512"/>
      <c r="L1268" s="1512"/>
      <c r="M1268" s="1512"/>
      <c r="N1268" s="1513"/>
      <c r="O1268" s="17"/>
      <c r="AA1268" s="145" t="s">
        <v>396</v>
      </c>
    </row>
    <row r="1269" spans="2:27" ht="12.75" customHeight="1" x14ac:dyDescent="0.25">
      <c r="B1269" s="17"/>
      <c r="C1269" s="900"/>
      <c r="D1269" s="193" t="s">
        <v>208</v>
      </c>
      <c r="E1269" s="1529" t="str">
        <f>Translations!$B$775</f>
        <v>Types of waste gases produced:</v>
      </c>
      <c r="F1269" s="1529"/>
      <c r="G1269" s="1529"/>
      <c r="H1269" s="1529"/>
      <c r="I1269" s="1530"/>
      <c r="J1269" s="1531"/>
      <c r="K1269" s="1531"/>
      <c r="L1269" s="1531"/>
      <c r="M1269" s="1532"/>
      <c r="N1269" s="763"/>
      <c r="O1269" s="17"/>
      <c r="AA1269" s="316" t="b">
        <f>IF(I1153&lt;&gt;"",AND(L1267&lt;&gt;"",L1267=FALSE),FALSE)</f>
        <v>0</v>
      </c>
    </row>
    <row r="1270" spans="2:27" ht="5.0999999999999996" customHeight="1" x14ac:dyDescent="0.25">
      <c r="B1270" s="17"/>
      <c r="C1270" s="900"/>
      <c r="D1270" s="342"/>
      <c r="E1270" s="1533"/>
      <c r="F1270" s="1512"/>
      <c r="G1270" s="1512"/>
      <c r="H1270" s="1512"/>
      <c r="I1270" s="1512"/>
      <c r="J1270" s="1512"/>
      <c r="K1270" s="1512"/>
      <c r="L1270" s="1512"/>
      <c r="M1270" s="1512"/>
      <c r="N1270" s="1513"/>
      <c r="O1270" s="17"/>
      <c r="AA1270" s="815"/>
    </row>
    <row r="1271" spans="2:27" ht="12.75" customHeight="1" x14ac:dyDescent="0.25">
      <c r="B1271" s="17"/>
      <c r="C1271" s="900"/>
      <c r="D1271" s="342"/>
      <c r="E1271" s="1522"/>
      <c r="F1271" s="1523"/>
      <c r="G1271" s="1523"/>
      <c r="H1271" s="152" t="str">
        <f>EUconst_Unit</f>
        <v>Unit</v>
      </c>
      <c r="I1271" s="153">
        <f>I$1882</f>
        <v>2019</v>
      </c>
      <c r="J1271" s="153">
        <f>J$1882</f>
        <v>2020</v>
      </c>
      <c r="K1271" s="153">
        <f>K$1882</f>
        <v>2021</v>
      </c>
      <c r="L1271" s="153">
        <f>L$1882</f>
        <v>2022</v>
      </c>
      <c r="M1271" s="153">
        <f>M$1882</f>
        <v>2023</v>
      </c>
      <c r="N1271" s="903"/>
      <c r="O1271" s="17"/>
      <c r="AA1271" s="815"/>
    </row>
    <row r="1272" spans="2:27" ht="12.75" customHeight="1" x14ac:dyDescent="0.25">
      <c r="B1272" s="17"/>
      <c r="C1272" s="900"/>
      <c r="D1272" s="193" t="s">
        <v>209</v>
      </c>
      <c r="E1272" s="1526" t="str">
        <f>Translations!$B$777</f>
        <v>Amounts produced</v>
      </c>
      <c r="F1272" s="1526"/>
      <c r="G1272" s="1526"/>
      <c r="H1272" s="949" t="s">
        <v>427</v>
      </c>
      <c r="I1272" s="889"/>
      <c r="J1272" s="889"/>
      <c r="K1272" s="889"/>
      <c r="L1272" s="889"/>
      <c r="M1272" s="889"/>
      <c r="N1272" s="903"/>
      <c r="O1272" s="17"/>
      <c r="AA1272" s="285" t="b">
        <f>AA1269</f>
        <v>0</v>
      </c>
    </row>
    <row r="1273" spans="2:27" ht="12.75" customHeight="1" x14ac:dyDescent="0.25">
      <c r="B1273" s="17"/>
      <c r="C1273" s="900"/>
      <c r="D1273" s="193" t="s">
        <v>210</v>
      </c>
      <c r="E1273" s="1527" t="str">
        <f>Translations!$B$470</f>
        <v>Net calorific value</v>
      </c>
      <c r="F1273" s="1527"/>
      <c r="G1273" s="1527"/>
      <c r="H1273" s="950" t="str">
        <f>IF(ISBLANK(H1272),EUconst_GJperUnit,INDEX(EUconst_GJperTorKNm3,MATCH(H1272,EUconst_TonnesOrkNm3pa,0)))</f>
        <v>GJ/1000Nm3</v>
      </c>
      <c r="I1273" s="895"/>
      <c r="J1273" s="895"/>
      <c r="K1273" s="895"/>
      <c r="L1273" s="895"/>
      <c r="M1273" s="895"/>
      <c r="N1273" s="903"/>
      <c r="O1273" s="17"/>
      <c r="AA1273" s="285" t="b">
        <f>AA1272</f>
        <v>0</v>
      </c>
    </row>
    <row r="1274" spans="2:27" ht="12.75" customHeight="1" x14ac:dyDescent="0.25">
      <c r="B1274" s="17"/>
      <c r="C1274" s="900"/>
      <c r="D1274" s="193" t="s">
        <v>220</v>
      </c>
      <c r="E1274" s="1528" t="str">
        <f>Translations!$B$778</f>
        <v>Waste gas produced</v>
      </c>
      <c r="F1274" s="1528"/>
      <c r="G1274" s="1528"/>
      <c r="H1274" s="154" t="str">
        <f>EUconst_TJpa</f>
        <v>TJ / year</v>
      </c>
      <c r="I1274" s="951" t="str">
        <f>IF(COUNT(I1272:I1273)=2,I1272*I1273/1000,"")</f>
        <v/>
      </c>
      <c r="J1274" s="951" t="str">
        <f>IF(COUNT(J1272:J1273)=2,J1272*J1273/1000,"")</f>
        <v/>
      </c>
      <c r="K1274" s="951" t="str">
        <f>IF(COUNT(K1272:K1273)=2,K1272*K1273/1000,"")</f>
        <v/>
      </c>
      <c r="L1274" s="951" t="str">
        <f>IF(COUNT(L1272:L1273)=2,L1272*L1273/1000,"")</f>
        <v/>
      </c>
      <c r="M1274" s="951" t="str">
        <f>IF(COUNT(M1272:M1273)=2,M1272*M1273/1000,"")</f>
        <v/>
      </c>
      <c r="N1274" s="903"/>
      <c r="O1274" s="17"/>
      <c r="P1274" s="63" t="str">
        <f>EUconst_CNTR_WGProduced &amp; I1153</f>
        <v>WasteGasProd_</v>
      </c>
      <c r="AA1274" s="815"/>
    </row>
    <row r="1275" spans="2:27" ht="12.75" customHeight="1" x14ac:dyDescent="0.25">
      <c r="B1275" s="17"/>
      <c r="C1275" s="900"/>
      <c r="D1275" s="193" t="s">
        <v>221</v>
      </c>
      <c r="E1275" s="1528" t="str">
        <f>Translations!$B$779</f>
        <v>Specific EF (produced waste gas)</v>
      </c>
      <c r="F1275" s="1528"/>
      <c r="G1275" s="1528"/>
      <c r="H1275" s="154" t="str">
        <f>EUconst_tCO2pTJ</f>
        <v>t CO2 / TJ</v>
      </c>
      <c r="I1275" s="311"/>
      <c r="J1275" s="311"/>
      <c r="K1275" s="311"/>
      <c r="L1275" s="311"/>
      <c r="M1275" s="311"/>
      <c r="N1275" s="266"/>
      <c r="O1275" s="17"/>
      <c r="P1275" s="63" t="str">
        <f>EUconst_CNTR_WGProducedEF &amp; I1153</f>
        <v>WasteGasProdEF_</v>
      </c>
      <c r="AA1275" s="285" t="b">
        <f>AA1273</f>
        <v>0</v>
      </c>
    </row>
    <row r="1276" spans="2:27" ht="12.75" customHeight="1" x14ac:dyDescent="0.25">
      <c r="B1276" s="17"/>
      <c r="C1276" s="900"/>
      <c r="D1276" s="342"/>
      <c r="E1276" s="342"/>
      <c r="F1276" s="342"/>
      <c r="G1276" s="342"/>
      <c r="H1276" s="342"/>
      <c r="I1276" s="342"/>
      <c r="J1276" s="342"/>
      <c r="K1276" s="342"/>
      <c r="L1276" s="342"/>
      <c r="M1276" s="342"/>
      <c r="N1276" s="266"/>
      <c r="O1276" s="17"/>
      <c r="AA1276" s="815"/>
    </row>
    <row r="1277" spans="2:27" ht="12.75" customHeight="1" x14ac:dyDescent="0.25">
      <c r="B1277" s="17"/>
      <c r="C1277" s="900"/>
      <c r="D1277" s="193" t="s">
        <v>222</v>
      </c>
      <c r="E1277" s="1529" t="str">
        <f>Translations!$B$780</f>
        <v>Types of waste gases consumed:</v>
      </c>
      <c r="F1277" s="1529"/>
      <c r="G1277" s="1529"/>
      <c r="H1277" s="1529"/>
      <c r="I1277" s="1530"/>
      <c r="J1277" s="1531"/>
      <c r="K1277" s="1531"/>
      <c r="L1277" s="1531"/>
      <c r="M1277" s="1532"/>
      <c r="N1277" s="763"/>
      <c r="O1277" s="17"/>
      <c r="AA1277" s="285" t="b">
        <f>AA1275</f>
        <v>0</v>
      </c>
    </row>
    <row r="1278" spans="2:27" ht="5.0999999999999996" customHeight="1" x14ac:dyDescent="0.25">
      <c r="B1278" s="17"/>
      <c r="C1278" s="900"/>
      <c r="D1278" s="193"/>
      <c r="E1278" s="1533"/>
      <c r="F1278" s="1512"/>
      <c r="G1278" s="1512"/>
      <c r="H1278" s="1512"/>
      <c r="I1278" s="1512"/>
      <c r="J1278" s="1512"/>
      <c r="K1278" s="1512"/>
      <c r="L1278" s="1512"/>
      <c r="M1278" s="1512"/>
      <c r="N1278" s="1513"/>
      <c r="O1278" s="17"/>
      <c r="AA1278" s="815"/>
    </row>
    <row r="1279" spans="2:27" ht="12.75" customHeight="1" x14ac:dyDescent="0.25">
      <c r="B1279" s="17"/>
      <c r="C1279" s="900"/>
      <c r="D1279" s="342"/>
      <c r="E1279" s="1522"/>
      <c r="F1279" s="1523"/>
      <c r="G1279" s="1523"/>
      <c r="H1279" s="152" t="str">
        <f>EUconst_Unit</f>
        <v>Unit</v>
      </c>
      <c r="I1279" s="153">
        <f>I$1882</f>
        <v>2019</v>
      </c>
      <c r="J1279" s="153">
        <f>J$1882</f>
        <v>2020</v>
      </c>
      <c r="K1279" s="153">
        <f>K$1882</f>
        <v>2021</v>
      </c>
      <c r="L1279" s="153">
        <f>L$1882</f>
        <v>2022</v>
      </c>
      <c r="M1279" s="153">
        <f>M$1882</f>
        <v>2023</v>
      </c>
      <c r="N1279" s="903"/>
      <c r="O1279" s="17"/>
      <c r="AA1279" s="815"/>
    </row>
    <row r="1280" spans="2:27" ht="12.75" customHeight="1" x14ac:dyDescent="0.25">
      <c r="B1280" s="17"/>
      <c r="C1280" s="900"/>
      <c r="D1280" s="193" t="s">
        <v>223</v>
      </c>
      <c r="E1280" s="1526" t="str">
        <f>Translations!$B$782</f>
        <v>Amounts consumed</v>
      </c>
      <c r="F1280" s="1526"/>
      <c r="G1280" s="1526"/>
      <c r="H1280" s="949" t="s">
        <v>427</v>
      </c>
      <c r="I1280" s="889"/>
      <c r="J1280" s="889"/>
      <c r="K1280" s="889"/>
      <c r="L1280" s="889"/>
      <c r="M1280" s="889"/>
      <c r="N1280" s="903"/>
      <c r="O1280" s="17"/>
      <c r="AA1280" s="285" t="b">
        <f>AA1277</f>
        <v>0</v>
      </c>
    </row>
    <row r="1281" spans="2:27" ht="12.75" customHeight="1" x14ac:dyDescent="0.25">
      <c r="B1281" s="17"/>
      <c r="C1281" s="900"/>
      <c r="D1281" s="193" t="s">
        <v>224</v>
      </c>
      <c r="E1281" s="1527" t="str">
        <f>Translations!$B$470</f>
        <v>Net calorific value</v>
      </c>
      <c r="F1281" s="1527"/>
      <c r="G1281" s="1527"/>
      <c r="H1281" s="950" t="str">
        <f>IF(ISBLANK(H1280),EUconst_GJperUnit,INDEX(EUconst_GJperTorKNm3,MATCH(H1280,EUconst_TonnesOrkNm3pa,0)))</f>
        <v>GJ/1000Nm3</v>
      </c>
      <c r="I1281" s="895"/>
      <c r="J1281" s="895"/>
      <c r="K1281" s="895"/>
      <c r="L1281" s="895"/>
      <c r="M1281" s="895"/>
      <c r="N1281" s="903"/>
      <c r="O1281" s="17"/>
      <c r="AA1281" s="285" t="b">
        <f>AA1280</f>
        <v>0</v>
      </c>
    </row>
    <row r="1282" spans="2:27" ht="12.75" customHeight="1" x14ac:dyDescent="0.25">
      <c r="B1282" s="17"/>
      <c r="C1282" s="900"/>
      <c r="D1282" s="193" t="s">
        <v>345</v>
      </c>
      <c r="E1282" s="1528" t="str">
        <f>Translations!$B$783</f>
        <v>Waste gas consumed</v>
      </c>
      <c r="F1282" s="1528"/>
      <c r="G1282" s="1528"/>
      <c r="H1282" s="154" t="str">
        <f>EUconst_TJpa</f>
        <v>TJ / year</v>
      </c>
      <c r="I1282" s="951" t="str">
        <f>IF(COUNT(I1280:I1281)=2,I1280*I1281/1000,"")</f>
        <v/>
      </c>
      <c r="J1282" s="951" t="str">
        <f>IF(COUNT(J1280:J1281)=2,J1280*J1281/1000,"")</f>
        <v/>
      </c>
      <c r="K1282" s="951" t="str">
        <f>IF(COUNT(K1280:K1281)=2,K1280*K1281/1000,"")</f>
        <v/>
      </c>
      <c r="L1282" s="951" t="str">
        <f>IF(COUNT(L1280:L1281)=2,L1280*L1281/1000,"")</f>
        <v/>
      </c>
      <c r="M1282" s="951" t="str">
        <f>IF(COUNT(M1280:M1281)=2,M1280*M1281/1000,"")</f>
        <v/>
      </c>
      <c r="N1282" s="903"/>
      <c r="O1282" s="17"/>
      <c r="P1282" s="63" t="str">
        <f>EUconst_CNTR_WGConsumed &amp; I1153</f>
        <v>WasteGasCons_</v>
      </c>
      <c r="AA1282" s="815"/>
    </row>
    <row r="1283" spans="2:27" ht="12.75" customHeight="1" x14ac:dyDescent="0.25">
      <c r="B1283" s="17"/>
      <c r="C1283" s="900"/>
      <c r="D1283" s="193" t="s">
        <v>346</v>
      </c>
      <c r="E1283" s="1528" t="str">
        <f>Translations!$B$784</f>
        <v>Specific EF (consumed waste gas)</v>
      </c>
      <c r="F1283" s="1528"/>
      <c r="G1283" s="1528"/>
      <c r="H1283" s="154" t="str">
        <f>EUconst_tCO2pTJ</f>
        <v>t CO2 / TJ</v>
      </c>
      <c r="I1283" s="311"/>
      <c r="J1283" s="311"/>
      <c r="K1283" s="311"/>
      <c r="L1283" s="311"/>
      <c r="M1283" s="311"/>
      <c r="N1283" s="266"/>
      <c r="O1283" s="17"/>
      <c r="P1283" s="63" t="str">
        <f>EUconst_CNTR_WGConsumedEF &amp; I1153</f>
        <v>WasteGasConsEF_</v>
      </c>
      <c r="AA1283" s="285" t="b">
        <f>AA1281</f>
        <v>0</v>
      </c>
    </row>
    <row r="1284" spans="2:27" ht="12.75" customHeight="1" x14ac:dyDescent="0.25">
      <c r="B1284" s="17"/>
      <c r="C1284" s="900"/>
      <c r="D1284" s="342"/>
      <c r="E1284" s="342"/>
      <c r="F1284" s="342"/>
      <c r="G1284" s="342"/>
      <c r="H1284" s="342"/>
      <c r="I1284" s="342"/>
      <c r="J1284" s="342"/>
      <c r="K1284" s="342"/>
      <c r="L1284" s="342"/>
      <c r="M1284" s="342"/>
      <c r="N1284" s="266"/>
      <c r="O1284" s="17"/>
      <c r="AA1284" s="815"/>
    </row>
    <row r="1285" spans="2:27" ht="12.75" customHeight="1" x14ac:dyDescent="0.25">
      <c r="B1285" s="17"/>
      <c r="C1285" s="900"/>
      <c r="D1285" s="193" t="s">
        <v>347</v>
      </c>
      <c r="E1285" s="1529" t="str">
        <f>Translations!$B$785</f>
        <v>Types of waste gases flared:</v>
      </c>
      <c r="F1285" s="1529"/>
      <c r="G1285" s="1529"/>
      <c r="H1285" s="1529"/>
      <c r="I1285" s="1530"/>
      <c r="J1285" s="1531"/>
      <c r="K1285" s="1531"/>
      <c r="L1285" s="1531"/>
      <c r="M1285" s="1532"/>
      <c r="N1285" s="763"/>
      <c r="O1285" s="17"/>
      <c r="AA1285" s="285" t="b">
        <f>AA1275</f>
        <v>0</v>
      </c>
    </row>
    <row r="1286" spans="2:27" ht="5.0999999999999996" customHeight="1" x14ac:dyDescent="0.25">
      <c r="B1286" s="17"/>
      <c r="C1286" s="900"/>
      <c r="D1286" s="193"/>
      <c r="E1286" s="1533"/>
      <c r="F1286" s="1512"/>
      <c r="G1286" s="1512"/>
      <c r="H1286" s="1512"/>
      <c r="I1286" s="1512"/>
      <c r="J1286" s="1512"/>
      <c r="K1286" s="1512"/>
      <c r="L1286" s="1512"/>
      <c r="M1286" s="1512"/>
      <c r="N1286" s="1513"/>
      <c r="O1286" s="17"/>
      <c r="AA1286" s="815"/>
    </row>
    <row r="1287" spans="2:27" ht="12.75" customHeight="1" x14ac:dyDescent="0.25">
      <c r="B1287" s="17"/>
      <c r="C1287" s="900"/>
      <c r="D1287" s="342"/>
      <c r="E1287" s="1522"/>
      <c r="F1287" s="1523"/>
      <c r="G1287" s="1523"/>
      <c r="H1287" s="152" t="str">
        <f>EUconst_Unit</f>
        <v>Unit</v>
      </c>
      <c r="I1287" s="153">
        <f>I$1882</f>
        <v>2019</v>
      </c>
      <c r="J1287" s="153">
        <f>J$1882</f>
        <v>2020</v>
      </c>
      <c r="K1287" s="153">
        <f>K$1882</f>
        <v>2021</v>
      </c>
      <c r="L1287" s="153">
        <f>L$1882</f>
        <v>2022</v>
      </c>
      <c r="M1287" s="153">
        <f>M$1882</f>
        <v>2023</v>
      </c>
      <c r="N1287" s="903"/>
      <c r="O1287" s="17"/>
      <c r="AA1287" s="815"/>
    </row>
    <row r="1288" spans="2:27" ht="12.75" customHeight="1" thickBot="1" x14ac:dyDescent="0.3">
      <c r="B1288" s="17"/>
      <c r="C1288" s="900"/>
      <c r="D1288" s="193" t="s">
        <v>355</v>
      </c>
      <c r="E1288" s="1526" t="str">
        <f>Translations!$B$789</f>
        <v>Amounts flared</v>
      </c>
      <c r="F1288" s="1526"/>
      <c r="G1288" s="1526"/>
      <c r="H1288" s="949" t="s">
        <v>427</v>
      </c>
      <c r="I1288" s="889"/>
      <c r="J1288" s="889"/>
      <c r="K1288" s="889"/>
      <c r="L1288" s="889"/>
      <c r="M1288" s="889"/>
      <c r="N1288" s="903"/>
      <c r="O1288" s="17"/>
      <c r="R1288" s="145" t="s">
        <v>428</v>
      </c>
      <c r="AA1288" s="285" t="b">
        <f>AA1285</f>
        <v>0</v>
      </c>
    </row>
    <row r="1289" spans="2:27" ht="12.75" customHeight="1" thickBot="1" x14ac:dyDescent="0.3">
      <c r="B1289" s="17"/>
      <c r="C1289" s="900"/>
      <c r="D1289" s="193" t="s">
        <v>356</v>
      </c>
      <c r="E1289" s="1527" t="str">
        <f>Translations!$B$470</f>
        <v>Net calorific value</v>
      </c>
      <c r="F1289" s="1527"/>
      <c r="G1289" s="1527"/>
      <c r="H1289" s="950" t="str">
        <f>IF(ISBLANK(H1288),EUconst_GJperUnit,INDEX(EUconst_GJperTorKNm3,MATCH(H1288,EUconst_TonnesOrkNm3pa,0)))</f>
        <v>GJ/1000Nm3</v>
      </c>
      <c r="I1289" s="895"/>
      <c r="J1289" s="895"/>
      <c r="K1289" s="895"/>
      <c r="L1289" s="895"/>
      <c r="M1289" s="895"/>
      <c r="N1289" s="903"/>
      <c r="O1289" s="17"/>
      <c r="R1289" s="283" t="s">
        <v>399</v>
      </c>
      <c r="S1289" s="280">
        <f>I1287</f>
        <v>2019</v>
      </c>
      <c r="T1289" s="281">
        <f>J1287</f>
        <v>2020</v>
      </c>
      <c r="U1289" s="281">
        <f>K1287</f>
        <v>2021</v>
      </c>
      <c r="V1289" s="281">
        <f>L1287</f>
        <v>2022</v>
      </c>
      <c r="W1289" s="282">
        <f>M1287</f>
        <v>2023</v>
      </c>
      <c r="AA1289" s="285" t="b">
        <f>AA1288</f>
        <v>0</v>
      </c>
    </row>
    <row r="1290" spans="2:27" ht="12.75" customHeight="1" thickBot="1" x14ac:dyDescent="0.3">
      <c r="B1290" s="17"/>
      <c r="C1290" s="900"/>
      <c r="D1290" s="193" t="s">
        <v>420</v>
      </c>
      <c r="E1290" s="1528" t="str">
        <f>Translations!$B$790</f>
        <v>Waste gas flared</v>
      </c>
      <c r="F1290" s="1528"/>
      <c r="G1290" s="1528"/>
      <c r="H1290" s="154" t="str">
        <f>EUconst_TJpa</f>
        <v>TJ / year</v>
      </c>
      <c r="I1290" s="951" t="str">
        <f>IF(COUNT(I1288:I1289)=2,I1288*I1289/1000,"")</f>
        <v/>
      </c>
      <c r="J1290" s="951" t="str">
        <f>IF(COUNT(J1288:J1289)=2,J1288*J1289/1000,"")</f>
        <v/>
      </c>
      <c r="K1290" s="951" t="str">
        <f>IF(COUNT(K1288:K1289)=2,K1288*K1289/1000,"")</f>
        <v/>
      </c>
      <c r="L1290" s="951" t="str">
        <f>IF(COUNT(L1288:L1289)=2,L1288*L1289/1000,"")</f>
        <v/>
      </c>
      <c r="M1290" s="951" t="str">
        <f>IF(COUNT(M1288:M1289)=2,M1288*M1289/1000,"")</f>
        <v/>
      </c>
      <c r="N1290" s="903"/>
      <c r="O1290" s="17"/>
      <c r="P1290" s="63" t="str">
        <f>EUconst_CNTR_WGFlared &amp; I1153</f>
        <v>WasteGasFlare_</v>
      </c>
      <c r="R1290" s="918" t="str">
        <f>IF(COUNT(S1290:W1290)&gt;0,AVERAGE(S1290:W1290),"")</f>
        <v/>
      </c>
      <c r="S1290" s="808" t="str">
        <f>IF(S1153,IF(ISNUMBER(I1290),I1290,0),"")</f>
        <v/>
      </c>
      <c r="T1290" s="809" t="str">
        <f>IF(T1153,IF(ISNUMBER(J1290),J1290,0),"")</f>
        <v/>
      </c>
      <c r="U1290" s="809" t="str">
        <f>IF(U1153,IF(ISNUMBER(K1290),K1290,0),"")</f>
        <v/>
      </c>
      <c r="V1290" s="809" t="str">
        <f>IF(V1153,IF(ISNUMBER(L1290),L1290,0),"")</f>
        <v/>
      </c>
      <c r="W1290" s="810" t="str">
        <f>IF(W1153,IF(ISNUMBER(M1290),M1290,0),"")</f>
        <v/>
      </c>
      <c r="AA1290" s="815"/>
    </row>
    <row r="1291" spans="2:27" ht="12.75" customHeight="1" thickBot="1" x14ac:dyDescent="0.3">
      <c r="B1291" s="17"/>
      <c r="C1291" s="900"/>
      <c r="D1291" s="193" t="s">
        <v>421</v>
      </c>
      <c r="E1291" s="1528" t="str">
        <f>Translations!$B$791</f>
        <v>Specific EF (flared waste gas)</v>
      </c>
      <c r="F1291" s="1528"/>
      <c r="G1291" s="1528"/>
      <c r="H1291" s="154" t="str">
        <f>EUconst_tCO2pTJ</f>
        <v>t CO2 / TJ</v>
      </c>
      <c r="I1291" s="311"/>
      <c r="J1291" s="311"/>
      <c r="K1291" s="311"/>
      <c r="L1291" s="311"/>
      <c r="M1291" s="311"/>
      <c r="N1291" s="266"/>
      <c r="O1291" s="17"/>
      <c r="P1291" s="63" t="str">
        <f>EUconst_CNTR_WGFlaredEF &amp; I1153</f>
        <v>WasteGasFlareEF_</v>
      </c>
      <c r="R1291" s="952" t="str">
        <f>IF(COUNT(S1291:W1291)&gt;0,AVERAGE(S1291:W1291),"")</f>
        <v/>
      </c>
      <c r="S1291" s="808" t="str">
        <f>IF(S1153,SUM(I1290)*SUM(I1291),"")</f>
        <v/>
      </c>
      <c r="T1291" s="809" t="str">
        <f>IF(T1153,SUM(J1290)*SUM(J1291),"")</f>
        <v/>
      </c>
      <c r="U1291" s="809" t="str">
        <f>IF(U1153,SUM(K1290)*SUM(K1291),"")</f>
        <v/>
      </c>
      <c r="V1291" s="809" t="str">
        <f>IF(V1153,SUM(L1290)*SUM(L1291),"")</f>
        <v/>
      </c>
      <c r="W1291" s="810" t="str">
        <f>IF(W1153,SUM(M1290)*SUM(M1291),"")</f>
        <v/>
      </c>
      <c r="AA1291" s="285" t="b">
        <f>AA1289</f>
        <v>0</v>
      </c>
    </row>
    <row r="1292" spans="2:27" ht="12.75" customHeight="1" x14ac:dyDescent="0.25">
      <c r="B1292" s="17"/>
      <c r="C1292" s="900"/>
      <c r="D1292" s="342"/>
      <c r="E1292" s="342"/>
      <c r="F1292" s="342"/>
      <c r="G1292" s="342"/>
      <c r="H1292" s="342"/>
      <c r="I1292" s="342"/>
      <c r="J1292" s="342"/>
      <c r="K1292" s="342"/>
      <c r="L1292" s="342"/>
      <c r="M1292" s="342"/>
      <c r="N1292" s="266"/>
      <c r="O1292" s="17"/>
      <c r="AA1292" s="815"/>
    </row>
    <row r="1293" spans="2:27" ht="12.75" customHeight="1" x14ac:dyDescent="0.25">
      <c r="B1293" s="17"/>
      <c r="C1293" s="900"/>
      <c r="D1293" s="193" t="s">
        <v>422</v>
      </c>
      <c r="E1293" s="1529" t="str">
        <f>Translations!$B$792</f>
        <v>Types of waste gases imported:</v>
      </c>
      <c r="F1293" s="1529"/>
      <c r="G1293" s="1529"/>
      <c r="H1293" s="1529"/>
      <c r="I1293" s="1530"/>
      <c r="J1293" s="1531"/>
      <c r="K1293" s="1531"/>
      <c r="L1293" s="1531"/>
      <c r="M1293" s="1532"/>
      <c r="N1293" s="266"/>
      <c r="O1293" s="17"/>
      <c r="AA1293" s="285" t="b">
        <f>AA1273</f>
        <v>0</v>
      </c>
    </row>
    <row r="1294" spans="2:27" ht="5.0999999999999996" customHeight="1" x14ac:dyDescent="0.25">
      <c r="B1294" s="17"/>
      <c r="C1294" s="900"/>
      <c r="D1294" s="193"/>
      <c r="E1294" s="1535"/>
      <c r="F1294" s="1511"/>
      <c r="G1294" s="1511"/>
      <c r="H1294" s="1511"/>
      <c r="I1294" s="1511"/>
      <c r="J1294" s="1511"/>
      <c r="K1294" s="1511"/>
      <c r="L1294" s="1511"/>
      <c r="M1294" s="1511"/>
      <c r="N1294" s="1536"/>
      <c r="O1294" s="17"/>
      <c r="AA1294" s="815"/>
    </row>
    <row r="1295" spans="2:27" ht="12.75" customHeight="1" x14ac:dyDescent="0.25">
      <c r="B1295" s="17"/>
      <c r="C1295" s="900"/>
      <c r="D1295" s="342"/>
      <c r="E1295" s="1522"/>
      <c r="F1295" s="1523"/>
      <c r="G1295" s="1523"/>
      <c r="H1295" s="152" t="str">
        <f>EUconst_Unit</f>
        <v>Unit</v>
      </c>
      <c r="I1295" s="153">
        <f>I$1882</f>
        <v>2019</v>
      </c>
      <c r="J1295" s="153">
        <f>J$1882</f>
        <v>2020</v>
      </c>
      <c r="K1295" s="153">
        <f>K$1882</f>
        <v>2021</v>
      </c>
      <c r="L1295" s="153">
        <f>L$1882</f>
        <v>2022</v>
      </c>
      <c r="M1295" s="153">
        <f>M$1882</f>
        <v>2023</v>
      </c>
      <c r="N1295" s="903"/>
      <c r="O1295" s="17"/>
      <c r="AA1295" s="815"/>
    </row>
    <row r="1296" spans="2:27" ht="12.75" customHeight="1" thickBot="1" x14ac:dyDescent="0.3">
      <c r="B1296" s="17"/>
      <c r="C1296" s="900"/>
      <c r="D1296" s="193" t="s">
        <v>423</v>
      </c>
      <c r="E1296" s="1526" t="str">
        <f>Translations!$B$795</f>
        <v>Amounts imported</v>
      </c>
      <c r="F1296" s="1526"/>
      <c r="G1296" s="1526"/>
      <c r="H1296" s="949" t="s">
        <v>427</v>
      </c>
      <c r="I1296" s="889"/>
      <c r="J1296" s="889"/>
      <c r="K1296" s="889"/>
      <c r="L1296" s="889"/>
      <c r="M1296" s="889"/>
      <c r="N1296" s="903"/>
      <c r="O1296" s="17"/>
      <c r="AA1296" s="285" t="b">
        <f>AA1293</f>
        <v>0</v>
      </c>
    </row>
    <row r="1297" spans="2:27" ht="12.75" customHeight="1" x14ac:dyDescent="0.25">
      <c r="B1297" s="17"/>
      <c r="C1297" s="900"/>
      <c r="D1297" s="193" t="s">
        <v>430</v>
      </c>
      <c r="E1297" s="1527" t="str">
        <f>Translations!$B$470</f>
        <v>Net calorific value</v>
      </c>
      <c r="F1297" s="1527"/>
      <c r="G1297" s="1527"/>
      <c r="H1297" s="950" t="str">
        <f>IF(ISBLANK(H1296),EUconst_GJperUnit,INDEX(EUconst_GJperTorKNm3,MATCH(H1296,EUconst_TonnesOrkNm3pa,0)))</f>
        <v>GJ/1000Nm3</v>
      </c>
      <c r="I1297" s="895"/>
      <c r="J1297" s="895"/>
      <c r="K1297" s="895"/>
      <c r="L1297" s="895"/>
      <c r="M1297" s="895"/>
      <c r="N1297" s="903"/>
      <c r="O1297" s="17"/>
      <c r="R1297" s="459"/>
      <c r="S1297" s="326">
        <f>I1295</f>
        <v>2019</v>
      </c>
      <c r="T1297" s="326">
        <f>J1295</f>
        <v>2020</v>
      </c>
      <c r="U1297" s="326">
        <f>K1295</f>
        <v>2021</v>
      </c>
      <c r="V1297" s="326">
        <f>L1295</f>
        <v>2022</v>
      </c>
      <c r="W1297" s="327">
        <f>M1295</f>
        <v>2023</v>
      </c>
      <c r="AA1297" s="285" t="b">
        <f>AA1296</f>
        <v>0</v>
      </c>
    </row>
    <row r="1298" spans="2:27" ht="12.75" customHeight="1" x14ac:dyDescent="0.25">
      <c r="B1298" s="17"/>
      <c r="C1298" s="900"/>
      <c r="D1298" s="193" t="s">
        <v>431</v>
      </c>
      <c r="E1298" s="1528" t="str">
        <f>Translations!$B$796</f>
        <v>Waste gas imported</v>
      </c>
      <c r="F1298" s="1528"/>
      <c r="G1298" s="1528"/>
      <c r="H1298" s="154" t="str">
        <f>EUconst_TJpa</f>
        <v>TJ / year</v>
      </c>
      <c r="I1298" s="163" t="str">
        <f>IF(COUNT(I1296:I1297)=2,I1296*I1297/1000,"")</f>
        <v/>
      </c>
      <c r="J1298" s="163" t="str">
        <f>IF(COUNT(J1296:J1297)=2,J1296*J1297/1000,"")</f>
        <v/>
      </c>
      <c r="K1298" s="163" t="str">
        <f>IF(COUNT(K1296:K1297)=2,K1296*K1297/1000,"")</f>
        <v/>
      </c>
      <c r="L1298" s="163" t="str">
        <f>IF(COUNT(L1296:L1297)=2,L1296*L1297/1000,"")</f>
        <v/>
      </c>
      <c r="M1298" s="163" t="str">
        <f>IF(COUNT(M1296:M1297)=2,M1296*M1297/1000,"")</f>
        <v/>
      </c>
      <c r="N1298" s="903"/>
      <c r="O1298" s="17"/>
      <c r="P1298" s="63" t="str">
        <f>EUconst_CNTR_WGImport &amp; I1153</f>
        <v>WasteGasIm_</v>
      </c>
      <c r="R1298" s="464" t="str">
        <f>EUconst_ERR_AttrEmBMapplied &amp; I1153</f>
        <v>ERR_AttrEmBM_</v>
      </c>
      <c r="S1298" s="63">
        <f>IF(AND(I1298&lt;&gt;"",EUconst_StatusOfDataCollection=FALSE),1,0)</f>
        <v>0</v>
      </c>
      <c r="T1298" s="63">
        <f>IF(AND(J1298&lt;&gt;"",EUconst_StatusOfDataCollection=FALSE),1,0)</f>
        <v>0</v>
      </c>
      <c r="U1298" s="63">
        <f>IF(AND(K1298&lt;&gt;"",EUconst_StatusOfDataCollection=FALSE),1,0)</f>
        <v>0</v>
      </c>
      <c r="V1298" s="63">
        <f>IF(AND(L1298&lt;&gt;"",EUconst_StatusOfDataCollection=FALSE),1,0)</f>
        <v>0</v>
      </c>
      <c r="W1298" s="803">
        <f>IF(AND(M1298&lt;&gt;"",EUconst_StatusOfDataCollection=FALSE),1,0)</f>
        <v>0</v>
      </c>
      <c r="AA1298" s="815"/>
    </row>
    <row r="1299" spans="2:27" ht="12.75" customHeight="1" thickBot="1" x14ac:dyDescent="0.3">
      <c r="B1299" s="17"/>
      <c r="C1299" s="900"/>
      <c r="D1299" s="193" t="s">
        <v>432</v>
      </c>
      <c r="E1299" s="1528" t="str">
        <f>Translations!$B$797</f>
        <v>Specific EF (imported waste gas)</v>
      </c>
      <c r="F1299" s="1528"/>
      <c r="G1299" s="1528"/>
      <c r="H1299" s="154" t="str">
        <f>EUconst_tCO2pTJ</f>
        <v>t CO2 / TJ</v>
      </c>
      <c r="I1299" s="311"/>
      <c r="J1299" s="311"/>
      <c r="K1299" s="311"/>
      <c r="L1299" s="311"/>
      <c r="M1299" s="311"/>
      <c r="N1299" s="266"/>
      <c r="O1299" s="17"/>
      <c r="P1299" s="63" t="str">
        <f>EUconst_CNTR_WGImportEF &amp; I1153</f>
        <v>WasteGasImEF_</v>
      </c>
      <c r="R1299" s="460" t="str">
        <f>EUconst_CNTR_AttributedEmissions &amp; I1153</f>
        <v>AttrEmissions_</v>
      </c>
      <c r="S1299" s="389" t="str">
        <f>IF(S1153,SUM(I1298)*EUconst_FuelBMvalue,"")</f>
        <v/>
      </c>
      <c r="T1299" s="389" t="str">
        <f>IF(T1153,SUM(J1298)*EUconst_FuelBMvalue,"")</f>
        <v/>
      </c>
      <c r="U1299" s="389" t="str">
        <f>IF(U1153,SUM(K1298)*EUconst_FuelBMvalue,"")</f>
        <v/>
      </c>
      <c r="V1299" s="389" t="str">
        <f>IF(V1153,SUM(L1298)*EUconst_FuelBMvalue,"")</f>
        <v/>
      </c>
      <c r="W1299" s="390" t="str">
        <f>IF(W1153,SUM(M1298)*EUconst_FuelBMvalue,"")</f>
        <v/>
      </c>
      <c r="AA1299" s="285" t="b">
        <f>AA1297</f>
        <v>0</v>
      </c>
    </row>
    <row r="1300" spans="2:27" ht="12.75" customHeight="1" x14ac:dyDescent="0.25">
      <c r="B1300" s="17"/>
      <c r="C1300" s="900"/>
      <c r="D1300" s="342"/>
      <c r="E1300" s="342"/>
      <c r="F1300" s="342"/>
      <c r="G1300" s="342"/>
      <c r="H1300" s="342"/>
      <c r="I1300" s="342"/>
      <c r="J1300" s="342"/>
      <c r="K1300" s="342"/>
      <c r="L1300" s="342"/>
      <c r="M1300" s="342"/>
      <c r="N1300" s="266"/>
      <c r="O1300" s="17"/>
      <c r="AA1300" s="815"/>
    </row>
    <row r="1301" spans="2:27" ht="12.75" customHeight="1" x14ac:dyDescent="0.25">
      <c r="B1301" s="17"/>
      <c r="C1301" s="900"/>
      <c r="D1301" s="193" t="s">
        <v>433</v>
      </c>
      <c r="E1301" s="1529" t="str">
        <f>Translations!$B$798</f>
        <v>Types of waste gases exported:</v>
      </c>
      <c r="F1301" s="1529"/>
      <c r="G1301" s="1529"/>
      <c r="H1301" s="1529"/>
      <c r="I1301" s="1530"/>
      <c r="J1301" s="1531"/>
      <c r="K1301" s="1531"/>
      <c r="L1301" s="1531"/>
      <c r="M1301" s="1532"/>
      <c r="N1301" s="763"/>
      <c r="O1301" s="17"/>
      <c r="AA1301" s="285" t="b">
        <f>AA1296</f>
        <v>0</v>
      </c>
    </row>
    <row r="1302" spans="2:27" ht="5.0999999999999996" customHeight="1" x14ac:dyDescent="0.25">
      <c r="B1302" s="17"/>
      <c r="C1302" s="900"/>
      <c r="D1302" s="193"/>
      <c r="E1302" s="1533"/>
      <c r="F1302" s="1512"/>
      <c r="G1302" s="1512"/>
      <c r="H1302" s="1512"/>
      <c r="I1302" s="1512"/>
      <c r="J1302" s="1512"/>
      <c r="K1302" s="1512"/>
      <c r="L1302" s="1512"/>
      <c r="M1302" s="1512"/>
      <c r="N1302" s="1513"/>
      <c r="O1302" s="17"/>
      <c r="AA1302" s="815"/>
    </row>
    <row r="1303" spans="2:27" ht="12.75" customHeight="1" x14ac:dyDescent="0.25">
      <c r="B1303" s="17"/>
      <c r="C1303" s="900"/>
      <c r="D1303" s="342"/>
      <c r="E1303" s="1522"/>
      <c r="F1303" s="1523"/>
      <c r="G1303" s="1523"/>
      <c r="H1303" s="152" t="str">
        <f>EUconst_Unit</f>
        <v>Unit</v>
      </c>
      <c r="I1303" s="153">
        <f>I$1882</f>
        <v>2019</v>
      </c>
      <c r="J1303" s="153">
        <f>J$1882</f>
        <v>2020</v>
      </c>
      <c r="K1303" s="153">
        <f>K$1882</f>
        <v>2021</v>
      </c>
      <c r="L1303" s="153">
        <f>L$1882</f>
        <v>2022</v>
      </c>
      <c r="M1303" s="153">
        <f>M$1882</f>
        <v>2023</v>
      </c>
      <c r="N1303" s="903"/>
      <c r="O1303" s="17"/>
      <c r="AA1303" s="815"/>
    </row>
    <row r="1304" spans="2:27" ht="12.75" customHeight="1" x14ac:dyDescent="0.25">
      <c r="B1304" s="17"/>
      <c r="C1304" s="900"/>
      <c r="D1304" s="193" t="s">
        <v>434</v>
      </c>
      <c r="E1304" s="1526" t="str">
        <f>Translations!$B$800</f>
        <v>Amounts exported</v>
      </c>
      <c r="F1304" s="1526"/>
      <c r="G1304" s="1526"/>
      <c r="H1304" s="949" t="s">
        <v>427</v>
      </c>
      <c r="I1304" s="889"/>
      <c r="J1304" s="889"/>
      <c r="K1304" s="889"/>
      <c r="L1304" s="889"/>
      <c r="M1304" s="889"/>
      <c r="N1304" s="903"/>
      <c r="O1304" s="17"/>
      <c r="AA1304" s="285" t="b">
        <f>AA1301</f>
        <v>0</v>
      </c>
    </row>
    <row r="1305" spans="2:27" ht="12.75" customHeight="1" thickBot="1" x14ac:dyDescent="0.3">
      <c r="B1305" s="17"/>
      <c r="C1305" s="900"/>
      <c r="D1305" s="193" t="s">
        <v>435</v>
      </c>
      <c r="E1305" s="1527" t="str">
        <f>Translations!$B$470</f>
        <v>Net calorific value</v>
      </c>
      <c r="F1305" s="1527"/>
      <c r="G1305" s="1527"/>
      <c r="H1305" s="950" t="str">
        <f>IF(ISBLANK(H1304),EUconst_GJperUnit,INDEX(EUconst_GJperTorKNm3,MATCH(H1304,EUconst_TonnesOrkNm3pa,0)))</f>
        <v>GJ/1000Nm3</v>
      </c>
      <c r="I1305" s="895"/>
      <c r="J1305" s="895"/>
      <c r="K1305" s="895"/>
      <c r="L1305" s="895"/>
      <c r="M1305" s="895"/>
      <c r="N1305" s="903"/>
      <c r="O1305" s="17"/>
      <c r="AA1305" s="285" t="b">
        <f>AA1304</f>
        <v>0</v>
      </c>
    </row>
    <row r="1306" spans="2:27" ht="12.75" customHeight="1" x14ac:dyDescent="0.25">
      <c r="B1306" s="17"/>
      <c r="C1306" s="900"/>
      <c r="D1306" s="193" t="s">
        <v>436</v>
      </c>
      <c r="E1306" s="1528" t="str">
        <f>Translations!$B$801</f>
        <v>Waste gas exported</v>
      </c>
      <c r="F1306" s="1528"/>
      <c r="G1306" s="1528"/>
      <c r="H1306" s="154" t="str">
        <f>EUconst_TJpa</f>
        <v>TJ / year</v>
      </c>
      <c r="I1306" s="163" t="str">
        <f>IF(COUNT(I1304:I1305)=2,I1304*I1305/1000,"")</f>
        <v/>
      </c>
      <c r="J1306" s="163" t="str">
        <f>IF(COUNT(J1304:J1305)=2,J1304*J1305/1000,"")</f>
        <v/>
      </c>
      <c r="K1306" s="163" t="str">
        <f>IF(COUNT(K1304:K1305)=2,K1304*K1305/1000,"")</f>
        <v/>
      </c>
      <c r="L1306" s="163" t="str">
        <f>IF(COUNT(L1304:L1305)=2,L1304*L1305/1000,"")</f>
        <v/>
      </c>
      <c r="M1306" s="163" t="str">
        <f>IF(COUNT(M1304:M1305)=2,M1304*M1305/1000,"")</f>
        <v/>
      </c>
      <c r="N1306" s="277"/>
      <c r="O1306" s="17"/>
      <c r="P1306" s="63" t="str">
        <f>EUconst_CNTR_WGExport &amp; I1153</f>
        <v>WasteGasEx_</v>
      </c>
      <c r="R1306" s="459"/>
      <c r="S1306" s="326">
        <f>I1303</f>
        <v>2019</v>
      </c>
      <c r="T1306" s="326">
        <f>J1303</f>
        <v>2020</v>
      </c>
      <c r="U1306" s="326">
        <f>K1303</f>
        <v>2021</v>
      </c>
      <c r="V1306" s="326">
        <f>L1303</f>
        <v>2022</v>
      </c>
      <c r="W1306" s="327">
        <f>M1303</f>
        <v>2023</v>
      </c>
      <c r="AA1306" s="815"/>
    </row>
    <row r="1307" spans="2:27" ht="12.75" customHeight="1" thickBot="1" x14ac:dyDescent="0.3">
      <c r="B1307" s="17"/>
      <c r="C1307" s="900"/>
      <c r="D1307" s="193" t="s">
        <v>437</v>
      </c>
      <c r="E1307" s="1528" t="str">
        <f>Translations!$B$802</f>
        <v>Specific EF (exported waste gas)</v>
      </c>
      <c r="F1307" s="1528"/>
      <c r="G1307" s="1528"/>
      <c r="H1307" s="154" t="str">
        <f>EUconst_tCO2pTJ</f>
        <v>t CO2 / TJ</v>
      </c>
      <c r="I1307" s="311"/>
      <c r="J1307" s="311"/>
      <c r="K1307" s="311"/>
      <c r="L1307" s="311"/>
      <c r="M1307" s="311"/>
      <c r="N1307" s="266"/>
      <c r="O1307" s="17"/>
      <c r="P1307" s="63" t="str">
        <f>EUconst_CNTR_WGExportEF &amp; I1153</f>
        <v>WasteGasExEF_</v>
      </c>
      <c r="R1307" s="460" t="str">
        <f>EUconst_CNTR_AttributedEmissions &amp; I1153</f>
        <v>AttrEmissions_</v>
      </c>
      <c r="S1307" s="389" t="str">
        <f>IF(S1153,-SUM(I1306)*EUconst_NGEFvalue*EUconst_WasteGasCorrFactor,"")</f>
        <v/>
      </c>
      <c r="T1307" s="389" t="str">
        <f>IF(T1153,-SUM(J1306)*EUconst_NGEFvalue*EUconst_WasteGasCorrFactor,"")</f>
        <v/>
      </c>
      <c r="U1307" s="389" t="str">
        <f>IF(U1153,-SUM(K1306)*EUconst_NGEFvalue*EUconst_WasteGasCorrFactor,"")</f>
        <v/>
      </c>
      <c r="V1307" s="389" t="str">
        <f>IF(V1153,-SUM(L1306)*EUconst_NGEFvalue*EUconst_WasteGasCorrFactor,"")</f>
        <v/>
      </c>
      <c r="W1307" s="390" t="str">
        <f>IF(W1153,-SUM(M1306)*EUconst_NGEFvalue*EUconst_WasteGasCorrFactor,"")</f>
        <v/>
      </c>
      <c r="AA1307" s="286" t="b">
        <f>AA1305</f>
        <v>0</v>
      </c>
    </row>
    <row r="1308" spans="2:27" ht="12.75" customHeight="1" x14ac:dyDescent="0.25">
      <c r="B1308" s="17"/>
      <c r="C1308" s="900"/>
      <c r="D1308" s="342"/>
      <c r="E1308" s="342"/>
      <c r="F1308" s="342"/>
      <c r="G1308" s="342"/>
      <c r="H1308" s="342"/>
      <c r="I1308" s="342"/>
      <c r="J1308" s="342"/>
      <c r="K1308" s="342"/>
      <c r="L1308" s="342"/>
      <c r="M1308" s="342"/>
      <c r="N1308" s="266"/>
      <c r="O1308" s="17"/>
    </row>
    <row r="1309" spans="2:27" ht="12.75" customHeight="1" thickBot="1" x14ac:dyDescent="0.3">
      <c r="B1309" s="17"/>
      <c r="C1309" s="900"/>
      <c r="D1309" s="157" t="s">
        <v>359</v>
      </c>
      <c r="E1309" s="1511" t="str">
        <f>Translations!$B$420</f>
        <v>Electricity production</v>
      </c>
      <c r="F1309" s="1512"/>
      <c r="G1309" s="1512"/>
      <c r="H1309" s="1512"/>
      <c r="I1309" s="1512"/>
      <c r="J1309" s="1512"/>
      <c r="K1309" s="1512"/>
      <c r="L1309" s="1512"/>
      <c r="M1309" s="1512"/>
      <c r="N1309" s="1513"/>
      <c r="O1309" s="17"/>
    </row>
    <row r="1310" spans="2:27" ht="12.75" customHeight="1" x14ac:dyDescent="0.25">
      <c r="B1310" s="17"/>
      <c r="C1310" s="900"/>
      <c r="D1310" s="157"/>
      <c r="E1310" s="1522"/>
      <c r="F1310" s="1523"/>
      <c r="G1310" s="1523"/>
      <c r="H1310" s="152" t="str">
        <f>EUconst_Unit</f>
        <v>Unit</v>
      </c>
      <c r="I1310" s="153">
        <f>I$1882</f>
        <v>2019</v>
      </c>
      <c r="J1310" s="153">
        <f>J$1882</f>
        <v>2020</v>
      </c>
      <c r="K1310" s="153">
        <f>K$1882</f>
        <v>2021</v>
      </c>
      <c r="L1310" s="153">
        <f>L$1882</f>
        <v>2022</v>
      </c>
      <c r="M1310" s="153">
        <f>M$1882</f>
        <v>2023</v>
      </c>
      <c r="N1310" s="266"/>
      <c r="O1310" s="17"/>
      <c r="R1310" s="459"/>
      <c r="S1310" s="326">
        <f>I1310</f>
        <v>2019</v>
      </c>
      <c r="T1310" s="326">
        <f>J1310</f>
        <v>2020</v>
      </c>
      <c r="U1310" s="326">
        <f>K1310</f>
        <v>2021</v>
      </c>
      <c r="V1310" s="326">
        <f>L1310</f>
        <v>2022</v>
      </c>
      <c r="W1310" s="327">
        <f>M1310</f>
        <v>2023</v>
      </c>
    </row>
    <row r="1311" spans="2:27" ht="12.75" customHeight="1" thickBot="1" x14ac:dyDescent="0.3">
      <c r="B1311" s="17"/>
      <c r="C1311" s="900"/>
      <c r="D1311" s="193"/>
      <c r="E1311" s="1528" t="str">
        <f>Translations!$B$805</f>
        <v>Electricity produced</v>
      </c>
      <c r="F1311" s="1528"/>
      <c r="G1311" s="1528"/>
      <c r="H1311" s="154" t="str">
        <f>EUconst_MWhpa</f>
        <v>MWh / year</v>
      </c>
      <c r="I1311" s="311"/>
      <c r="J1311" s="311"/>
      <c r="K1311" s="311"/>
      <c r="L1311" s="311"/>
      <c r="M1311" s="311"/>
      <c r="N1311" s="903"/>
      <c r="O1311" s="17"/>
      <c r="P1311" s="63" t="str">
        <f>EUconst_CNTR_ElectricityExported &amp; I1153</f>
        <v>ElecEx_</v>
      </c>
      <c r="R1311" s="460" t="str">
        <f>EUconst_CNTR_AttributedEmissions &amp; I1153</f>
        <v>AttrEmissions_</v>
      </c>
      <c r="S1311" s="389" t="str">
        <f>IF(S1153,-SUM(I1311)*EUconst_ElBM,"")</f>
        <v/>
      </c>
      <c r="T1311" s="389" t="str">
        <f>IF(T1153,-SUM(J1311)*EUconst_ElBM,"")</f>
        <v/>
      </c>
      <c r="U1311" s="389" t="str">
        <f>IF(U1153,-SUM(K1311)*EUconst_ElBM,"")</f>
        <v/>
      </c>
      <c r="V1311" s="389" t="str">
        <f>IF(V1153,-SUM(L1311)*EUconst_ElBM,"")</f>
        <v/>
      </c>
      <c r="W1311" s="390" t="str">
        <f>IF(W1153,-SUM(M1311)*EUconst_ElBM,"")</f>
        <v/>
      </c>
    </row>
    <row r="1312" spans="2:27" ht="12.75" customHeight="1" x14ac:dyDescent="0.25">
      <c r="B1312" s="17"/>
      <c r="C1312" s="900"/>
      <c r="D1312" s="342"/>
      <c r="E1312" s="342"/>
      <c r="F1312" s="342"/>
      <c r="G1312" s="342"/>
      <c r="H1312" s="342"/>
      <c r="I1312" s="342"/>
      <c r="J1312" s="342"/>
      <c r="K1312" s="342"/>
      <c r="L1312" s="342"/>
      <c r="M1312" s="342"/>
      <c r="N1312" s="266"/>
      <c r="O1312" s="17"/>
    </row>
    <row r="1313" spans="2:27" ht="12.75" customHeight="1" thickBot="1" x14ac:dyDescent="0.3">
      <c r="B1313" s="17"/>
      <c r="C1313" s="900"/>
      <c r="D1313" s="157" t="s">
        <v>361</v>
      </c>
      <c r="E1313" s="1529" t="str">
        <f>Translations!$B$806</f>
        <v>Total amount of pulp produced</v>
      </c>
      <c r="F1313" s="1529"/>
      <c r="G1313" s="1529"/>
      <c r="H1313" s="1529"/>
      <c r="I1313" s="1529"/>
      <c r="J1313" s="1529"/>
      <c r="K1313" s="1529"/>
      <c r="L1313" s="1529"/>
      <c r="M1313" s="1529"/>
      <c r="N1313" s="1534"/>
      <c r="O1313" s="17"/>
    </row>
    <row r="1314" spans="2:27" ht="12.75" customHeight="1" thickBot="1" x14ac:dyDescent="0.3">
      <c r="B1314" s="17"/>
      <c r="C1314" s="900"/>
      <c r="D1314" s="193"/>
      <c r="E1314" s="1510" t="str">
        <f>IF(I1153="","",IF(INDEX(EUconst_BMlistPulp,MATCH(I1153,EUconst_BMlistNames,0)),I1153,""))</f>
        <v/>
      </c>
      <c r="F1314" s="1510"/>
      <c r="G1314" s="1510"/>
      <c r="H1314" s="154" t="str">
        <f>EUconst_Tons</f>
        <v>tonnes</v>
      </c>
      <c r="I1314" s="311"/>
      <c r="J1314" s="311"/>
      <c r="K1314" s="311"/>
      <c r="L1314" s="311"/>
      <c r="M1314" s="311"/>
      <c r="N1314" s="903"/>
      <c r="O1314" s="17"/>
      <c r="P1314" s="63" t="str">
        <f>EUconst_CNTR_HALPulpTotal &amp; I1153</f>
        <v>HALPulpTotal_</v>
      </c>
      <c r="AA1314" s="410" t="b">
        <f>IF(I1153&lt;&gt;"",IF(INDEX(EUconst_BMlistPulp,MATCH(I1153,EUconst_BMlistNames,0))=TRUE,FALSE,TRUE),FALSE)</f>
        <v>0</v>
      </c>
    </row>
    <row r="1315" spans="2:27" ht="12.75" customHeight="1" x14ac:dyDescent="0.25">
      <c r="B1315" s="17"/>
      <c r="C1315" s="900"/>
      <c r="D1315" s="193"/>
      <c r="E1315" s="193"/>
      <c r="F1315" s="193"/>
      <c r="G1315" s="193"/>
      <c r="H1315" s="193"/>
      <c r="I1315" s="193"/>
      <c r="J1315" s="193"/>
      <c r="K1315" s="193"/>
      <c r="L1315" s="193"/>
      <c r="M1315" s="193"/>
      <c r="N1315" s="903"/>
      <c r="O1315" s="17"/>
    </row>
    <row r="1316" spans="2:27" ht="12.75" customHeight="1" thickBot="1" x14ac:dyDescent="0.3">
      <c r="B1316" s="17"/>
      <c r="C1316" s="900"/>
      <c r="D1316" s="157" t="s">
        <v>362</v>
      </c>
      <c r="E1316" s="1511" t="str">
        <f>Translations!$B$810</f>
        <v>Import or export of intermediate products covered by product benchmarks</v>
      </c>
      <c r="F1316" s="1512"/>
      <c r="G1316" s="1512"/>
      <c r="H1316" s="1512"/>
      <c r="I1316" s="1512"/>
      <c r="J1316" s="1512"/>
      <c r="K1316" s="1512"/>
      <c r="L1316" s="1512"/>
      <c r="M1316" s="1512"/>
      <c r="N1316" s="1513"/>
      <c r="O1316" s="17"/>
    </row>
    <row r="1317" spans="2:27" ht="12.75" customHeight="1" thickBot="1" x14ac:dyDescent="0.3">
      <c r="B1317" s="17"/>
      <c r="C1317" s="900"/>
      <c r="D1317" s="193" t="s">
        <v>206</v>
      </c>
      <c r="E1317" s="1514" t="str">
        <f>Translations!$B$813</f>
        <v>Is there any import or export of intermediate products covered by product benchmarks?</v>
      </c>
      <c r="F1317" s="1514"/>
      <c r="G1317" s="1514"/>
      <c r="H1317" s="1514"/>
      <c r="I1317" s="1514"/>
      <c r="J1317" s="1514"/>
      <c r="K1317" s="1515"/>
      <c r="L1317" s="194"/>
      <c r="M1317" s="342"/>
      <c r="N1317" s="277"/>
      <c r="O1317" s="17"/>
      <c r="W1317" s="288" t="s">
        <v>418</v>
      </c>
      <c r="X1317" s="215" t="b">
        <f>IF(AND(I1153&lt;&gt;"",ISBLANK(L1317)),EUconst_Error&amp;"BM"&amp;C1153,FALSE)</f>
        <v>0</v>
      </c>
    </row>
    <row r="1318" spans="2:27" ht="5.0999999999999996" customHeight="1" x14ac:dyDescent="0.25">
      <c r="B1318" s="17"/>
      <c r="C1318" s="900"/>
      <c r="D1318" s="193"/>
      <c r="E1318" s="193"/>
      <c r="F1318" s="193"/>
      <c r="G1318" s="193"/>
      <c r="H1318" s="193"/>
      <c r="I1318" s="193"/>
      <c r="J1318" s="193"/>
      <c r="K1318" s="193"/>
      <c r="L1318" s="193"/>
      <c r="M1318" s="193"/>
      <c r="N1318" s="903"/>
      <c r="O1318" s="17"/>
    </row>
    <row r="1319" spans="2:27" ht="12.75" customHeight="1" thickBot="1" x14ac:dyDescent="0.3">
      <c r="B1319" s="17"/>
      <c r="C1319" s="900"/>
      <c r="D1319" s="157"/>
      <c r="E1319" s="1522" t="str">
        <f>Translations!$B$814</f>
        <v>Imported amounts:</v>
      </c>
      <c r="F1319" s="1523"/>
      <c r="G1319" s="1523"/>
      <c r="H1319" s="192" t="str">
        <f>EUconst_Unit</f>
        <v>Unit</v>
      </c>
      <c r="I1319" s="153">
        <f>I$1882</f>
        <v>2019</v>
      </c>
      <c r="J1319" s="153">
        <f>J$1882</f>
        <v>2020</v>
      </c>
      <c r="K1319" s="153">
        <f>K$1882</f>
        <v>2021</v>
      </c>
      <c r="L1319" s="153">
        <f>L$1882</f>
        <v>2022</v>
      </c>
      <c r="M1319" s="153">
        <f>M$1882</f>
        <v>2023</v>
      </c>
      <c r="N1319" s="903"/>
      <c r="O1319" s="17"/>
      <c r="AA1319" s="145" t="s">
        <v>396</v>
      </c>
    </row>
    <row r="1320" spans="2:27" ht="12.75" customHeight="1" x14ac:dyDescent="0.25">
      <c r="B1320" s="17"/>
      <c r="C1320" s="900"/>
      <c r="D1320" s="193" t="s">
        <v>208</v>
      </c>
      <c r="E1320" s="1524"/>
      <c r="F1320" s="1524"/>
      <c r="G1320" s="1524"/>
      <c r="H1320" s="853" t="str">
        <f>IF(E1320&lt;&gt;"",INDEX(EUconst_BMlistUnits,MATCH(E1320,EUconst_BMlistNames,0)),EUconst_Tons)</f>
        <v>tonnes</v>
      </c>
      <c r="I1320" s="953"/>
      <c r="J1320" s="953"/>
      <c r="K1320" s="953"/>
      <c r="L1320" s="953"/>
      <c r="M1320" s="953"/>
      <c r="N1320" s="903"/>
      <c r="O1320" s="17"/>
      <c r="P1320" s="63" t="str">
        <f>EUconst_CNTR_IntermediateImport &amp; R1320 &amp; "_" &amp; I1153</f>
        <v>IntImp_1_</v>
      </c>
      <c r="R1320" s="63">
        <v>1</v>
      </c>
      <c r="AA1320" s="316" t="b">
        <f>AND(NOT(ISBLANK(L1317)),L1317=FALSE)</f>
        <v>0</v>
      </c>
    </row>
    <row r="1321" spans="2:27" ht="12.75" customHeight="1" x14ac:dyDescent="0.25">
      <c r="B1321" s="17"/>
      <c r="C1321" s="900"/>
      <c r="D1321" s="193" t="s">
        <v>209</v>
      </c>
      <c r="E1321" s="1525"/>
      <c r="F1321" s="1525"/>
      <c r="G1321" s="1525"/>
      <c r="H1321" s="950" t="str">
        <f>IF(E1321&lt;&gt;"",INDEX(EUconst_BMlistUnits,MATCH(E1321,EUconst_BMlistNames,0)),EUconst_Tons)</f>
        <v>tonnes</v>
      </c>
      <c r="I1321" s="954"/>
      <c r="J1321" s="954"/>
      <c r="K1321" s="954"/>
      <c r="L1321" s="954"/>
      <c r="M1321" s="954"/>
      <c r="N1321" s="903"/>
      <c r="O1321" s="17"/>
      <c r="P1321" s="63" t="str">
        <f>EUconst_CNTR_IntermediateImport &amp; R1321 &amp; "_" &amp; I1153</f>
        <v>IntImp_2_</v>
      </c>
      <c r="R1321" s="63">
        <v>2</v>
      </c>
      <c r="AA1321" s="285" t="b">
        <f>AA1320</f>
        <v>0</v>
      </c>
    </row>
    <row r="1322" spans="2:27" ht="5.0999999999999996" customHeight="1" x14ac:dyDescent="0.25">
      <c r="B1322" s="17"/>
      <c r="C1322" s="900"/>
      <c r="D1322" s="193"/>
      <c r="E1322" s="193"/>
      <c r="F1322" s="193"/>
      <c r="G1322" s="193"/>
      <c r="H1322" s="193"/>
      <c r="I1322" s="193"/>
      <c r="J1322" s="193"/>
      <c r="K1322" s="193"/>
      <c r="L1322" s="193"/>
      <c r="M1322" s="193"/>
      <c r="N1322" s="903"/>
      <c r="O1322" s="17"/>
      <c r="AA1322" s="815"/>
    </row>
    <row r="1323" spans="2:27" ht="12.75" customHeight="1" x14ac:dyDescent="0.25">
      <c r="B1323" s="17"/>
      <c r="C1323" s="900"/>
      <c r="D1323" s="157"/>
      <c r="E1323" s="1522" t="str">
        <f>Translations!$B$815</f>
        <v>Exported amounts:</v>
      </c>
      <c r="F1323" s="1523"/>
      <c r="G1323" s="1523"/>
      <c r="H1323" s="192" t="str">
        <f>EUconst_Unit</f>
        <v>Unit</v>
      </c>
      <c r="I1323" s="153">
        <f>I$1882</f>
        <v>2019</v>
      </c>
      <c r="J1323" s="153">
        <f>J$1882</f>
        <v>2020</v>
      </c>
      <c r="K1323" s="153">
        <f>K$1882</f>
        <v>2021</v>
      </c>
      <c r="L1323" s="153">
        <f>L$1882</f>
        <v>2022</v>
      </c>
      <c r="M1323" s="153">
        <f>M$1882</f>
        <v>2023</v>
      </c>
      <c r="N1323" s="903"/>
      <c r="O1323" s="17"/>
      <c r="AA1323" s="815"/>
    </row>
    <row r="1324" spans="2:27" ht="12.75" customHeight="1" x14ac:dyDescent="0.25">
      <c r="B1324" s="17"/>
      <c r="C1324" s="900"/>
      <c r="D1324" s="193" t="s">
        <v>210</v>
      </c>
      <c r="E1324" s="1524"/>
      <c r="F1324" s="1524"/>
      <c r="G1324" s="1524"/>
      <c r="H1324" s="853" t="str">
        <f>IF(E1324&lt;&gt;"",INDEX(EUconst_BMlistUnits,MATCH(E1324,EUconst_BMlistNames,0)),EUconst_Tons)</f>
        <v>tonnes</v>
      </c>
      <c r="I1324" s="953"/>
      <c r="J1324" s="953"/>
      <c r="K1324" s="953"/>
      <c r="L1324" s="953"/>
      <c r="M1324" s="953"/>
      <c r="N1324" s="903"/>
      <c r="O1324" s="17"/>
      <c r="P1324" s="63" t="str">
        <f>EUconst_CNTR_IntermediateExport &amp; R1320 &amp; "_" &amp; I1153</f>
        <v>IntExp_1_</v>
      </c>
      <c r="R1324" s="63">
        <v>1</v>
      </c>
      <c r="U1324" s="955"/>
      <c r="V1324" s="955"/>
      <c r="AA1324" s="285" t="b">
        <f>AA1320</f>
        <v>0</v>
      </c>
    </row>
    <row r="1325" spans="2:27" ht="12.75" customHeight="1" x14ac:dyDescent="0.25">
      <c r="B1325" s="17"/>
      <c r="C1325" s="900"/>
      <c r="D1325" s="193" t="s">
        <v>220</v>
      </c>
      <c r="E1325" s="1525"/>
      <c r="F1325" s="1525"/>
      <c r="G1325" s="1525"/>
      <c r="H1325" s="950" t="str">
        <f>IF(E1325&lt;&gt;"",INDEX(EUconst_BMlistUnits,MATCH(E1325,EUconst_BMlistNames,0)),EUconst_Tons)</f>
        <v>tonnes</v>
      </c>
      <c r="I1325" s="954"/>
      <c r="J1325" s="954"/>
      <c r="K1325" s="954"/>
      <c r="L1325" s="954"/>
      <c r="M1325" s="954"/>
      <c r="N1325" s="903"/>
      <c r="O1325" s="17"/>
      <c r="P1325" s="63" t="str">
        <f>EUconst_CNTR_IntermediateExport &amp; R1325 &amp; "_" &amp; I1153</f>
        <v>IntExp_2_</v>
      </c>
      <c r="R1325" s="63">
        <v>2</v>
      </c>
      <c r="U1325" s="955"/>
      <c r="V1325" s="955"/>
      <c r="AA1325" s="285" t="b">
        <f>AA1320</f>
        <v>0</v>
      </c>
    </row>
    <row r="1326" spans="2:27" ht="5.0999999999999996" customHeight="1" x14ac:dyDescent="0.25">
      <c r="B1326" s="17"/>
      <c r="C1326" s="900"/>
      <c r="D1326" s="193"/>
      <c r="E1326" s="193"/>
      <c r="F1326" s="193"/>
      <c r="G1326" s="193"/>
      <c r="H1326" s="193"/>
      <c r="I1326" s="193"/>
      <c r="J1326" s="193"/>
      <c r="K1326" s="193"/>
      <c r="L1326" s="193"/>
      <c r="M1326" s="193"/>
      <c r="N1326" s="903"/>
      <c r="O1326" s="17"/>
      <c r="U1326" s="955"/>
      <c r="V1326" s="955"/>
      <c r="AA1326" s="815"/>
    </row>
    <row r="1327" spans="2:27" ht="12.75" customHeight="1" x14ac:dyDescent="0.25">
      <c r="B1327" s="17"/>
      <c r="C1327" s="900"/>
      <c r="D1327" s="193" t="s">
        <v>221</v>
      </c>
      <c r="E1327" s="1514" t="str">
        <f>Translations!$B$816</f>
        <v>Description of the intermediate products imported or exported</v>
      </c>
      <c r="F1327" s="1514"/>
      <c r="G1327" s="1514"/>
      <c r="H1327" s="1514"/>
      <c r="I1327" s="1514"/>
      <c r="J1327" s="1514"/>
      <c r="K1327" s="1514"/>
      <c r="L1327" s="1514"/>
      <c r="M1327" s="1514"/>
      <c r="N1327" s="903"/>
      <c r="O1327" s="17"/>
      <c r="U1327" s="955"/>
      <c r="V1327" s="955"/>
      <c r="AA1327" s="815"/>
    </row>
    <row r="1328" spans="2:27" ht="12.75" customHeight="1" x14ac:dyDescent="0.25">
      <c r="B1328" s="17"/>
      <c r="C1328" s="900"/>
      <c r="D1328" s="193"/>
      <c r="E1328" s="1516"/>
      <c r="F1328" s="1517"/>
      <c r="G1328" s="1517"/>
      <c r="H1328" s="1517"/>
      <c r="I1328" s="1517"/>
      <c r="J1328" s="1517"/>
      <c r="K1328" s="1517"/>
      <c r="L1328" s="1517"/>
      <c r="M1328" s="1518"/>
      <c r="N1328" s="903"/>
      <c r="O1328" s="17"/>
      <c r="U1328" s="955"/>
      <c r="V1328" s="955"/>
      <c r="AA1328" s="285" t="b">
        <f>AA1320</f>
        <v>0</v>
      </c>
    </row>
    <row r="1329" spans="2:27" ht="12.75" customHeight="1" thickBot="1" x14ac:dyDescent="0.3">
      <c r="B1329" s="17"/>
      <c r="C1329" s="900"/>
      <c r="D1329" s="193"/>
      <c r="E1329" s="1519"/>
      <c r="F1329" s="1520"/>
      <c r="G1329" s="1520"/>
      <c r="H1329" s="1520"/>
      <c r="I1329" s="1520"/>
      <c r="J1329" s="1520"/>
      <c r="K1329" s="1520"/>
      <c r="L1329" s="1520"/>
      <c r="M1329" s="1521"/>
      <c r="N1329" s="903"/>
      <c r="O1329" s="17"/>
      <c r="U1329" s="955"/>
      <c r="V1329" s="955"/>
      <c r="AA1329" s="286" t="b">
        <f>AA1320</f>
        <v>0</v>
      </c>
    </row>
    <row r="1330" spans="2:27" ht="12.75" customHeight="1" thickBot="1" x14ac:dyDescent="0.3">
      <c r="B1330" s="17"/>
      <c r="C1330" s="956"/>
      <c r="D1330" s="465"/>
      <c r="E1330" s="465"/>
      <c r="F1330" s="465"/>
      <c r="G1330" s="465"/>
      <c r="H1330" s="465"/>
      <c r="I1330" s="465"/>
      <c r="J1330" s="465"/>
      <c r="K1330" s="465"/>
      <c r="L1330" s="465"/>
      <c r="M1330" s="465"/>
      <c r="N1330" s="466"/>
      <c r="O1330" s="17"/>
    </row>
    <row r="1331" spans="2:27" ht="13.8" thickBot="1" x14ac:dyDescent="0.3">
      <c r="B1331" s="17"/>
      <c r="C1331" s="17"/>
      <c r="D1331" s="17"/>
      <c r="E1331" s="17"/>
      <c r="F1331" s="17"/>
      <c r="G1331" s="17"/>
      <c r="H1331" s="17"/>
      <c r="I1331" s="17"/>
      <c r="J1331" s="17"/>
      <c r="K1331" s="17"/>
      <c r="L1331" s="17"/>
      <c r="M1331" s="17"/>
      <c r="N1331" s="17"/>
      <c r="O1331" s="17"/>
      <c r="P1331" s="372" t="str">
        <f>IF(OR(AND(CNTR_ExistProductSubEntries=FALSE,P1153=1),AND(I1153&lt;&gt;"",COUNTIF(P1332:$P$1876,"PRINT")=0)),"PRINT","")</f>
        <v/>
      </c>
      <c r="Q1331" s="145" t="s">
        <v>442</v>
      </c>
    </row>
    <row r="1332" spans="2:27" ht="5.0999999999999996" customHeight="1" thickBot="1" x14ac:dyDescent="0.3">
      <c r="B1332" s="17"/>
      <c r="C1332" s="957"/>
      <c r="D1332" s="957"/>
      <c r="E1332" s="957"/>
      <c r="F1332" s="957"/>
      <c r="G1332" s="957"/>
      <c r="H1332" s="957"/>
      <c r="I1332" s="957"/>
      <c r="J1332" s="957"/>
      <c r="K1332" s="957"/>
      <c r="L1332" s="957"/>
      <c r="M1332" s="957"/>
      <c r="N1332" s="957"/>
      <c r="O1332" s="17"/>
    </row>
    <row r="1333" spans="2:27" ht="14.4" thickBot="1" x14ac:dyDescent="0.3">
      <c r="B1333" s="17"/>
      <c r="C1333" s="456">
        <f>C1153+1</f>
        <v>8</v>
      </c>
      <c r="D1333" s="1234" t="str">
        <f>EUconst_BMSubinst &amp; ":"</f>
        <v>Sub-installation with product benchmark:</v>
      </c>
      <c r="E1333" s="1176"/>
      <c r="F1333" s="1176"/>
      <c r="G1333" s="1176"/>
      <c r="H1333" s="1260"/>
      <c r="I1333" s="1550" t="str">
        <f>IF(INDEX(CNTR_SubInstListIsProdBM,$C1333),INDEX(CNTR_SubInstListNames,$C1333),"")</f>
        <v/>
      </c>
      <c r="J1333" s="1509"/>
      <c r="K1333" s="1509"/>
      <c r="L1333" s="1509"/>
      <c r="M1333" s="1509"/>
      <c r="N1333" s="1189"/>
      <c r="O1333" s="17"/>
      <c r="P1333" s="372">
        <f>C1333</f>
        <v>8</v>
      </c>
      <c r="Q1333" s="288" t="s">
        <v>296</v>
      </c>
      <c r="R1333" s="457" t="str">
        <f>IF(I1333="","",INDEX(CNTR_SubInstStartDate,MATCH($I1333,CNTR_SubInstListNames,0)))</f>
        <v/>
      </c>
      <c r="S1333" s="458" t="b">
        <f>IF($I1333="",FALSE,AND(I$1885, IF($R1333&lt;DATE($L$1882,1,1),YEAR($R1333)&lt;=I$1882,YEAR($R1333-1)&lt;I$1882) ) )</f>
        <v>0</v>
      </c>
      <c r="T1333" s="458" t="b">
        <f>IF($I1333="",FALSE,AND(J$1885, IF($R1333&lt;DATE($L$1882,1,1),YEAR($R1333)&lt;=J$1882,YEAR($R1333-1)&lt;J$1882) ) )</f>
        <v>0</v>
      </c>
      <c r="U1333" s="458" t="b">
        <f>IF($I1333="",FALSE,AND(K$1885, IF($R1333&lt;DATE($L$1882,1,1),YEAR($R1333)&lt;=K$1882,YEAR($R1333-1)&lt;K$1882) ) )</f>
        <v>0</v>
      </c>
      <c r="V1333" s="458" t="b">
        <f>IF($I1333="",FALSE,AND(L$1885, IF($R1333&lt;DATE($L$1882,1,1),YEAR($R1333)&lt;=L$1882,YEAR($R1333-1)&lt;L$1882) ) )</f>
        <v>0</v>
      </c>
      <c r="W1333" s="458" t="b">
        <f>IF($I1333="",FALSE,AND(M$1885, IF($R1333&lt;DATE($L$1882,1,1),YEAR($R1333)&lt;=M$1882,YEAR($R1333-1)&lt;M$1882) ) )</f>
        <v>0</v>
      </c>
      <c r="Z1333" s="288" t="s">
        <v>390</v>
      </c>
      <c r="AA1333" s="410" t="b">
        <f>AND(CNTR_ExistSubInstEntries,I1333="")</f>
        <v>0</v>
      </c>
    </row>
    <row r="1334" spans="2:27" ht="5.0999999999999996" customHeight="1" x14ac:dyDescent="0.25">
      <c r="B1334" s="17"/>
      <c r="C1334" s="17"/>
      <c r="D1334" s="17"/>
      <c r="E1334" s="17"/>
      <c r="F1334" s="17"/>
      <c r="G1334" s="17"/>
      <c r="H1334" s="17"/>
      <c r="I1334" s="17"/>
      <c r="J1334" s="17"/>
      <c r="K1334" s="17"/>
      <c r="L1334" s="17"/>
      <c r="M1334" s="17"/>
      <c r="N1334" s="17"/>
      <c r="O1334" s="17"/>
    </row>
    <row r="1335" spans="2:27" ht="12.75" customHeight="1" x14ac:dyDescent="0.25">
      <c r="B1335" s="17"/>
      <c r="C1335" s="17"/>
      <c r="D1335" s="17"/>
      <c r="E1335" s="1413" t="str">
        <f>CONCATENATE(EUconst_MsgSeeFirst," (F.I.1)")</f>
        <v>Detailed instructions for data entries in this tool can be found at the first copy of this tool.  (F.I.1)</v>
      </c>
      <c r="F1335" s="1413"/>
      <c r="G1335" s="1413"/>
      <c r="H1335" s="1413"/>
      <c r="I1335" s="1413"/>
      <c r="J1335" s="1413"/>
      <c r="K1335" s="1413"/>
      <c r="L1335" s="1413"/>
      <c r="M1335" s="1413"/>
      <c r="N1335" s="1413"/>
      <c r="O1335" s="17"/>
    </row>
    <row r="1336" spans="2:27" ht="5.0999999999999996" customHeight="1" x14ac:dyDescent="0.25">
      <c r="B1336" s="17"/>
      <c r="C1336" s="17"/>
      <c r="D1336" s="17"/>
      <c r="E1336" s="17"/>
      <c r="F1336" s="17"/>
      <c r="G1336" s="17"/>
      <c r="H1336" s="17"/>
      <c r="I1336" s="17"/>
      <c r="J1336" s="17"/>
      <c r="K1336" s="17"/>
      <c r="L1336" s="17"/>
      <c r="M1336" s="17"/>
      <c r="N1336" s="17"/>
      <c r="O1336" s="17"/>
    </row>
    <row r="1337" spans="2:27" ht="13.8" thickBot="1" x14ac:dyDescent="0.3">
      <c r="B1337" s="17"/>
      <c r="C1337" s="17"/>
      <c r="D1337" s="15" t="s">
        <v>190</v>
      </c>
      <c r="E1337" s="1165" t="str">
        <f>Translations!$B$670</f>
        <v>Historic activity levels</v>
      </c>
      <c r="F1337" s="1176"/>
      <c r="G1337" s="1176"/>
      <c r="H1337" s="1176"/>
      <c r="I1337" s="1176"/>
      <c r="J1337" s="1176"/>
      <c r="K1337" s="1176"/>
      <c r="L1337" s="1176"/>
      <c r="M1337" s="1176"/>
      <c r="N1337" s="1176"/>
      <c r="O1337" s="17"/>
    </row>
    <row r="1338" spans="2:27" ht="13.5" customHeight="1" thickBot="1" x14ac:dyDescent="0.3">
      <c r="B1338" s="17"/>
      <c r="C1338" s="17"/>
      <c r="D1338" s="15"/>
      <c r="E1338" s="1259" t="str">
        <f>Translations!$B$676</f>
        <v>Annual activity levels:</v>
      </c>
      <c r="F1338" s="1259"/>
      <c r="G1338" s="1259"/>
      <c r="H1338" s="23" t="str">
        <f>EUconst_Unit</f>
        <v>Unit</v>
      </c>
      <c r="I1338" s="128">
        <f>I$1882</f>
        <v>2019</v>
      </c>
      <c r="J1338" s="128">
        <f>J$1882</f>
        <v>2020</v>
      </c>
      <c r="K1338" s="128">
        <f>K$1882</f>
        <v>2021</v>
      </c>
      <c r="L1338" s="128">
        <f>L$1882</f>
        <v>2022</v>
      </c>
      <c r="M1338" s="144">
        <f>M$1882</f>
        <v>2023</v>
      </c>
      <c r="N1338" s="376" t="str">
        <f>IF(I1333="","",IF(S1343,YEAR(R1333)+1,""))</f>
        <v/>
      </c>
      <c r="O1338" s="17"/>
      <c r="Q1338" s="147" t="s">
        <v>395</v>
      </c>
      <c r="R1338" s="920"/>
      <c r="S1338" s="920"/>
      <c r="T1338" s="920"/>
      <c r="U1338" s="920"/>
      <c r="V1338" s="920"/>
      <c r="W1338" s="921"/>
      <c r="Y1338" s="316" t="b">
        <f>IF(CNTR_ExistSubInstEntries,IF(I1333&lt;&gt;"",NOT(S1343),TRUE),FALSE)</f>
        <v>0</v>
      </c>
      <c r="AA1338" s="145" t="s">
        <v>396</v>
      </c>
    </row>
    <row r="1339" spans="2:27" ht="13.8" thickBot="1" x14ac:dyDescent="0.3">
      <c r="B1339" s="17"/>
      <c r="C1339" s="17"/>
      <c r="D1339" s="113" t="s">
        <v>206</v>
      </c>
      <c r="E1339" s="1560" t="str">
        <f>I1333</f>
        <v/>
      </c>
      <c r="F1339" s="1560"/>
      <c r="G1339" s="1560"/>
      <c r="H1339" s="820" t="str">
        <f>IF(INDEX(CNTR_SubInstListIsProdBM,$C1333),INDEX(CNTR_SubInstListHALUnit,$C1333),EUconst_Tons)</f>
        <v>tonnes</v>
      </c>
      <c r="I1339" s="231"/>
      <c r="J1339" s="231"/>
      <c r="K1339" s="231"/>
      <c r="L1339" s="231"/>
      <c r="M1339" s="375"/>
      <c r="N1339" s="922"/>
      <c r="O1339" s="17"/>
      <c r="P1339" s="392" t="s">
        <v>397</v>
      </c>
      <c r="Q1339" s="581" t="s">
        <v>398</v>
      </c>
      <c r="R1339" s="65" t="s">
        <v>399</v>
      </c>
      <c r="S1339" s="808">
        <f>I1338</f>
        <v>2019</v>
      </c>
      <c r="T1339" s="809">
        <f>J1338</f>
        <v>2020</v>
      </c>
      <c r="U1339" s="809">
        <f>K1338</f>
        <v>2021</v>
      </c>
      <c r="V1339" s="809">
        <f>L1338</f>
        <v>2022</v>
      </c>
      <c r="W1339" s="810">
        <f>M1338</f>
        <v>2023</v>
      </c>
      <c r="Y1339" s="406" t="b">
        <f>IF(CNTR_ExistSubInstEntries,IF(AND(I1333&lt;&gt;"",N1340=""),NOT(S1343),TRUE),FALSE)</f>
        <v>0</v>
      </c>
      <c r="AA1339" s="316" t="b">
        <f>IF(CNTR_ExistSubInstEntries,AND(I1333&lt;&gt;"",Q1343),FALSE)</f>
        <v>0</v>
      </c>
    </row>
    <row r="1340" spans="2:27" ht="13.8" thickBot="1" x14ac:dyDescent="0.3">
      <c r="B1340" s="17"/>
      <c r="C1340" s="17"/>
      <c r="D1340" s="113" t="s">
        <v>208</v>
      </c>
      <c r="E1340" s="1560" t="str">
        <f>Translations!$B$677</f>
        <v>From sheet "H_SpecialBM":</v>
      </c>
      <c r="F1340" s="1560"/>
      <c r="G1340" s="1560"/>
      <c r="H1340" s="820" t="str">
        <f>H1339</f>
        <v>tonnes</v>
      </c>
      <c r="I1340" s="148" t="str">
        <f>IF($I1333="","",IF($Q1343,SUMIF(H_SpecialBM!$P$9:$P$384,$P1340,H_SpecialBM!I$9:I$384),""))</f>
        <v/>
      </c>
      <c r="J1340" s="148" t="str">
        <f>IF($I1333="","",IF($Q1343,SUMIF(H_SpecialBM!$P$9:$P$384,$P1340,H_SpecialBM!J$9:J$384),""))</f>
        <v/>
      </c>
      <c r="K1340" s="148" t="str">
        <f>IF($I1333="","",IF($Q1343,SUMIF(H_SpecialBM!$P$9:$P$384,$P1340,H_SpecialBM!K$9:K$384),""))</f>
        <v/>
      </c>
      <c r="L1340" s="148" t="str">
        <f>IF($I1333="","",IF($Q1343,SUMIF(H_SpecialBM!$P$9:$P$384,$P1340,H_SpecialBM!L$9:L$384),""))</f>
        <v/>
      </c>
      <c r="M1340" s="923" t="str">
        <f>IF($I1333="","",IF($Q1343,SUMIF(H_SpecialBM!$P$9:$P$384,$P1340,H_SpecialBM!M$9:M$384),""))</f>
        <v/>
      </c>
      <c r="N1340" s="924" t="str">
        <f>IF($I1333="","",IF(AND($Q1343,$S1343),SUMIF(H_SpecialBM!$P$9:$P$384,$P1340,H_SpecialBM!N$9:N$384),""))</f>
        <v/>
      </c>
      <c r="O1340" s="17"/>
      <c r="P1340" s="392" t="str">
        <f>EUconst_CNTR_HALspecial&amp;I1333</f>
        <v>HALspecial_</v>
      </c>
      <c r="Q1340" s="391" t="str">
        <f>IF(COUNT($U1340:$V1340)&gt;0,SUM($U1340:$V1340),"")</f>
        <v/>
      </c>
      <c r="R1340" s="925" t="str">
        <f>IF(COUNT(S1340:W1340)&gt;0,AVERAGE(S1340:W1340),"")</f>
        <v/>
      </c>
      <c r="S1340" s="385" t="str">
        <f>IF(S1333,IF(ISNUMBER(I1340),I1340,""),"")</f>
        <v/>
      </c>
      <c r="T1340" s="926" t="str">
        <f>IF(T1333,IF(ISNUMBER(J1340),J1340,""),"")</f>
        <v/>
      </c>
      <c r="U1340" s="926" t="str">
        <f>IF(U1333,IF(ISNUMBER(K1340),K1340,""),"")</f>
        <v/>
      </c>
      <c r="V1340" s="926" t="str">
        <f>IF(V1333,IF(ISNUMBER(L1340),L1340,""),"")</f>
        <v/>
      </c>
      <c r="W1340" s="925" t="str">
        <f>IF(W1333,IF(ISNUMBER(M1340),M1340,""),"")</f>
        <v/>
      </c>
      <c r="Y1340" s="406" t="b">
        <f>OR(Y1338,AA1340)</f>
        <v>0</v>
      </c>
      <c r="AA1340" s="317" t="b">
        <f>Q1343=FALSE</f>
        <v>0</v>
      </c>
    </row>
    <row r="1341" spans="2:27" ht="13.8" thickBot="1" x14ac:dyDescent="0.3">
      <c r="B1341" s="17"/>
      <c r="C1341" s="17"/>
      <c r="D1341" s="113" t="s">
        <v>209</v>
      </c>
      <c r="E1341" s="1560" t="str">
        <f>Translations!$B$678</f>
        <v>Values used for calculation:</v>
      </c>
      <c r="F1341" s="1560"/>
      <c r="G1341" s="1560"/>
      <c r="H1341" s="820" t="str">
        <f>H1340</f>
        <v>tonnes</v>
      </c>
      <c r="I1341" s="148" t="str">
        <f>IF($I1333="","",IF($Q1343=TRUE,IF(ISNUMBER(I1340),I1340,0),IF(ISNUMBER(I1339),I1339,0)))</f>
        <v/>
      </c>
      <c r="J1341" s="148" t="str">
        <f>IF($I1333="","",IF($Q1343=TRUE,IF(ISNUMBER(J1340),J1340,0),IF(ISNUMBER(J1339),J1339,0)))</f>
        <v/>
      </c>
      <c r="K1341" s="148" t="str">
        <f>IF($I1333="","",IF($Q1343=TRUE,IF(ISNUMBER(K1340),K1340,0),IF(ISNUMBER(K1339),K1339,0)))</f>
        <v/>
      </c>
      <c r="L1341" s="148" t="str">
        <f>IF($I1333="","",IF($Q1343=TRUE,IF(ISNUMBER(L1340),L1340,0),IF(ISNUMBER(L1339),L1339,0)))</f>
        <v/>
      </c>
      <c r="M1341" s="923" t="str">
        <f>IF($I1333="","",IF($Q1343=TRUE,IF(ISNUMBER(M1340),M1340,0),IF(ISNUMBER(M1339),M1339,0)))</f>
        <v/>
      </c>
      <c r="N1341" s="924" t="str">
        <f>IF($I1333="","",IF(S1343,IF($Q1343=TRUE,IF(ISNUMBER(N1340),N1340,0),IF(ISNUMBER(N1339),N1339,0)),""))</f>
        <v/>
      </c>
      <c r="O1341" s="17"/>
      <c r="P1341" s="392" t="str">
        <f>EUconst_CNTR_HAL&amp;I1333</f>
        <v>HAL_</v>
      </c>
      <c r="Q1341" s="286" t="str">
        <f>IF(COUNT($U1341:$V1341)&gt;0,SUM($U1341:$V1341),"")</f>
        <v/>
      </c>
      <c r="R1341" s="390" t="str">
        <f>IF(COUNT(S1341:W1341)&gt;0,AVERAGE(S1341:W1341),"")</f>
        <v/>
      </c>
      <c r="S1341" s="388" t="str">
        <f>IF(S1333,IF(ISNUMBER(I1341),I1341,""),"")</f>
        <v/>
      </c>
      <c r="T1341" s="389" t="str">
        <f>IF(T1333,IF(ISNUMBER(J1341),J1341,""),"")</f>
        <v/>
      </c>
      <c r="U1341" s="389" t="str">
        <f>IF(U1333,IF(ISNUMBER(K1341),K1341,""),"")</f>
        <v/>
      </c>
      <c r="V1341" s="389" t="str">
        <f>IF(V1333,IF(ISNUMBER(L1341),L1341,""),"")</f>
        <v/>
      </c>
      <c r="W1341" s="390" t="str">
        <f>IF(W1333,IF(ISNUMBER(M1341),M1341,""),"")</f>
        <v/>
      </c>
      <c r="Y1341" s="286" t="b">
        <f>Y1338</f>
        <v>0</v>
      </c>
    </row>
    <row r="1342" spans="2:27" ht="5.0999999999999996" customHeight="1" x14ac:dyDescent="0.25">
      <c r="B1342" s="17"/>
      <c r="C1342" s="17"/>
      <c r="D1342" s="17"/>
      <c r="E1342" s="17"/>
      <c r="F1342" s="17"/>
      <c r="G1342" s="17"/>
      <c r="H1342" s="17"/>
      <c r="I1342" s="17"/>
      <c r="J1342" s="17"/>
      <c r="K1342" s="17"/>
      <c r="L1342" s="17"/>
      <c r="M1342" s="17"/>
      <c r="N1342" s="17"/>
      <c r="O1342" s="17"/>
    </row>
    <row r="1343" spans="2:27" x14ac:dyDescent="0.25">
      <c r="B1343" s="17"/>
      <c r="C1343" s="17"/>
      <c r="D1343" s="15" t="s">
        <v>192</v>
      </c>
      <c r="E1343" s="1165" t="str">
        <f>Translations!$B$679</f>
        <v>Special reporting requirements:</v>
      </c>
      <c r="F1343" s="1165"/>
      <c r="G1343" s="1425"/>
      <c r="H1343" s="1561" t="str">
        <f>IF(I1333="","",HYPERLINK(INDEX(EUconst_BMlistSpecialJumpTable,MATCH(I1333,EUconst_BMlistNames,0)),INDEX(EUconst_BMlistSpecialReporting,MATCH(I1333,EUconst_BMlistNames,0))))</f>
        <v/>
      </c>
      <c r="I1343" s="1562"/>
      <c r="J1343" s="1562"/>
      <c r="K1343" s="1562"/>
      <c r="L1343" s="1562"/>
      <c r="M1343" s="1562"/>
      <c r="N1343" s="1563"/>
      <c r="O1343" s="17"/>
      <c r="P1343" s="288" t="s">
        <v>400</v>
      </c>
      <c r="Q1343" s="63" t="str">
        <f>IF(I1333="","",IF(AND(INDEX(EUconst_BMlistSpecialJumpTable,MATCH(I1333,EUconst_BMlistNames,0))&lt;&gt;"",MATCH(I1333,EUconst_BMlistNames,0)&lt;&gt;47),TRUE,FALSE))</f>
        <v/>
      </c>
      <c r="R1343" s="288" t="s">
        <v>304</v>
      </c>
      <c r="S1343" s="63" t="b">
        <f>IF(I1333="",FALSE,INDEX(CNTR_SubInstLess1Year,MATCH(I1333,CNTR_SubInstListNames,0)))</f>
        <v>0</v>
      </c>
    </row>
    <row r="1344" spans="2:27" ht="12.75" customHeight="1" x14ac:dyDescent="0.25">
      <c r="B1344" s="17"/>
      <c r="C1344" s="17"/>
      <c r="D1344" s="17"/>
      <c r="E1344" s="17"/>
      <c r="F1344" s="17"/>
      <c r="G1344" s="17"/>
      <c r="H1344" s="17"/>
      <c r="I1344" s="17"/>
      <c r="J1344" s="17"/>
      <c r="K1344" s="17"/>
      <c r="L1344" s="17"/>
      <c r="M1344" s="17"/>
      <c r="N1344" s="17"/>
      <c r="O1344" s="17"/>
    </row>
    <row r="1345" spans="2:27" ht="15" customHeight="1" x14ac:dyDescent="0.25">
      <c r="B1345" s="17"/>
      <c r="C1345" s="17"/>
      <c r="D1345" s="1234" t="str">
        <f>Translations!$B$681</f>
        <v>Further correction factors</v>
      </c>
      <c r="E1345" s="1176"/>
      <c r="F1345" s="1176"/>
      <c r="G1345" s="1176"/>
      <c r="H1345" s="1176"/>
      <c r="I1345" s="1176"/>
      <c r="J1345" s="1176"/>
      <c r="K1345" s="1176"/>
      <c r="L1345" s="1176"/>
      <c r="M1345" s="1176"/>
      <c r="N1345" s="1176"/>
      <c r="O1345" s="17"/>
    </row>
    <row r="1346" spans="2:27" ht="5.0999999999999996" customHeight="1" x14ac:dyDescent="0.25">
      <c r="B1346" s="17"/>
      <c r="C1346" s="17"/>
      <c r="D1346" s="17"/>
      <c r="E1346" s="17"/>
      <c r="F1346" s="17"/>
      <c r="G1346" s="17"/>
      <c r="H1346" s="17"/>
      <c r="I1346" s="17"/>
      <c r="J1346" s="17"/>
      <c r="K1346" s="17"/>
      <c r="L1346" s="17"/>
      <c r="M1346" s="17"/>
      <c r="N1346" s="17"/>
      <c r="O1346" s="17"/>
    </row>
    <row r="1347" spans="2:27" ht="13.8" thickBot="1" x14ac:dyDescent="0.3">
      <c r="B1347" s="17"/>
      <c r="C1347" s="17"/>
      <c r="D1347" s="15" t="s">
        <v>195</v>
      </c>
      <c r="E1347" s="1165" t="str">
        <f>Translations!$B$682</f>
        <v>Exchangeability of fuel and electricity:</v>
      </c>
      <c r="F1347" s="1176"/>
      <c r="G1347" s="1176"/>
      <c r="H1347" s="1176"/>
      <c r="I1347" s="1260"/>
      <c r="J1347" s="1561" t="str">
        <f>IF(I1333="","",IF(INDEX(EUconst_BMlistElExchangability,MATCH(I1333,EUconst_BMlistNames,0))=TRUE,"",HYPERLINK(Q1347,EUconst_MsgGoOn)))</f>
        <v/>
      </c>
      <c r="K1347" s="1564"/>
      <c r="L1347" s="1564"/>
      <c r="M1347" s="1564"/>
      <c r="N1347" s="1205"/>
      <c r="O1347" s="17"/>
      <c r="P1347" s="145" t="s">
        <v>334</v>
      </c>
      <c r="Q1347" s="372" t="str">
        <f>"#"&amp;ADDRESS(ROW(D1355),COLUMN(D1355))</f>
        <v>#$D$1355</v>
      </c>
    </row>
    <row r="1348" spans="2:27" ht="13.8" thickBot="1" x14ac:dyDescent="0.3">
      <c r="B1348" s="17"/>
      <c r="C1348" s="17"/>
      <c r="D1348" s="15"/>
      <c r="E1348" s="1259" t="str">
        <f>Translations!$B$686</f>
        <v>Parameter</v>
      </c>
      <c r="F1348" s="1212"/>
      <c r="G1348" s="1212"/>
      <c r="H1348" s="23" t="str">
        <f>EUconst_Unit</f>
        <v>Unit</v>
      </c>
      <c r="I1348" s="128">
        <f>I$66</f>
        <v>2019</v>
      </c>
      <c r="J1348" s="128">
        <f>J$66</f>
        <v>2020</v>
      </c>
      <c r="K1348" s="128">
        <f>K$66</f>
        <v>2021</v>
      </c>
      <c r="L1348" s="128">
        <f>L$66</f>
        <v>2022</v>
      </c>
      <c r="M1348" s="144">
        <f>M$66</f>
        <v>2023</v>
      </c>
      <c r="N1348" s="376" t="str">
        <f>IF(AA1349=FALSE,N1338,"")</f>
        <v/>
      </c>
      <c r="O1348" s="17"/>
      <c r="Y1348" s="316" t="b">
        <f>OR(Y1338,AA1349)</f>
        <v>0</v>
      </c>
      <c r="AA1348" s="145" t="s">
        <v>402</v>
      </c>
    </row>
    <row r="1349" spans="2:27" ht="13.8" thickBot="1" x14ac:dyDescent="0.3">
      <c r="B1349" s="17"/>
      <c r="C1349" s="17"/>
      <c r="D1349" s="113" t="s">
        <v>206</v>
      </c>
      <c r="E1349" s="1248" t="str">
        <f>Translations!$B$687</f>
        <v>Direct emissions</v>
      </c>
      <c r="F1349" s="1248"/>
      <c r="G1349" s="1248"/>
      <c r="H1349" s="222" t="str">
        <f>EUconst_tCO2pa</f>
        <v>t CO2 / year</v>
      </c>
      <c r="I1349" s="331"/>
      <c r="J1349" s="331"/>
      <c r="K1349" s="332"/>
      <c r="L1349" s="331"/>
      <c r="M1349" s="377"/>
      <c r="N1349" s="383"/>
      <c r="O1349" s="17"/>
      <c r="Y1349" s="285" t="b">
        <f>Y1348</f>
        <v>0</v>
      </c>
      <c r="AA1349" s="316" t="b">
        <f>IF(CNTR_ExistSubInstEntries,IF(I1333&lt;&gt;"",IF(INDEX(EUconst_BMlistElExchangability,MATCH(I1333,EUconst_BMlistNames,0)),FALSE,TRUE),TRUE),FALSE)</f>
        <v>0</v>
      </c>
    </row>
    <row r="1350" spans="2:27" x14ac:dyDescent="0.25">
      <c r="B1350" s="17"/>
      <c r="C1350" s="17"/>
      <c r="D1350" s="113" t="s">
        <v>208</v>
      </c>
      <c r="E1350" s="1251" t="str">
        <f>Translations!$B$688</f>
        <v>Net imported heat</v>
      </c>
      <c r="F1350" s="1251"/>
      <c r="G1350" s="1251"/>
      <c r="H1350" s="225" t="str">
        <f>EUconst_TJpa</f>
        <v>TJ / year</v>
      </c>
      <c r="I1350" s="226" t="str">
        <f>IF($I1333&lt;&gt;"",IF(INDEX(EUconst_BMlistElExchangability,MATCH($I1333,EUconst_BMlistNames,0)),SUM(I1434),""),"")</f>
        <v/>
      </c>
      <c r="J1350" s="226" t="str">
        <f>IF($I1333&lt;&gt;"",IF(INDEX(EUconst_BMlistElExchangability,MATCH($I1333,EUconst_BMlistNames,0)),SUM(J1434),""),"")</f>
        <v/>
      </c>
      <c r="K1350" s="226" t="str">
        <f>IF($I1333&lt;&gt;"",IF(INDEX(EUconst_BMlistElExchangability,MATCH($I1333,EUconst_BMlistNames,0)),SUM(K1434),""),"")</f>
        <v/>
      </c>
      <c r="L1350" s="226" t="str">
        <f>IF($I1333&lt;&gt;"",IF(INDEX(EUconst_BMlistElExchangability,MATCH($I1333,EUconst_BMlistNames,0)),SUM(L1434),""),"")</f>
        <v/>
      </c>
      <c r="M1350" s="378" t="str">
        <f>IF($I1333&lt;&gt;"",IF(INDEX(EUconst_BMlistElExchangability,MATCH($I1333,EUconst_BMlistNames,0)),SUM(M1434),""),"")</f>
        <v/>
      </c>
      <c r="N1350" s="384"/>
      <c r="O1350" s="17"/>
      <c r="R1350" s="459"/>
      <c r="S1350" s="326">
        <f>I1348</f>
        <v>2019</v>
      </c>
      <c r="T1350" s="326">
        <f>J1348</f>
        <v>2020</v>
      </c>
      <c r="U1350" s="326">
        <f>K1348</f>
        <v>2021</v>
      </c>
      <c r="V1350" s="326">
        <f>L1348</f>
        <v>2022</v>
      </c>
      <c r="W1350" s="327">
        <f>M1348</f>
        <v>2023</v>
      </c>
      <c r="Y1350" s="285" t="b">
        <f>Y1349</f>
        <v>0</v>
      </c>
      <c r="AA1350" s="285" t="b">
        <f>AA1349</f>
        <v>0</v>
      </c>
    </row>
    <row r="1351" spans="2:27" ht="12.75" customHeight="1" thickBot="1" x14ac:dyDescent="0.3">
      <c r="B1351" s="17"/>
      <c r="C1351" s="17"/>
      <c r="D1351" s="113" t="s">
        <v>209</v>
      </c>
      <c r="E1351" s="1565" t="str">
        <f>Translations!$B$689</f>
        <v>Relevant electricity consumption</v>
      </c>
      <c r="F1351" s="1565"/>
      <c r="G1351" s="1565"/>
      <c r="H1351" s="927" t="str">
        <f>EUconst_MWhpa</f>
        <v>MWh / year</v>
      </c>
      <c r="I1351" s="928"/>
      <c r="J1351" s="928"/>
      <c r="K1351" s="928"/>
      <c r="L1351" s="928"/>
      <c r="M1351" s="929"/>
      <c r="N1351" s="930"/>
      <c r="O1351" s="17"/>
      <c r="P1351" s="63" t="str">
        <f>EUconst_CNTR_HAL&amp;EUconst_CNTR_ELEXCH</f>
        <v>HAL_ELEXCH_</v>
      </c>
      <c r="Q1351" s="63" t="str">
        <f>EUconst_CNTR_HAL&amp;EUconst_CNTR_ELEXCH &amp; I1333</f>
        <v>HAL_ELEXCH_</v>
      </c>
      <c r="R1351" s="460" t="str">
        <f>EUconst_CNTR_AttributedEmissions &amp; I1333</f>
        <v>AttrEmissions_</v>
      </c>
      <c r="S1351" s="389" t="str">
        <f>IF(S1333,SUM(I1351)*EUconst_ElBM,"")</f>
        <v/>
      </c>
      <c r="T1351" s="389" t="str">
        <f>IF(T1333,SUM(J1351)*EUconst_ElBM,"")</f>
        <v/>
      </c>
      <c r="U1351" s="389" t="str">
        <f>IF(U1333,SUM(K1351)*EUconst_ElBM,"")</f>
        <v/>
      </c>
      <c r="V1351" s="389" t="str">
        <f>IF(V1333,SUM(L1351)*EUconst_ElBM,"")</f>
        <v/>
      </c>
      <c r="W1351" s="390" t="str">
        <f>IF(W1333,SUM(M1351)*EUconst_ElBM,"")</f>
        <v/>
      </c>
      <c r="X1351" s="145" t="str">
        <f>N1348</f>
        <v/>
      </c>
      <c r="Y1351" s="285" t="b">
        <f>Y1350</f>
        <v>0</v>
      </c>
      <c r="AA1351" s="285" t="b">
        <f>AA1350</f>
        <v>0</v>
      </c>
    </row>
    <row r="1352" spans="2:27" ht="13.8" thickBot="1" x14ac:dyDescent="0.3">
      <c r="B1352" s="17"/>
      <c r="C1352" s="17"/>
      <c r="D1352" s="113" t="s">
        <v>210</v>
      </c>
      <c r="E1352" s="1248" t="str">
        <f>Translations!$B$690</f>
        <v>Total direct emissions</v>
      </c>
      <c r="F1352" s="1248"/>
      <c r="G1352" s="1248"/>
      <c r="H1352" s="222" t="str">
        <f>EUconst_tCO2pa</f>
        <v>t CO2 / year</v>
      </c>
      <c r="I1352" s="223" t="str">
        <f>IF(ISNUMBER(I1349),I1349+SUM(I1350)*EUconst_HeatBMvalue,"")</f>
        <v/>
      </c>
      <c r="J1352" s="223" t="str">
        <f>IF(ISNUMBER(J1349),J1349+SUM(J1350)*EUconst_HeatBMvalue,"")</f>
        <v/>
      </c>
      <c r="K1352" s="224" t="str">
        <f>IF(ISNUMBER(K1349),K1349+SUM(K1350)*EUconst_HeatBMvalue,"")</f>
        <v/>
      </c>
      <c r="L1352" s="223" t="str">
        <f>IF(ISNUMBER(L1349),L1349+SUM(L1350)*EUconst_HeatBMvalue,"")</f>
        <v/>
      </c>
      <c r="M1352" s="379" t="str">
        <f>IF(ISNUMBER(M1349),M1349+SUM(M1350)*EUconst_HeatBMvalue,"")</f>
        <v/>
      </c>
      <c r="N1352" s="381" t="str">
        <f>IF(AND(S1343,ISNUMBER(N1349)),N1349+SUM(N1350)*EUconst_HeatBMvalue,"")</f>
        <v/>
      </c>
      <c r="O1352" s="17"/>
      <c r="R1352" s="288" t="s">
        <v>403</v>
      </c>
      <c r="S1352" s="385" t="str">
        <f>IF(S1333,IF(ISNUMBER(I1352),I1352,0),"")</f>
        <v/>
      </c>
      <c r="T1352" s="386" t="str">
        <f>IF(T1333,IF(ISNUMBER(J1352),J1352,0),"")</f>
        <v/>
      </c>
      <c r="U1352" s="386" t="str">
        <f>IF(U1333,IF(ISNUMBER(K1352),K1352,0),"")</f>
        <v/>
      </c>
      <c r="V1352" s="386" t="str">
        <f>IF(V1333,IF(ISNUMBER(L1352),L1352,0),"")</f>
        <v/>
      </c>
      <c r="W1352" s="387" t="str">
        <f>IF(W1333,IF(ISNUMBER(M1352),M1352,0),"")</f>
        <v/>
      </c>
      <c r="X1352" s="391" t="str">
        <f>IF(S1343,IF(ISNUMBER(N1352),N1352,0),"")</f>
        <v/>
      </c>
      <c r="Y1352" s="285" t="b">
        <f>Y1351</f>
        <v>0</v>
      </c>
      <c r="AA1352" s="285" t="b">
        <f>AA1351</f>
        <v>0</v>
      </c>
    </row>
    <row r="1353" spans="2:27" ht="13.8" thickBot="1" x14ac:dyDescent="0.3">
      <c r="B1353" s="17"/>
      <c r="C1353" s="17"/>
      <c r="D1353" s="113" t="s">
        <v>220</v>
      </c>
      <c r="E1353" s="1254" t="str">
        <f>Translations!$B$691</f>
        <v>Indirect emissions</v>
      </c>
      <c r="F1353" s="1254"/>
      <c r="G1353" s="1254"/>
      <c r="H1353" s="227" t="str">
        <f>EUconst_tCO2pa</f>
        <v>t CO2 / year</v>
      </c>
      <c r="I1353" s="228" t="str">
        <f t="shared" ref="I1353:N1353" si="28">IF(ISNUMBER(I1351),I1351*EUconst_ElBM,"")</f>
        <v/>
      </c>
      <c r="J1353" s="228" t="str">
        <f t="shared" si="28"/>
        <v/>
      </c>
      <c r="K1353" s="229" t="str">
        <f t="shared" si="28"/>
        <v/>
      </c>
      <c r="L1353" s="228" t="str">
        <f t="shared" si="28"/>
        <v/>
      </c>
      <c r="M1353" s="380" t="str">
        <f t="shared" si="28"/>
        <v/>
      </c>
      <c r="N1353" s="382" t="str">
        <f t="shared" si="28"/>
        <v/>
      </c>
      <c r="O1353" s="17"/>
      <c r="P1353" s="392" t="str">
        <f>EUconst_CNTR_ELEXCH &amp; I1333</f>
        <v>ELEXCH_</v>
      </c>
      <c r="Q1353" s="393" t="str">
        <f>IF(SUM(S1353:X1353)&lt;&gt;0,SUM(S1352:X1352)/SUM(S1353:X1353),EUconst_NA)</f>
        <v>N.A.</v>
      </c>
      <c r="R1353" s="288" t="s">
        <v>323</v>
      </c>
      <c r="S1353" s="388" t="str">
        <f>IF(S1333,IF(COUNT(I1352:I1353)&gt;0,SUM(I1352:I1353),0),"")</f>
        <v/>
      </c>
      <c r="T1353" s="389" t="str">
        <f>IF(T1333,IF(COUNT(J1352:J1353)&gt;0,SUM(J1352:J1353),0),"")</f>
        <v/>
      </c>
      <c r="U1353" s="389" t="str">
        <f>IF(U1333,IF(COUNT(K1352:K1353)&gt;0,SUM(K1352:K1353),0),"")</f>
        <v/>
      </c>
      <c r="V1353" s="389" t="str">
        <f>IF(V1333,IF(COUNT(L1352:L1353)&gt;0,SUM(L1352:L1353),0),"")</f>
        <v/>
      </c>
      <c r="W1353" s="390" t="str">
        <f>IF(W1333,IF(COUNT(M1352:M1353)&gt;0,SUM(M1352:M1353),0),"")</f>
        <v/>
      </c>
      <c r="X1353" s="286" t="str">
        <f>IF(S1343,IF(COUNT(N1352:N1353)&gt;0,SUM(N1352:N1353),0),"")</f>
        <v/>
      </c>
      <c r="Y1353" s="286" t="b">
        <f>Y1352</f>
        <v>0</v>
      </c>
      <c r="AA1353" s="286" t="b">
        <f>AA1352</f>
        <v>0</v>
      </c>
    </row>
    <row r="1354" spans="2:27" ht="5.0999999999999996" customHeight="1" x14ac:dyDescent="0.25">
      <c r="B1354" s="17"/>
      <c r="C1354" s="17"/>
      <c r="D1354" s="17"/>
      <c r="E1354" s="17"/>
      <c r="F1354" s="17"/>
      <c r="G1354" s="17"/>
      <c r="H1354" s="17"/>
      <c r="I1354" s="17"/>
      <c r="J1354" s="17"/>
      <c r="K1354" s="17"/>
      <c r="L1354" s="17"/>
      <c r="M1354" s="17"/>
      <c r="N1354" s="17"/>
      <c r="O1354" s="17"/>
    </row>
    <row r="1355" spans="2:27" x14ac:dyDescent="0.25">
      <c r="B1355" s="17"/>
      <c r="C1355" s="17"/>
      <c r="D1355" s="15" t="s">
        <v>197</v>
      </c>
      <c r="E1355" s="1165" t="str">
        <f>Translations!$B$692</f>
        <v>Heat imported from non-ETS installations or entities:</v>
      </c>
      <c r="F1355" s="1165"/>
      <c r="G1355" s="1165"/>
      <c r="H1355" s="1165"/>
      <c r="I1355" s="1425"/>
      <c r="J1355" s="1561" t="str">
        <f>IF(I1333="","",HYPERLINK(Q1355,EUconst_MsgGoOnIfNotRelevant))</f>
        <v/>
      </c>
      <c r="K1355" s="1564"/>
      <c r="L1355" s="1564"/>
      <c r="M1355" s="1564"/>
      <c r="N1355" s="1205"/>
      <c r="O1355" s="17"/>
      <c r="P1355" s="145" t="s">
        <v>334</v>
      </c>
      <c r="Q1355" s="372" t="str">
        <f>"#"&amp;ADDRESS(ROW(D1362),COLUMN(D1362))</f>
        <v>#$D$1362</v>
      </c>
    </row>
    <row r="1356" spans="2:27" ht="13.5" customHeight="1" thickBot="1" x14ac:dyDescent="0.3">
      <c r="B1356" s="17"/>
      <c r="C1356" s="17"/>
      <c r="D1356" s="17"/>
      <c r="E1356" s="1223"/>
      <c r="F1356" s="1223"/>
      <c r="G1356" s="1223"/>
      <c r="H1356" s="1223"/>
      <c r="I1356" s="1223"/>
      <c r="J1356" s="1223"/>
      <c r="K1356" s="1223"/>
      <c r="L1356" s="1223"/>
      <c r="M1356" s="1223"/>
      <c r="N1356" s="1223"/>
      <c r="O1356" s="17"/>
      <c r="Y1356" s="145" t="s">
        <v>394</v>
      </c>
    </row>
    <row r="1357" spans="2:27" ht="13.8" thickBot="1" x14ac:dyDescent="0.3">
      <c r="B1357" s="17"/>
      <c r="C1357" s="17"/>
      <c r="D1357" s="15"/>
      <c r="E1357" s="1259" t="str">
        <f>Translations!$B$686</f>
        <v>Parameter</v>
      </c>
      <c r="F1357" s="1212"/>
      <c r="G1357" s="1212"/>
      <c r="H1357" s="23" t="str">
        <f>EUconst_Unit</f>
        <v>Unit</v>
      </c>
      <c r="I1357" s="128">
        <f>I$66</f>
        <v>2019</v>
      </c>
      <c r="J1357" s="128">
        <f>J$66</f>
        <v>2020</v>
      </c>
      <c r="K1357" s="128">
        <f>K$66</f>
        <v>2021</v>
      </c>
      <c r="L1357" s="128">
        <f>L$66</f>
        <v>2022</v>
      </c>
      <c r="M1357" s="144">
        <f>M$66</f>
        <v>2023</v>
      </c>
      <c r="N1357" s="376" t="str">
        <f>N1348</f>
        <v/>
      </c>
      <c r="O1357" s="17"/>
      <c r="Q1357" s="28"/>
      <c r="S1357" s="28">
        <f t="shared" ref="S1357:X1357" si="29">I1357</f>
        <v>2019</v>
      </c>
      <c r="T1357" s="28">
        <f t="shared" si="29"/>
        <v>2020</v>
      </c>
      <c r="U1357" s="28">
        <f t="shared" si="29"/>
        <v>2021</v>
      </c>
      <c r="V1357" s="28">
        <f t="shared" si="29"/>
        <v>2022</v>
      </c>
      <c r="W1357" s="28">
        <f t="shared" si="29"/>
        <v>2023</v>
      </c>
      <c r="X1357" s="145" t="str">
        <f t="shared" si="29"/>
        <v/>
      </c>
      <c r="Y1357" s="295" t="b">
        <f>Y1338</f>
        <v>0</v>
      </c>
      <c r="Z1357" s="28"/>
      <c r="AA1357" s="145" t="s">
        <v>396</v>
      </c>
    </row>
    <row r="1358" spans="2:27" ht="13.8" thickBot="1" x14ac:dyDescent="0.3">
      <c r="B1358" s="17"/>
      <c r="C1358" s="17"/>
      <c r="D1358" s="113" t="s">
        <v>206</v>
      </c>
      <c r="E1358" s="1412" t="str">
        <f>Translations!$B$697</f>
        <v>Measurable heat imported from non-ETS:</v>
      </c>
      <c r="F1358" s="1412"/>
      <c r="G1358" s="1412"/>
      <c r="H1358" s="43" t="str">
        <f>EUconst_TJpa</f>
        <v>TJ / year</v>
      </c>
      <c r="I1358" s="293"/>
      <c r="J1358" s="293"/>
      <c r="K1358" s="293"/>
      <c r="L1358" s="293"/>
      <c r="M1358" s="931"/>
      <c r="N1358" s="397"/>
      <c r="O1358" s="17"/>
      <c r="P1358" s="63" t="str">
        <f>EUconst_CNTR_HAL&amp;EUconst_CNTR_nonETSMeasHeat</f>
        <v>HAL_non-ETS measurable heat</v>
      </c>
      <c r="S1358" s="808" t="str">
        <f>IF(S1333,IF(ISNUMBER(I1358),I1358,0),"")</f>
        <v/>
      </c>
      <c r="T1358" s="809" t="str">
        <f>IF(T1333,IF(ISNUMBER(J1358),J1358,0),"")</f>
        <v/>
      </c>
      <c r="U1358" s="809" t="str">
        <f>IF(U1333,IF(ISNUMBER(K1358),K1358,0),"")</f>
        <v/>
      </c>
      <c r="V1358" s="809" t="str">
        <f>IF(V1333,IF(ISNUMBER(L1358),L1358,0),"")</f>
        <v/>
      </c>
      <c r="W1358" s="810" t="str">
        <f>IF(W1333,IF(ISNUMBER(M1358),M1358,0),"")</f>
        <v/>
      </c>
      <c r="X1358" s="215" t="str">
        <f>IF(S1343,IF(ISNUMBER(N1358),N1358,0),"")</f>
        <v/>
      </c>
      <c r="Y1358" s="286" t="b">
        <f>Y1357</f>
        <v>0</v>
      </c>
      <c r="AA1358" s="316" t="b">
        <f>AND(CNTR_ExistSubInstEntries,I1333="")</f>
        <v>0</v>
      </c>
    </row>
    <row r="1359" spans="2:27" ht="25.5" customHeight="1" thickBot="1" x14ac:dyDescent="0.3">
      <c r="B1359" s="17"/>
      <c r="C1359" s="17"/>
      <c r="D1359" s="113" t="s">
        <v>208</v>
      </c>
      <c r="E1359" s="1248" t="str">
        <f>Translations!$B$698</f>
        <v>Consistency check with sheet "E_Energy flows":</v>
      </c>
      <c r="F1359" s="1248"/>
      <c r="G1359" s="1248"/>
      <c r="H1359" s="856" t="s">
        <v>354</v>
      </c>
      <c r="I1359" s="932" t="str">
        <f>IF(AND(ISNUMBER(I1358),ISNUMBER(E_EnergyFlows!I$102)), I1358/E_EnergyFlows!I$102*100,"")</f>
        <v/>
      </c>
      <c r="J1359" s="932" t="str">
        <f>IF(AND(ISNUMBER(J1358),ISNUMBER(E_EnergyFlows!J$102)), J1358/E_EnergyFlows!J$102*100,"")</f>
        <v/>
      </c>
      <c r="K1359" s="932" t="str">
        <f>IF(AND(ISNUMBER(K1358),ISNUMBER(E_EnergyFlows!K$102)), K1358/E_EnergyFlows!K$102*100,"")</f>
        <v/>
      </c>
      <c r="L1359" s="932" t="str">
        <f>IF(AND(ISNUMBER(L1358),ISNUMBER(E_EnergyFlows!L$102)), L1358/E_EnergyFlows!L$102*100,"")</f>
        <v/>
      </c>
      <c r="M1359" s="933" t="str">
        <f>IF(AND(ISNUMBER(M1358),ISNUMBER(E_EnergyFlows!M$102)), M1358/E_EnergyFlows!M$102*100,"")</f>
        <v/>
      </c>
      <c r="N1359" s="646"/>
      <c r="O1359" s="17"/>
      <c r="P1359" s="392" t="str">
        <f>EUconst_CNTR_HEAT &amp; I1333</f>
        <v>HEAT_</v>
      </c>
      <c r="Q1359" s="109" t="str">
        <f>IF(COUNT(S1358:X1358)&gt;0,AVERAGE(S1358:X1358)*EUconst_HeatBMvalue,EUconst_NA)</f>
        <v>N.A.</v>
      </c>
      <c r="AA1359" s="815"/>
    </row>
    <row r="1360" spans="2:27" ht="12.75" customHeight="1" x14ac:dyDescent="0.25">
      <c r="B1360" s="17"/>
      <c r="C1360" s="17"/>
      <c r="D1360" s="113" t="s">
        <v>209</v>
      </c>
      <c r="E1360" s="1254" t="str">
        <f>Translations!$B$699</f>
        <v>Consistency check with point (k)(i):</v>
      </c>
      <c r="F1360" s="1254"/>
      <c r="G1360" s="1254"/>
      <c r="H1360" s="860" t="s">
        <v>354</v>
      </c>
      <c r="I1360" s="934" t="str">
        <f>IF(AND(I1434&gt;0,ISNUMBER(I1358)), I1358/I1434*100,"")</f>
        <v/>
      </c>
      <c r="J1360" s="934" t="str">
        <f>IF(AND(J1434&gt;0,ISNUMBER(J1358)), J1358/J1434*100,"")</f>
        <v/>
      </c>
      <c r="K1360" s="934" t="str">
        <f>IF(AND(K1434&gt;0,ISNUMBER(K1358)), K1358/K1434*100,"")</f>
        <v/>
      </c>
      <c r="L1360" s="934" t="str">
        <f>IF(AND(L1434&gt;0,ISNUMBER(L1358)), L1358/L1434*100,"")</f>
        <v/>
      </c>
      <c r="M1360" s="935" t="str">
        <f>IF(AND(M1434&gt;0,ISNUMBER(M1358)), M1358/M1434*100,"")</f>
        <v/>
      </c>
      <c r="N1360" s="646"/>
      <c r="O1360" s="17"/>
      <c r="AA1360" s="815"/>
    </row>
    <row r="1361" spans="2:27" ht="12.75" customHeight="1" x14ac:dyDescent="0.25">
      <c r="B1361" s="17"/>
      <c r="C1361" s="17"/>
      <c r="D1361" s="17"/>
      <c r="E1361" s="17"/>
      <c r="F1361" s="17"/>
      <c r="G1361" s="17"/>
      <c r="H1361" s="17"/>
      <c r="I1361" s="31"/>
      <c r="J1361" s="17"/>
      <c r="K1361" s="17"/>
      <c r="L1361" s="17"/>
      <c r="M1361" s="17"/>
      <c r="N1361" s="17"/>
      <c r="O1361" s="17"/>
      <c r="P1361" s="44"/>
      <c r="AA1361" s="815"/>
    </row>
    <row r="1362" spans="2:27" ht="13.8" x14ac:dyDescent="0.25">
      <c r="B1362" s="17"/>
      <c r="C1362" s="338"/>
      <c r="D1362" s="1234" t="str">
        <f>Translations!$B$700</f>
        <v>Production details</v>
      </c>
      <c r="E1362" s="1176"/>
      <c r="F1362" s="1176"/>
      <c r="G1362" s="1176"/>
      <c r="H1362" s="1176"/>
      <c r="I1362" s="1176"/>
      <c r="J1362" s="1176"/>
      <c r="K1362" s="1176"/>
      <c r="L1362" s="1176"/>
      <c r="M1362" s="1176"/>
      <c r="N1362" s="1176"/>
      <c r="O1362" s="17"/>
      <c r="AA1362" s="815"/>
    </row>
    <row r="1363" spans="2:27" ht="5.0999999999999996" customHeight="1" x14ac:dyDescent="0.25">
      <c r="B1363" s="17"/>
      <c r="C1363" s="17"/>
      <c r="D1363" s="17"/>
      <c r="E1363" s="17"/>
      <c r="F1363" s="17"/>
      <c r="G1363" s="17"/>
      <c r="H1363" s="17"/>
      <c r="I1363" s="17"/>
      <c r="J1363" s="17"/>
      <c r="K1363" s="17"/>
      <c r="L1363" s="17"/>
      <c r="M1363" s="17"/>
      <c r="N1363" s="17"/>
      <c r="O1363" s="17"/>
      <c r="AA1363" s="815"/>
    </row>
    <row r="1364" spans="2:27" x14ac:dyDescent="0.25">
      <c r="B1364" s="17"/>
      <c r="C1364" s="15"/>
      <c r="D1364" s="15" t="s">
        <v>202</v>
      </c>
      <c r="E1364" s="1165" t="str">
        <f>Translations!$B$701</f>
        <v>Identification of products included in this product benchmark sub-installation</v>
      </c>
      <c r="F1364" s="1176"/>
      <c r="G1364" s="1176"/>
      <c r="H1364" s="1176"/>
      <c r="I1364" s="1176"/>
      <c r="J1364" s="1176"/>
      <c r="K1364" s="1176"/>
      <c r="L1364" s="1176"/>
      <c r="M1364" s="1176"/>
      <c r="N1364" s="1176"/>
      <c r="O1364" s="17"/>
      <c r="AA1364" s="815"/>
    </row>
    <row r="1365" spans="2:27" ht="13.2" customHeight="1" x14ac:dyDescent="0.25">
      <c r="B1365" s="17"/>
      <c r="C1365" s="17"/>
      <c r="D1365" s="17"/>
      <c r="E1365" s="1223" t="s">
        <v>443</v>
      </c>
      <c r="F1365" s="1176"/>
      <c r="G1365" s="1176"/>
      <c r="H1365" s="1176"/>
      <c r="I1365" s="1176"/>
      <c r="J1365" s="1176"/>
      <c r="K1365" s="1176"/>
      <c r="L1365" s="1176"/>
      <c r="M1365" s="1176"/>
      <c r="N1365" s="1176"/>
      <c r="O1365" s="17"/>
      <c r="AA1365" s="815"/>
    </row>
    <row r="1366" spans="2:27" x14ac:dyDescent="0.25">
      <c r="B1366" s="17"/>
      <c r="C1366" s="17"/>
      <c r="D1366" s="17"/>
      <c r="E1366" s="1554" t="s">
        <v>408</v>
      </c>
      <c r="F1366" s="1555"/>
      <c r="G1366" s="1555"/>
      <c r="H1366" s="1555"/>
      <c r="I1366" s="1555"/>
      <c r="J1366" s="1555"/>
      <c r="K1366" s="1555"/>
      <c r="L1366" s="1555"/>
      <c r="M1366" s="1555"/>
      <c r="N1366" s="1555"/>
      <c r="O1366" s="17"/>
      <c r="AA1366" s="815"/>
    </row>
    <row r="1367" spans="2:27" ht="5.0999999999999996" customHeight="1" x14ac:dyDescent="0.25">
      <c r="B1367" s="17"/>
      <c r="C1367" s="17"/>
      <c r="D1367" s="17"/>
      <c r="E1367" s="17"/>
      <c r="F1367" s="17"/>
      <c r="G1367" s="17"/>
      <c r="H1367" s="17"/>
      <c r="I1367" s="17"/>
      <c r="J1367" s="17"/>
      <c r="K1367" s="17"/>
      <c r="L1367" s="17"/>
      <c r="M1367" s="17"/>
      <c r="N1367" s="17"/>
      <c r="O1367" s="17"/>
      <c r="AA1367" s="815"/>
    </row>
    <row r="1368" spans="2:27" x14ac:dyDescent="0.25">
      <c r="B1368" s="17"/>
      <c r="C1368" s="15"/>
      <c r="D1368" s="15" t="s">
        <v>199</v>
      </c>
      <c r="E1368" s="1165" t="str">
        <f>Translations!$B$706</f>
        <v>Individual production levels of products included in this product benchmark sub-installation</v>
      </c>
      <c r="F1368" s="1176"/>
      <c r="G1368" s="1176"/>
      <c r="H1368" s="1176"/>
      <c r="I1368" s="1176"/>
      <c r="J1368" s="1176"/>
      <c r="K1368" s="1176"/>
      <c r="L1368" s="1176"/>
      <c r="M1368" s="1176"/>
      <c r="N1368" s="1176"/>
      <c r="O1368" s="17"/>
      <c r="AA1368" s="815"/>
    </row>
    <row r="1369" spans="2:27" ht="5.0999999999999996" customHeight="1" x14ac:dyDescent="0.25">
      <c r="B1369" s="17"/>
      <c r="C1369" s="17"/>
      <c r="D1369" s="17"/>
      <c r="E1369" s="884"/>
      <c r="F1369" s="884"/>
      <c r="G1369" s="884"/>
      <c r="H1369" s="884"/>
      <c r="I1369" s="884"/>
      <c r="J1369" s="77"/>
      <c r="K1369" s="77"/>
      <c r="L1369" s="77"/>
      <c r="M1369" s="17"/>
      <c r="N1369" s="17"/>
      <c r="O1369" s="17"/>
      <c r="AA1369" s="815"/>
    </row>
    <row r="1370" spans="2:27" ht="25.5" customHeight="1" x14ac:dyDescent="0.25">
      <c r="B1370" s="17"/>
      <c r="C1370" s="17"/>
      <c r="D1370" s="26"/>
      <c r="E1370" s="129" t="s">
        <v>409</v>
      </c>
      <c r="F1370" s="1556" t="str">
        <f>Translations!$B$707</f>
        <v>Name of product or group of products</v>
      </c>
      <c r="G1370" s="1557"/>
      <c r="H1370" s="461" t="str">
        <f>EUconst_Unit</f>
        <v>Unit</v>
      </c>
      <c r="I1370" s="128">
        <f>I$1882</f>
        <v>2019</v>
      </c>
      <c r="J1370" s="128">
        <f>J$1882</f>
        <v>2020</v>
      </c>
      <c r="K1370" s="128">
        <f>K$1882</f>
        <v>2021</v>
      </c>
      <c r="L1370" s="128">
        <f>L$1882</f>
        <v>2022</v>
      </c>
      <c r="M1370" s="128">
        <f>M$1882</f>
        <v>2023</v>
      </c>
      <c r="N1370" s="17"/>
      <c r="O1370" s="17"/>
      <c r="AA1370" s="815"/>
    </row>
    <row r="1371" spans="2:27" x14ac:dyDescent="0.25">
      <c r="B1371" s="17"/>
      <c r="C1371" s="17"/>
      <c r="D1371" s="222">
        <v>1</v>
      </c>
      <c r="E1371" s="602"/>
      <c r="F1371" s="1558"/>
      <c r="G1371" s="1559"/>
      <c r="H1371" s="322"/>
      <c r="I1371" s="889"/>
      <c r="J1371" s="889"/>
      <c r="K1371" s="889"/>
      <c r="L1371" s="889"/>
      <c r="M1371" s="889"/>
      <c r="N1371" s="17"/>
      <c r="O1371" s="17"/>
      <c r="AA1371" s="285" t="b">
        <f>AA1358</f>
        <v>0</v>
      </c>
    </row>
    <row r="1372" spans="2:27" x14ac:dyDescent="0.25">
      <c r="B1372" s="17"/>
      <c r="C1372" s="17"/>
      <c r="D1372" s="225">
        <f>D1371+1</f>
        <v>2</v>
      </c>
      <c r="E1372" s="760"/>
      <c r="F1372" s="1542"/>
      <c r="G1372" s="1543"/>
      <c r="H1372" s="936"/>
      <c r="I1372" s="892"/>
      <c r="J1372" s="892"/>
      <c r="K1372" s="892"/>
      <c r="L1372" s="892"/>
      <c r="M1372" s="892"/>
      <c r="N1372" s="17"/>
      <c r="O1372" s="17"/>
      <c r="AA1372" s="285" t="b">
        <f>AA1371</f>
        <v>0</v>
      </c>
    </row>
    <row r="1373" spans="2:27" x14ac:dyDescent="0.25">
      <c r="B1373" s="17"/>
      <c r="C1373" s="17"/>
      <c r="D1373" s="225">
        <f t="shared" ref="D1373:D1380" si="30">D1372+1</f>
        <v>3</v>
      </c>
      <c r="E1373" s="760"/>
      <c r="F1373" s="1542"/>
      <c r="G1373" s="1543"/>
      <c r="H1373" s="936"/>
      <c r="I1373" s="892"/>
      <c r="J1373" s="892"/>
      <c r="K1373" s="892"/>
      <c r="L1373" s="892"/>
      <c r="M1373" s="892"/>
      <c r="N1373" s="17"/>
      <c r="O1373" s="17"/>
      <c r="AA1373" s="285" t="b">
        <f t="shared" ref="AA1373:AA1381" si="31">AA1372</f>
        <v>0</v>
      </c>
    </row>
    <row r="1374" spans="2:27" x14ac:dyDescent="0.25">
      <c r="B1374" s="17"/>
      <c r="C1374" s="17"/>
      <c r="D1374" s="225">
        <f t="shared" si="30"/>
        <v>4</v>
      </c>
      <c r="E1374" s="760"/>
      <c r="F1374" s="1542"/>
      <c r="G1374" s="1543"/>
      <c r="H1374" s="936"/>
      <c r="I1374" s="892"/>
      <c r="J1374" s="892"/>
      <c r="K1374" s="892"/>
      <c r="L1374" s="892"/>
      <c r="M1374" s="892"/>
      <c r="N1374" s="17"/>
      <c r="O1374" s="17"/>
      <c r="AA1374" s="285" t="b">
        <f t="shared" si="31"/>
        <v>0</v>
      </c>
    </row>
    <row r="1375" spans="2:27" x14ac:dyDescent="0.25">
      <c r="B1375" s="17"/>
      <c r="C1375" s="17"/>
      <c r="D1375" s="225">
        <f t="shared" si="30"/>
        <v>5</v>
      </c>
      <c r="E1375" s="760"/>
      <c r="F1375" s="1542"/>
      <c r="G1375" s="1543"/>
      <c r="H1375" s="936"/>
      <c r="I1375" s="892"/>
      <c r="J1375" s="892"/>
      <c r="K1375" s="892"/>
      <c r="L1375" s="892"/>
      <c r="M1375" s="892"/>
      <c r="N1375" s="17"/>
      <c r="O1375" s="17"/>
      <c r="AA1375" s="285" t="b">
        <f t="shared" si="31"/>
        <v>0</v>
      </c>
    </row>
    <row r="1376" spans="2:27" x14ac:dyDescent="0.25">
      <c r="B1376" s="17"/>
      <c r="C1376" s="17"/>
      <c r="D1376" s="225">
        <f t="shared" si="30"/>
        <v>6</v>
      </c>
      <c r="E1376" s="760"/>
      <c r="F1376" s="1542"/>
      <c r="G1376" s="1543"/>
      <c r="H1376" s="936"/>
      <c r="I1376" s="892"/>
      <c r="J1376" s="892"/>
      <c r="K1376" s="892"/>
      <c r="L1376" s="892"/>
      <c r="M1376" s="892"/>
      <c r="N1376" s="17"/>
      <c r="O1376" s="17"/>
      <c r="AA1376" s="285" t="b">
        <f t="shared" si="31"/>
        <v>0</v>
      </c>
    </row>
    <row r="1377" spans="2:27" x14ac:dyDescent="0.25">
      <c r="B1377" s="17"/>
      <c r="C1377" s="17"/>
      <c r="D1377" s="225">
        <f t="shared" si="30"/>
        <v>7</v>
      </c>
      <c r="E1377" s="760"/>
      <c r="F1377" s="1542"/>
      <c r="G1377" s="1543"/>
      <c r="H1377" s="936"/>
      <c r="I1377" s="892"/>
      <c r="J1377" s="892"/>
      <c r="K1377" s="892"/>
      <c r="L1377" s="892"/>
      <c r="M1377" s="892"/>
      <c r="N1377" s="17"/>
      <c r="O1377" s="17"/>
      <c r="AA1377" s="285" t="b">
        <f t="shared" si="31"/>
        <v>0</v>
      </c>
    </row>
    <row r="1378" spans="2:27" x14ac:dyDescent="0.25">
      <c r="B1378" s="17"/>
      <c r="C1378" s="17"/>
      <c r="D1378" s="225">
        <f t="shared" si="30"/>
        <v>8</v>
      </c>
      <c r="E1378" s="760"/>
      <c r="F1378" s="1542"/>
      <c r="G1378" s="1543"/>
      <c r="H1378" s="936"/>
      <c r="I1378" s="892"/>
      <c r="J1378" s="892"/>
      <c r="K1378" s="892"/>
      <c r="L1378" s="892"/>
      <c r="M1378" s="892"/>
      <c r="N1378" s="17"/>
      <c r="O1378" s="17"/>
      <c r="AA1378" s="285" t="b">
        <f t="shared" si="31"/>
        <v>0</v>
      </c>
    </row>
    <row r="1379" spans="2:27" x14ac:dyDescent="0.25">
      <c r="B1379" s="17"/>
      <c r="C1379" s="17"/>
      <c r="D1379" s="225">
        <f t="shared" si="30"/>
        <v>9</v>
      </c>
      <c r="E1379" s="760"/>
      <c r="F1379" s="1542"/>
      <c r="G1379" s="1543"/>
      <c r="H1379" s="936"/>
      <c r="I1379" s="892"/>
      <c r="J1379" s="892"/>
      <c r="K1379" s="892"/>
      <c r="L1379" s="892"/>
      <c r="M1379" s="892"/>
      <c r="N1379" s="17"/>
      <c r="O1379" s="17"/>
      <c r="AA1379" s="285" t="b">
        <f t="shared" si="31"/>
        <v>0</v>
      </c>
    </row>
    <row r="1380" spans="2:27" x14ac:dyDescent="0.25">
      <c r="B1380" s="17"/>
      <c r="C1380" s="17"/>
      <c r="D1380" s="227">
        <f t="shared" si="30"/>
        <v>10</v>
      </c>
      <c r="E1380" s="761"/>
      <c r="F1380" s="1544"/>
      <c r="G1380" s="1545"/>
      <c r="H1380" s="937"/>
      <c r="I1380" s="895"/>
      <c r="J1380" s="895"/>
      <c r="K1380" s="895"/>
      <c r="L1380" s="895"/>
      <c r="M1380" s="895"/>
      <c r="N1380" s="17"/>
      <c r="O1380" s="17"/>
      <c r="AA1380" s="285" t="b">
        <f t="shared" si="31"/>
        <v>0</v>
      </c>
    </row>
    <row r="1381" spans="2:27" ht="12.75" customHeight="1" thickBot="1" x14ac:dyDescent="0.3">
      <c r="B1381" s="17"/>
      <c r="C1381" s="17"/>
      <c r="D1381" s="262"/>
      <c r="E1381" s="1546" t="str">
        <f>Translations!$B$708</f>
        <v>Sum of production levels</v>
      </c>
      <c r="F1381" s="1546"/>
      <c r="G1381" s="1546"/>
      <c r="H1381" s="1067"/>
      <c r="I1381" s="841" t="str">
        <f>IF(COUNT(I1371:I1380)&gt;0,SUM(I1371:I1380),"")</f>
        <v/>
      </c>
      <c r="J1381" s="841" t="str">
        <f>IF(COUNT(J1371:J1380)&gt;0,SUM(J1371:J1380),"")</f>
        <v/>
      </c>
      <c r="K1381" s="841" t="str">
        <f>IF(COUNT(K1371:K1380)&gt;0,SUM(K1371:K1380),"")</f>
        <v/>
      </c>
      <c r="L1381" s="841" t="str">
        <f>IF(COUNT(L1371:L1380)&gt;0,SUM(L1371:L1380),"")</f>
        <v/>
      </c>
      <c r="M1381" s="841" t="str">
        <f>IF(COUNT(M1371:M1380)&gt;0,SUM(M1371:M1380),"")</f>
        <v/>
      </c>
      <c r="N1381" s="17"/>
      <c r="O1381" s="17"/>
      <c r="AA1381" s="286" t="b">
        <f t="shared" si="31"/>
        <v>0</v>
      </c>
    </row>
    <row r="1382" spans="2:27" ht="12.75" customHeight="1" thickBot="1" x14ac:dyDescent="0.3">
      <c r="B1382" s="17"/>
      <c r="C1382" s="17"/>
      <c r="D1382" s="17"/>
      <c r="E1382" s="17"/>
      <c r="F1382" s="17"/>
      <c r="G1382" s="17"/>
      <c r="H1382" s="17"/>
      <c r="I1382" s="17"/>
      <c r="J1382" s="17"/>
      <c r="K1382" s="17"/>
      <c r="L1382" s="17"/>
      <c r="M1382" s="17"/>
      <c r="N1382" s="17"/>
      <c r="O1382" s="17"/>
    </row>
    <row r="1383" spans="2:27" ht="5.0999999999999996" customHeight="1" x14ac:dyDescent="0.25">
      <c r="B1383" s="17"/>
      <c r="C1383" s="938"/>
      <c r="D1383" s="462"/>
      <c r="E1383" s="462"/>
      <c r="F1383" s="462"/>
      <c r="G1383" s="462"/>
      <c r="H1383" s="462"/>
      <c r="I1383" s="462"/>
      <c r="J1383" s="462"/>
      <c r="K1383" s="462"/>
      <c r="L1383" s="462"/>
      <c r="M1383" s="462"/>
      <c r="N1383" s="463"/>
      <c r="O1383" s="17"/>
    </row>
    <row r="1384" spans="2:27" ht="15" customHeight="1" x14ac:dyDescent="0.25">
      <c r="B1384" s="17"/>
      <c r="C1384" s="900"/>
      <c r="D1384" s="1547" t="s">
        <v>410</v>
      </c>
      <c r="E1384" s="1512"/>
      <c r="F1384" s="1512"/>
      <c r="G1384" s="1512"/>
      <c r="H1384" s="1512"/>
      <c r="I1384" s="1512"/>
      <c r="J1384" s="1512"/>
      <c r="K1384" s="1512"/>
      <c r="L1384" s="1512"/>
      <c r="M1384" s="1512"/>
      <c r="N1384" s="1513"/>
      <c r="O1384" s="17"/>
    </row>
    <row r="1385" spans="2:27" ht="5.0999999999999996" customHeight="1" x14ac:dyDescent="0.25">
      <c r="B1385" s="17"/>
      <c r="C1385" s="900"/>
      <c r="D1385" s="342"/>
      <c r="E1385" s="342"/>
      <c r="F1385" s="342"/>
      <c r="G1385" s="342"/>
      <c r="H1385" s="342"/>
      <c r="I1385" s="342"/>
      <c r="J1385" s="342"/>
      <c r="K1385" s="342"/>
      <c r="L1385" s="342"/>
      <c r="M1385" s="342"/>
      <c r="N1385" s="266"/>
      <c r="O1385" s="17"/>
    </row>
    <row r="1386" spans="2:27" ht="15" customHeight="1" x14ac:dyDescent="0.25">
      <c r="B1386" s="17"/>
      <c r="C1386" s="900"/>
      <c r="D1386" s="1548" t="str">
        <f>EUconst_BMSubinst &amp; ":"</f>
        <v>Sub-installation with product benchmark:</v>
      </c>
      <c r="E1386" s="1512"/>
      <c r="F1386" s="1512"/>
      <c r="G1386" s="1512"/>
      <c r="H1386" s="1549"/>
      <c r="I1386" s="1550" t="str">
        <f>I1333</f>
        <v/>
      </c>
      <c r="J1386" s="1509"/>
      <c r="K1386" s="1509"/>
      <c r="L1386" s="1509"/>
      <c r="M1386" s="1509"/>
      <c r="N1386" s="1551"/>
      <c r="O1386" s="17"/>
    </row>
    <row r="1387" spans="2:27" ht="5.0999999999999996" customHeight="1" x14ac:dyDescent="0.25">
      <c r="B1387" s="17"/>
      <c r="C1387" s="900"/>
      <c r="D1387" s="342"/>
      <c r="E1387" s="342"/>
      <c r="F1387" s="342"/>
      <c r="G1387" s="342"/>
      <c r="H1387" s="342"/>
      <c r="I1387" s="342"/>
      <c r="J1387" s="342"/>
      <c r="K1387" s="342"/>
      <c r="L1387" s="342"/>
      <c r="M1387" s="342"/>
      <c r="N1387" s="266"/>
      <c r="O1387" s="17"/>
    </row>
    <row r="1388" spans="2:27" ht="15" customHeight="1" x14ac:dyDescent="0.25">
      <c r="B1388" s="17"/>
      <c r="C1388" s="900"/>
      <c r="D1388" s="342"/>
      <c r="E1388" s="1439" t="str">
        <f>Translations!$B$714</f>
        <v>Upon entries made below, the attributable emissions are calculated in section K.III.2 of the summary sheet.</v>
      </c>
      <c r="F1388" s="1439"/>
      <c r="G1388" s="1439"/>
      <c r="H1388" s="1439"/>
      <c r="I1388" s="1439"/>
      <c r="J1388" s="1439"/>
      <c r="K1388" s="1439"/>
      <c r="L1388" s="1439"/>
      <c r="M1388" s="1439"/>
      <c r="N1388" s="277"/>
      <c r="O1388" s="17"/>
    </row>
    <row r="1389" spans="2:27" ht="5.0999999999999996" customHeight="1" x14ac:dyDescent="0.25">
      <c r="B1389" s="17"/>
      <c r="C1389" s="900"/>
      <c r="D1389" s="342"/>
      <c r="E1389" s="342"/>
      <c r="F1389" s="342"/>
      <c r="G1389" s="342"/>
      <c r="H1389" s="342"/>
      <c r="I1389" s="342"/>
      <c r="J1389" s="342"/>
      <c r="K1389" s="342"/>
      <c r="L1389" s="342"/>
      <c r="M1389" s="342"/>
      <c r="N1389" s="266"/>
      <c r="O1389" s="17"/>
    </row>
    <row r="1390" spans="2:27" ht="12.75" customHeight="1" x14ac:dyDescent="0.25">
      <c r="B1390" s="17"/>
      <c r="C1390" s="900"/>
      <c r="D1390" s="157" t="s">
        <v>212</v>
      </c>
      <c r="E1390" s="1511" t="str">
        <f>Translations!$B$715</f>
        <v>Directly attributable emissions (DirEm* (MP source streams)) to this sub-installation</v>
      </c>
      <c r="F1390" s="1512"/>
      <c r="G1390" s="1512"/>
      <c r="H1390" s="1512"/>
      <c r="I1390" s="1512"/>
      <c r="J1390" s="1512"/>
      <c r="K1390" s="1512"/>
      <c r="L1390" s="1512"/>
      <c r="M1390" s="1512"/>
      <c r="N1390" s="1513"/>
      <c r="O1390" s="17"/>
    </row>
    <row r="1391" spans="2:27" ht="12.75" customHeight="1" thickBot="1" x14ac:dyDescent="0.3">
      <c r="B1391" s="17"/>
      <c r="C1391" s="900"/>
      <c r="D1391" s="342"/>
      <c r="E1391" s="1552"/>
      <c r="F1391" s="1552"/>
      <c r="G1391" s="1552"/>
      <c r="H1391" s="1552"/>
      <c r="I1391" s="1552"/>
      <c r="J1391" s="1552"/>
      <c r="K1391" s="1552"/>
      <c r="L1391" s="1552"/>
      <c r="M1391" s="1552"/>
      <c r="N1391" s="1553"/>
      <c r="O1391" s="17"/>
    </row>
    <row r="1392" spans="2:27" ht="12.75" customHeight="1" x14ac:dyDescent="0.25">
      <c r="B1392" s="17"/>
      <c r="C1392" s="900"/>
      <c r="D1392" s="157"/>
      <c r="E1392" s="1522" t="str">
        <f>Translations!$B$725</f>
        <v>Directly attributable emissions (DirEm*)</v>
      </c>
      <c r="F1392" s="1523"/>
      <c r="G1392" s="1523"/>
      <c r="H1392" s="152" t="str">
        <f>EUconst_Unit</f>
        <v>Unit</v>
      </c>
      <c r="I1392" s="153">
        <f>I$1882</f>
        <v>2019</v>
      </c>
      <c r="J1392" s="153">
        <f>J$1882</f>
        <v>2020</v>
      </c>
      <c r="K1392" s="153">
        <f>K$1882</f>
        <v>2021</v>
      </c>
      <c r="L1392" s="153">
        <f>L$1882</f>
        <v>2022</v>
      </c>
      <c r="M1392" s="153">
        <f>M$1882</f>
        <v>2023</v>
      </c>
      <c r="N1392" s="266"/>
      <c r="O1392" s="17"/>
      <c r="R1392" s="459"/>
      <c r="S1392" s="326">
        <f>I1392</f>
        <v>2019</v>
      </c>
      <c r="T1392" s="326">
        <f>J1392</f>
        <v>2020</v>
      </c>
      <c r="U1392" s="326">
        <f>K1392</f>
        <v>2021</v>
      </c>
      <c r="V1392" s="326">
        <f>L1392</f>
        <v>2022</v>
      </c>
      <c r="W1392" s="327">
        <f>M1392</f>
        <v>2023</v>
      </c>
    </row>
    <row r="1393" spans="2:27" ht="12.75" customHeight="1" thickBot="1" x14ac:dyDescent="0.3">
      <c r="B1393" s="17"/>
      <c r="C1393" s="900"/>
      <c r="D1393" s="342"/>
      <c r="E1393" s="1510" t="str">
        <f>I1333</f>
        <v/>
      </c>
      <c r="F1393" s="1510"/>
      <c r="G1393" s="1510"/>
      <c r="H1393" s="154" t="str">
        <f>EUconst_tCO2epa</f>
        <v>t CO2e/year</v>
      </c>
      <c r="I1393" s="293"/>
      <c r="J1393" s="293"/>
      <c r="K1393" s="293"/>
      <c r="L1393" s="293"/>
      <c r="M1393" s="293"/>
      <c r="N1393" s="266"/>
      <c r="O1393" s="17"/>
      <c r="P1393" s="63" t="str">
        <f>EUconst_CNTR_Emissions &amp; I1333</f>
        <v>DirEmissions_</v>
      </c>
      <c r="R1393" s="460" t="str">
        <f>EUconst_CNTR_AttributedEmissions &amp; I1333</f>
        <v>AttrEmissions_</v>
      </c>
      <c r="S1393" s="389" t="str">
        <f>IF(S1333,SUM(I1393),"")</f>
        <v/>
      </c>
      <c r="T1393" s="389" t="str">
        <f>IF(T1333,SUM(J1393),"")</f>
        <v/>
      </c>
      <c r="U1393" s="389" t="str">
        <f>IF(U1333,SUM(K1393),"")</f>
        <v/>
      </c>
      <c r="V1393" s="389" t="str">
        <f>IF(V1333,SUM(L1393),"")</f>
        <v/>
      </c>
      <c r="W1393" s="390" t="str">
        <f>IF(W1333,SUM(M1393),"")</f>
        <v/>
      </c>
    </row>
    <row r="1394" spans="2:27" ht="12.75" customHeight="1" x14ac:dyDescent="0.25">
      <c r="B1394" s="17"/>
      <c r="C1394" s="900"/>
      <c r="D1394" s="342"/>
      <c r="E1394" s="342"/>
      <c r="F1394" s="342"/>
      <c r="G1394" s="342"/>
      <c r="H1394" s="342"/>
      <c r="I1394" s="342"/>
      <c r="J1394" s="342"/>
      <c r="K1394" s="342"/>
      <c r="L1394" s="342"/>
      <c r="M1394" s="342"/>
      <c r="N1394" s="266"/>
      <c r="O1394" s="17"/>
    </row>
    <row r="1395" spans="2:27" ht="12.75" customHeight="1" x14ac:dyDescent="0.25">
      <c r="B1395" s="17"/>
      <c r="C1395" s="900"/>
      <c r="D1395" s="157" t="s">
        <v>218</v>
      </c>
      <c r="E1395" s="1529" t="str">
        <f>Translations!$B$726</f>
        <v>Fuel input to this sub-installation and relevant emission factor</v>
      </c>
      <c r="F1395" s="1529"/>
      <c r="G1395" s="1529"/>
      <c r="H1395" s="1529"/>
      <c r="I1395" s="1529"/>
      <c r="J1395" s="1529"/>
      <c r="K1395" s="1529"/>
      <c r="L1395" s="1529"/>
      <c r="M1395" s="1529"/>
      <c r="N1395" s="1534"/>
      <c r="O1395" s="17"/>
    </row>
    <row r="1396" spans="2:27" ht="12.75" customHeight="1" x14ac:dyDescent="0.25">
      <c r="B1396" s="17"/>
      <c r="C1396" s="900"/>
      <c r="D1396" s="157"/>
      <c r="E1396" s="1522"/>
      <c r="F1396" s="1523"/>
      <c r="G1396" s="1523"/>
      <c r="H1396" s="152" t="str">
        <f>EUconst_Unit</f>
        <v>Unit</v>
      </c>
      <c r="I1396" s="153">
        <f>I$1882</f>
        <v>2019</v>
      </c>
      <c r="J1396" s="153">
        <f>J$1882</f>
        <v>2020</v>
      </c>
      <c r="K1396" s="153">
        <f>K$1882</f>
        <v>2021</v>
      </c>
      <c r="L1396" s="153">
        <f>L$1882</f>
        <v>2022</v>
      </c>
      <c r="M1396" s="153">
        <f>M$1882</f>
        <v>2023</v>
      </c>
      <c r="N1396" s="266"/>
      <c r="O1396" s="17"/>
    </row>
    <row r="1397" spans="2:27" ht="12.75" customHeight="1" x14ac:dyDescent="0.25">
      <c r="B1397" s="17"/>
      <c r="C1397" s="900"/>
      <c r="D1397" s="193" t="s">
        <v>206</v>
      </c>
      <c r="E1397" s="1528" t="str">
        <f>Translations!$B$731</f>
        <v>Fuel input</v>
      </c>
      <c r="F1397" s="1528"/>
      <c r="G1397" s="1528"/>
      <c r="H1397" s="154" t="str">
        <f>EUconst_TJpa</f>
        <v>TJ / year</v>
      </c>
      <c r="I1397" s="293"/>
      <c r="J1397" s="293"/>
      <c r="K1397" s="293"/>
      <c r="L1397" s="293"/>
      <c r="M1397" s="293"/>
      <c r="N1397" s="277"/>
      <c r="O1397" s="17"/>
      <c r="P1397" s="63" t="str">
        <f>EUconst_CNTR_FuelInput &amp; I1333</f>
        <v>FuelInput_</v>
      </c>
    </row>
    <row r="1398" spans="2:27" ht="12.75" customHeight="1" x14ac:dyDescent="0.25">
      <c r="B1398" s="17"/>
      <c r="C1398" s="900"/>
      <c r="D1398" s="193" t="s">
        <v>208</v>
      </c>
      <c r="E1398" s="1523" t="str">
        <f>Translations!$B$732</f>
        <v>Weighted emission factor</v>
      </c>
      <c r="F1398" s="1523"/>
      <c r="G1398" s="1523"/>
      <c r="H1398" s="904" t="str">
        <f>EUconst_tCO2pTJ</f>
        <v>t CO2 / TJ</v>
      </c>
      <c r="I1398" s="865"/>
      <c r="J1398" s="865"/>
      <c r="K1398" s="865"/>
      <c r="L1398" s="865"/>
      <c r="M1398" s="865"/>
      <c r="N1398" s="266"/>
      <c r="O1398" s="17"/>
      <c r="P1398" s="63" t="str">
        <f>EUconst_CNTR_FuelEF &amp; I1333</f>
        <v>FuelEF_</v>
      </c>
    </row>
    <row r="1399" spans="2:27" ht="12.75" customHeight="1" x14ac:dyDescent="0.25">
      <c r="B1399" s="17"/>
      <c r="C1399" s="900"/>
      <c r="D1399" s="342"/>
      <c r="E1399" s="342"/>
      <c r="F1399" s="342"/>
      <c r="G1399" s="342"/>
      <c r="H1399" s="342"/>
      <c r="I1399" s="342"/>
      <c r="J1399" s="342"/>
      <c r="K1399" s="342"/>
      <c r="L1399" s="342"/>
      <c r="M1399" s="342"/>
      <c r="N1399" s="266"/>
      <c r="O1399" s="17"/>
    </row>
    <row r="1400" spans="2:27" ht="12.75" customHeight="1" thickBot="1" x14ac:dyDescent="0.3">
      <c r="B1400" s="17"/>
      <c r="C1400" s="900"/>
      <c r="D1400" s="157" t="s">
        <v>225</v>
      </c>
      <c r="E1400" s="1529" t="str">
        <f>Translations!$B$733</f>
        <v>Further internal source streams imported to or exported from this sub-installation</v>
      </c>
      <c r="F1400" s="1529"/>
      <c r="G1400" s="1529"/>
      <c r="H1400" s="1529"/>
      <c r="I1400" s="1529"/>
      <c r="J1400" s="1529"/>
      <c r="K1400" s="1529"/>
      <c r="L1400" s="1529"/>
      <c r="M1400" s="1529"/>
      <c r="N1400" s="1534"/>
      <c r="O1400" s="17"/>
    </row>
    <row r="1401" spans="2:27" ht="12.75" customHeight="1" thickBot="1" x14ac:dyDescent="0.3">
      <c r="B1401" s="17"/>
      <c r="C1401" s="900"/>
      <c r="D1401" s="193" t="s">
        <v>206</v>
      </c>
      <c r="E1401" s="1514" t="str">
        <f>Translations!$B$739</f>
        <v>Are further imported or exported internal source streams relevant for this sub-installation?</v>
      </c>
      <c r="F1401" s="1514"/>
      <c r="G1401" s="1514"/>
      <c r="H1401" s="1514"/>
      <c r="I1401" s="1514"/>
      <c r="J1401" s="1514"/>
      <c r="K1401" s="1515"/>
      <c r="L1401" s="194"/>
      <c r="M1401" s="762"/>
      <c r="N1401" s="763"/>
      <c r="O1401" s="17"/>
      <c r="W1401" s="288" t="s">
        <v>418</v>
      </c>
      <c r="X1401" s="215" t="b">
        <f>IF(AND(I1333&lt;&gt;"",ISBLANK(L1401)),EUconst_Error&amp;"BM"&amp;C1333,FALSE)</f>
        <v>0</v>
      </c>
    </row>
    <row r="1402" spans="2:27" ht="5.0999999999999996" customHeight="1" thickBot="1" x14ac:dyDescent="0.3">
      <c r="B1402" s="17"/>
      <c r="C1402" s="900"/>
      <c r="D1402" s="342"/>
      <c r="E1402" s="1533"/>
      <c r="F1402" s="1512"/>
      <c r="G1402" s="1512"/>
      <c r="H1402" s="1512"/>
      <c r="I1402" s="1512"/>
      <c r="J1402" s="1512"/>
      <c r="K1402" s="1512"/>
      <c r="L1402" s="1512"/>
      <c r="M1402" s="1512"/>
      <c r="N1402" s="1513"/>
      <c r="O1402" s="17"/>
      <c r="AA1402" s="145" t="s">
        <v>396</v>
      </c>
    </row>
    <row r="1403" spans="2:27" ht="12.75" customHeight="1" x14ac:dyDescent="0.25">
      <c r="B1403" s="17"/>
      <c r="C1403" s="900"/>
      <c r="D1403" s="193" t="s">
        <v>208</v>
      </c>
      <c r="E1403" s="1529" t="str">
        <f>Translations!$B$741</f>
        <v>Name of further source streams - 1:</v>
      </c>
      <c r="F1403" s="1529"/>
      <c r="G1403" s="1529"/>
      <c r="H1403" s="1529"/>
      <c r="I1403" s="1530"/>
      <c r="J1403" s="1531"/>
      <c r="K1403" s="1531"/>
      <c r="L1403" s="1531"/>
      <c r="M1403" s="1532"/>
      <c r="N1403" s="266"/>
      <c r="O1403" s="17"/>
      <c r="AA1403" s="316" t="b">
        <f>IF(I1333&lt;&gt;"",AND(L1401&lt;&gt;"",L1401=FALSE),FALSE)</f>
        <v>0</v>
      </c>
    </row>
    <row r="1404" spans="2:27" ht="5.0999999999999996" customHeight="1" x14ac:dyDescent="0.25">
      <c r="B1404" s="17"/>
      <c r="C1404" s="900"/>
      <c r="D1404" s="342"/>
      <c r="E1404" s="902"/>
      <c r="F1404" s="762"/>
      <c r="G1404" s="762"/>
      <c r="H1404" s="762"/>
      <c r="I1404" s="762"/>
      <c r="J1404" s="762"/>
      <c r="K1404" s="762"/>
      <c r="L1404" s="762"/>
      <c r="M1404" s="762"/>
      <c r="N1404" s="763"/>
      <c r="O1404" s="17"/>
      <c r="AA1404" s="815"/>
    </row>
    <row r="1405" spans="2:27" ht="12.75" customHeight="1" x14ac:dyDescent="0.25">
      <c r="B1405" s="17"/>
      <c r="C1405" s="900"/>
      <c r="D1405" s="342"/>
      <c r="E1405" s="1522" t="str">
        <f>Translations!$B$742</f>
        <v>Further source streams - 1</v>
      </c>
      <c r="F1405" s="1523"/>
      <c r="G1405" s="1523"/>
      <c r="H1405" s="152" t="str">
        <f>EUconst_Unit</f>
        <v>Unit</v>
      </c>
      <c r="I1405" s="153">
        <f>I$1882</f>
        <v>2019</v>
      </c>
      <c r="J1405" s="153">
        <f>J$1882</f>
        <v>2020</v>
      </c>
      <c r="K1405" s="153">
        <f>K$1882</f>
        <v>2021</v>
      </c>
      <c r="L1405" s="153">
        <f>L$1882</f>
        <v>2022</v>
      </c>
      <c r="M1405" s="153">
        <f>M$1882</f>
        <v>2023</v>
      </c>
      <c r="N1405" s="266"/>
      <c r="O1405" s="17"/>
      <c r="AA1405" s="815"/>
    </row>
    <row r="1406" spans="2:27" ht="12.75" customHeight="1" x14ac:dyDescent="0.25">
      <c r="B1406" s="17"/>
      <c r="C1406" s="900"/>
      <c r="D1406" s="193" t="s">
        <v>209</v>
      </c>
      <c r="E1406" s="1526" t="str">
        <f>Translations!$B$743</f>
        <v>Amount imported or exported</v>
      </c>
      <c r="F1406" s="1526"/>
      <c r="G1406" s="1526"/>
      <c r="H1406" s="939" t="str">
        <f>EUconst_tpa</f>
        <v>t / year</v>
      </c>
      <c r="I1406" s="825"/>
      <c r="J1406" s="825"/>
      <c r="K1406" s="825"/>
      <c r="L1406" s="825"/>
      <c r="M1406" s="825"/>
      <c r="N1406" s="266"/>
      <c r="O1406" s="17"/>
      <c r="AA1406" s="285" t="b">
        <f>AA1403</f>
        <v>0</v>
      </c>
    </row>
    <row r="1407" spans="2:27" ht="12.75" customHeight="1" x14ac:dyDescent="0.25">
      <c r="B1407" s="17"/>
      <c r="C1407" s="900"/>
      <c r="D1407" s="193" t="s">
        <v>210</v>
      </c>
      <c r="E1407" s="1540" t="str">
        <f>Translations!$B$744</f>
        <v>Net calorific value (NCV), if applicable</v>
      </c>
      <c r="F1407" s="1540"/>
      <c r="G1407" s="1540"/>
      <c r="H1407" s="940" t="str">
        <f>EUconst_GJpt</f>
        <v>GJ / t</v>
      </c>
      <c r="I1407" s="296"/>
      <c r="J1407" s="296"/>
      <c r="K1407" s="296"/>
      <c r="L1407" s="296"/>
      <c r="M1407" s="296"/>
      <c r="N1407" s="266"/>
      <c r="O1407" s="17"/>
      <c r="AA1407" s="285" t="b">
        <f>AA1406</f>
        <v>0</v>
      </c>
    </row>
    <row r="1408" spans="2:27" ht="12.75" customHeight="1" thickBot="1" x14ac:dyDescent="0.3">
      <c r="B1408" s="17"/>
      <c r="C1408" s="900"/>
      <c r="D1408" s="193" t="s">
        <v>220</v>
      </c>
      <c r="E1408" s="1540" t="str">
        <f>Translations!$B$745</f>
        <v>Carbon content (mass %)</v>
      </c>
      <c r="F1408" s="1540"/>
      <c r="G1408" s="1540"/>
      <c r="H1408" s="941" t="s">
        <v>419</v>
      </c>
      <c r="I1408" s="296"/>
      <c r="J1408" s="296"/>
      <c r="K1408" s="296"/>
      <c r="L1408" s="296"/>
      <c r="M1408" s="296"/>
      <c r="N1408" s="266"/>
      <c r="O1408" s="17"/>
      <c r="AA1408" s="285" t="b">
        <f>AA1407</f>
        <v>0</v>
      </c>
    </row>
    <row r="1409" spans="2:27" ht="12.75" customHeight="1" x14ac:dyDescent="0.25">
      <c r="B1409" s="17"/>
      <c r="C1409" s="900"/>
      <c r="D1409" s="193" t="s">
        <v>221</v>
      </c>
      <c r="E1409" s="1527" t="str">
        <f>Translations!$B$746</f>
        <v>Biomass content (as fraction of carbon)</v>
      </c>
      <c r="F1409" s="1527"/>
      <c r="G1409" s="1527"/>
      <c r="H1409" s="343" t="s">
        <v>419</v>
      </c>
      <c r="I1409" s="826"/>
      <c r="J1409" s="826"/>
      <c r="K1409" s="826"/>
      <c r="L1409" s="826"/>
      <c r="M1409" s="826"/>
      <c r="N1409" s="266"/>
      <c r="O1409" s="17"/>
      <c r="R1409" s="459"/>
      <c r="S1409" s="326">
        <f>I1405</f>
        <v>2019</v>
      </c>
      <c r="T1409" s="326">
        <f>J1405</f>
        <v>2020</v>
      </c>
      <c r="U1409" s="326">
        <f>K1405</f>
        <v>2021</v>
      </c>
      <c r="V1409" s="326">
        <f>L1405</f>
        <v>2022</v>
      </c>
      <c r="W1409" s="327">
        <f>M1405</f>
        <v>2023</v>
      </c>
      <c r="AA1409" s="285" t="b">
        <f>AA1408</f>
        <v>0</v>
      </c>
    </row>
    <row r="1410" spans="2:27" ht="12.75" customHeight="1" thickBot="1" x14ac:dyDescent="0.3">
      <c r="B1410" s="17"/>
      <c r="C1410" s="900"/>
      <c r="D1410" s="193" t="s">
        <v>222</v>
      </c>
      <c r="E1410" s="1526" t="str">
        <f>Translations!$B$747</f>
        <v>Emissions (fossil, calculated)</v>
      </c>
      <c r="F1410" s="1526"/>
      <c r="G1410" s="1526"/>
      <c r="H1410" s="942" t="str">
        <f>EUconst_tCO2pa</f>
        <v>t CO2 / year</v>
      </c>
      <c r="I1410" s="943" t="str">
        <f>IF(AND(COUNT(I1406:I1409)&gt;0,I1413=""),3.664*I1406*(I1408/100)*(1-I1409/100),"")</f>
        <v/>
      </c>
      <c r="J1410" s="943" t="str">
        <f>IF(AND(COUNT(J1406:J1409)&gt;0,J1413=""),3.664*J1406*(J1408/100)*(1-J1409/100),"")</f>
        <v/>
      </c>
      <c r="K1410" s="943" t="str">
        <f>IF(AND(COUNT(K1406:K1409)&gt;0,K1413=""),3.664*K1406*(K1408/100)*(1-K1409/100),"")</f>
        <v/>
      </c>
      <c r="L1410" s="943" t="str">
        <f>IF(AND(COUNT(L1406:L1409)&gt;0,L1413=""),3.664*L1406*(L1408/100)*(1-L1409/100),"")</f>
        <v/>
      </c>
      <c r="M1410" s="943" t="str">
        <f>IF(AND(COUNT(M1406:M1409)&gt;0,M1413=""),3.664*M1406*(M1408/100)*(1-M1409/100),"")</f>
        <v/>
      </c>
      <c r="N1410" s="266"/>
      <c r="O1410" s="17"/>
      <c r="P1410" s="63" t="str">
        <f>EUconst_CNTR_EmissionsIntSource1 &amp; I1333</f>
        <v>EmInternalSource1_</v>
      </c>
      <c r="R1410" s="460" t="str">
        <f>EUconst_CNTR_AttributedEmissions &amp; I1333</f>
        <v>AttrEmissions_</v>
      </c>
      <c r="S1410" s="389" t="str">
        <f>IF(S1333,SUM(I1410),"")</f>
        <v/>
      </c>
      <c r="T1410" s="389" t="str">
        <f>IF(T1333,SUM(J1410),"")</f>
        <v/>
      </c>
      <c r="U1410" s="389" t="str">
        <f>IF(U1333,SUM(K1410),"")</f>
        <v/>
      </c>
      <c r="V1410" s="389" t="str">
        <f>IF(V1333,SUM(L1410),"")</f>
        <v/>
      </c>
      <c r="W1410" s="390" t="str">
        <f>IF(W1333,SUM(M1410),"")</f>
        <v/>
      </c>
      <c r="AA1410" s="815"/>
    </row>
    <row r="1411" spans="2:27" ht="12.75" customHeight="1" x14ac:dyDescent="0.25">
      <c r="B1411" s="17"/>
      <c r="C1411" s="900"/>
      <c r="D1411" s="193" t="s">
        <v>223</v>
      </c>
      <c r="E1411" s="1540" t="str">
        <f>Translations!$B$748</f>
        <v>Memo-Item: Biomass emissions</v>
      </c>
      <c r="F1411" s="1540"/>
      <c r="G1411" s="1540"/>
      <c r="H1411" s="944" t="str">
        <f>EUconst_tCO2pa</f>
        <v>t CO2 / year</v>
      </c>
      <c r="I1411" s="945" t="str">
        <f>IF(ISNUMBER(I1410),3.664*I1406*(I1408/100)*(I1409/100),"")</f>
        <v/>
      </c>
      <c r="J1411" s="945" t="str">
        <f>IF(ISNUMBER(J1410),3.664*J1406*(J1408/100)*(J1409/100),"")</f>
        <v/>
      </c>
      <c r="K1411" s="945" t="str">
        <f>IF(ISNUMBER(K1410),3.664*K1406*(K1408/100)*(K1409/100),"")</f>
        <v/>
      </c>
      <c r="L1411" s="945" t="str">
        <f>IF(ISNUMBER(L1410),3.664*L1406*(L1408/100)*(L1409/100),"")</f>
        <v/>
      </c>
      <c r="M1411" s="945" t="str">
        <f>IF(ISNUMBER(M1410),3.664*M1406*(M1408/100)*(M1409/100),"")</f>
        <v/>
      </c>
      <c r="N1411" s="266"/>
      <c r="O1411" s="17"/>
      <c r="AA1411" s="815"/>
    </row>
    <row r="1412" spans="2:27" ht="12.75" customHeight="1" x14ac:dyDescent="0.25">
      <c r="B1412" s="17"/>
      <c r="C1412" s="900"/>
      <c r="D1412" s="193" t="s">
        <v>224</v>
      </c>
      <c r="E1412" s="1527" t="str">
        <f>Translations!$B$749</f>
        <v>Energy content (calculated)</v>
      </c>
      <c r="F1412" s="1527"/>
      <c r="G1412" s="1527"/>
      <c r="H1412" s="946" t="str">
        <f>EUconst_TJpa</f>
        <v>TJ / year</v>
      </c>
      <c r="I1412" s="841" t="str">
        <f>IF(COUNT(I1406:I1407)=2,I1406*I1407/1000,"")</f>
        <v/>
      </c>
      <c r="J1412" s="841" t="str">
        <f>IF(COUNT(J1406:J1407)=2,J1406*J1407/1000,"")</f>
        <v/>
      </c>
      <c r="K1412" s="841" t="str">
        <f>IF(COUNT(K1406:K1407)=2,K1406*K1407/1000,"")</f>
        <v/>
      </c>
      <c r="L1412" s="841" t="str">
        <f>IF(COUNT(L1406:L1407)=2,L1406*L1407/1000,"")</f>
        <v/>
      </c>
      <c r="M1412" s="841" t="str">
        <f>IF(COUNT(M1406:M1407)=2,M1406*M1407/1000,"")</f>
        <v/>
      </c>
      <c r="N1412" s="266"/>
      <c r="O1412" s="17"/>
      <c r="AA1412" s="815"/>
    </row>
    <row r="1413" spans="2:27" ht="12.75" customHeight="1" x14ac:dyDescent="0.25">
      <c r="B1413" s="17"/>
      <c r="C1413" s="900"/>
      <c r="D1413" s="193" t="s">
        <v>345</v>
      </c>
      <c r="E1413" s="1541" t="str">
        <f>Translations!$B$750</f>
        <v>Error messages (emissions)</v>
      </c>
      <c r="F1413" s="1541"/>
      <c r="G1413" s="1541"/>
      <c r="H1413" s="947"/>
      <c r="I1413" s="267" t="str">
        <f>IF(COUNT(I1406,I1408:I1409)&gt;0,IF(COUNTIF(I1407:I1409,"&lt;0")&gt;0,EUconst_Negative,IF(COUNT(I1406,I1408:I1409)&lt;3,EUconst_Incomplete,"")),"")</f>
        <v/>
      </c>
      <c r="J1413" s="267" t="str">
        <f>IF(COUNT(J1406,J1408:J1409)&gt;0,IF(COUNTIF(J1407:J1409,"&lt;0")&gt;0,EUconst_Negative,IF(COUNT(J1406,J1408:J1409)&lt;3,EUconst_Incomplete,"")),"")</f>
        <v/>
      </c>
      <c r="K1413" s="267" t="str">
        <f>IF(COUNT(K1406,K1408:K1409)&gt;0,IF(COUNTIF(K1407:K1409,"&lt;0")&gt;0,EUconst_Negative,IF(COUNT(K1406,K1408:K1409)&lt;3,EUconst_Incomplete,"")),"")</f>
        <v/>
      </c>
      <c r="L1413" s="267" t="str">
        <f>IF(COUNT(L1406,L1408:L1409)&gt;0,IF(COUNTIF(L1407:L1409,"&lt;0")&gt;0,EUconst_Negative,IF(COUNT(L1406,L1408:L1409)&lt;3,EUconst_Incomplete,"")),"")</f>
        <v/>
      </c>
      <c r="M1413" s="267" t="str">
        <f>IF(COUNT(M1406,M1408:M1409)&gt;0,IF(COUNTIF(M1407:M1409,"&lt;0")&gt;0,EUconst_Negative,IF(COUNT(M1406,M1408:M1409)&lt;3,EUconst_Incomplete,"")),"")</f>
        <v/>
      </c>
      <c r="N1413" s="266"/>
      <c r="O1413" s="17"/>
      <c r="AA1413" s="815"/>
    </row>
    <row r="1414" spans="2:27" ht="12.75" customHeight="1" x14ac:dyDescent="0.25">
      <c r="B1414" s="17"/>
      <c r="C1414" s="900"/>
      <c r="D1414" s="193"/>
      <c r="E1414" s="342"/>
      <c r="F1414" s="342"/>
      <c r="G1414" s="342"/>
      <c r="H1414" s="342"/>
      <c r="I1414" s="342"/>
      <c r="J1414" s="342"/>
      <c r="K1414" s="342"/>
      <c r="L1414" s="342"/>
      <c r="M1414" s="342"/>
      <c r="N1414" s="266"/>
      <c r="O1414" s="17"/>
      <c r="AA1414" s="815"/>
    </row>
    <row r="1415" spans="2:27" ht="12.75" customHeight="1" x14ac:dyDescent="0.25">
      <c r="B1415" s="17"/>
      <c r="C1415" s="900"/>
      <c r="D1415" s="193" t="s">
        <v>346</v>
      </c>
      <c r="E1415" s="1529" t="str">
        <f>Translations!$B$751</f>
        <v>Name of further source streams - 2:</v>
      </c>
      <c r="F1415" s="1529"/>
      <c r="G1415" s="1529"/>
      <c r="H1415" s="1529"/>
      <c r="I1415" s="1530"/>
      <c r="J1415" s="1531"/>
      <c r="K1415" s="1531"/>
      <c r="L1415" s="1531"/>
      <c r="M1415" s="1532"/>
      <c r="N1415" s="763"/>
      <c r="O1415" s="17"/>
      <c r="AA1415" s="285" t="b">
        <f>AA1403</f>
        <v>0</v>
      </c>
    </row>
    <row r="1416" spans="2:27" ht="5.0999999999999996" customHeight="1" x14ac:dyDescent="0.25">
      <c r="B1416" s="17"/>
      <c r="C1416" s="900"/>
      <c r="D1416" s="342"/>
      <c r="E1416" s="902"/>
      <c r="F1416" s="762"/>
      <c r="G1416" s="762"/>
      <c r="H1416" s="762"/>
      <c r="I1416" s="762"/>
      <c r="J1416" s="762"/>
      <c r="K1416" s="762"/>
      <c r="L1416" s="762"/>
      <c r="M1416" s="762"/>
      <c r="N1416" s="763"/>
      <c r="O1416" s="17"/>
      <c r="AA1416" s="815"/>
    </row>
    <row r="1417" spans="2:27" ht="12.75" customHeight="1" x14ac:dyDescent="0.25">
      <c r="B1417" s="17"/>
      <c r="C1417" s="900"/>
      <c r="D1417" s="193"/>
      <c r="E1417" s="1522" t="str">
        <f>Translations!$B$752</f>
        <v>Further source streams - 2</v>
      </c>
      <c r="F1417" s="1523"/>
      <c r="G1417" s="1523"/>
      <c r="H1417" s="152" t="str">
        <f>EUconst_Unit</f>
        <v>Unit</v>
      </c>
      <c r="I1417" s="153">
        <f>I$1882</f>
        <v>2019</v>
      </c>
      <c r="J1417" s="153">
        <f>J$1882</f>
        <v>2020</v>
      </c>
      <c r="K1417" s="153">
        <f>K$1882</f>
        <v>2021</v>
      </c>
      <c r="L1417" s="153">
        <f>L$1882</f>
        <v>2022</v>
      </c>
      <c r="M1417" s="153">
        <f>M$1882</f>
        <v>2023</v>
      </c>
      <c r="N1417" s="266"/>
      <c r="O1417" s="17"/>
      <c r="AA1417" s="815"/>
    </row>
    <row r="1418" spans="2:27" ht="12.75" customHeight="1" x14ac:dyDescent="0.25">
      <c r="B1418" s="17"/>
      <c r="C1418" s="900"/>
      <c r="D1418" s="193" t="s">
        <v>347</v>
      </c>
      <c r="E1418" s="1526" t="str">
        <f>Translations!$B$743</f>
        <v>Amount imported or exported</v>
      </c>
      <c r="F1418" s="1526"/>
      <c r="G1418" s="1526"/>
      <c r="H1418" s="939" t="str">
        <f>EUconst_tpa</f>
        <v>t / year</v>
      </c>
      <c r="I1418" s="825"/>
      <c r="J1418" s="825"/>
      <c r="K1418" s="825"/>
      <c r="L1418" s="825"/>
      <c r="M1418" s="825"/>
      <c r="N1418" s="266"/>
      <c r="O1418" s="17"/>
      <c r="AA1418" s="285" t="b">
        <f>AA1415</f>
        <v>0</v>
      </c>
    </row>
    <row r="1419" spans="2:27" ht="12.75" customHeight="1" x14ac:dyDescent="0.25">
      <c r="B1419" s="17"/>
      <c r="C1419" s="900"/>
      <c r="D1419" s="193" t="s">
        <v>355</v>
      </c>
      <c r="E1419" s="1540" t="str">
        <f>Translations!$B$744</f>
        <v>Net calorific value (NCV), if applicable</v>
      </c>
      <c r="F1419" s="1540"/>
      <c r="G1419" s="1540"/>
      <c r="H1419" s="940" t="str">
        <f>EUconst_GJpt</f>
        <v>GJ / t</v>
      </c>
      <c r="I1419" s="296"/>
      <c r="J1419" s="296"/>
      <c r="K1419" s="296"/>
      <c r="L1419" s="296"/>
      <c r="M1419" s="296"/>
      <c r="N1419" s="266"/>
      <c r="O1419" s="17"/>
      <c r="AA1419" s="285" t="b">
        <f>AA1418</f>
        <v>0</v>
      </c>
    </row>
    <row r="1420" spans="2:27" ht="12.75" customHeight="1" thickBot="1" x14ac:dyDescent="0.3">
      <c r="B1420" s="17"/>
      <c r="C1420" s="900"/>
      <c r="D1420" s="193" t="s">
        <v>356</v>
      </c>
      <c r="E1420" s="1540" t="str">
        <f>Translations!$B$745</f>
        <v>Carbon content (mass %)</v>
      </c>
      <c r="F1420" s="1540"/>
      <c r="G1420" s="1540"/>
      <c r="H1420" s="941" t="s">
        <v>419</v>
      </c>
      <c r="I1420" s="296"/>
      <c r="J1420" s="296"/>
      <c r="K1420" s="296"/>
      <c r="L1420" s="296"/>
      <c r="M1420" s="296"/>
      <c r="N1420" s="266"/>
      <c r="O1420" s="17"/>
      <c r="AA1420" s="285" t="b">
        <f>AA1419</f>
        <v>0</v>
      </c>
    </row>
    <row r="1421" spans="2:27" ht="12.75" customHeight="1" thickBot="1" x14ac:dyDescent="0.3">
      <c r="B1421" s="17"/>
      <c r="C1421" s="900"/>
      <c r="D1421" s="193" t="s">
        <v>420</v>
      </c>
      <c r="E1421" s="1527" t="str">
        <f>Translations!$B$746</f>
        <v>Biomass content (as fraction of carbon)</v>
      </c>
      <c r="F1421" s="1527"/>
      <c r="G1421" s="1527"/>
      <c r="H1421" s="343" t="s">
        <v>419</v>
      </c>
      <c r="I1421" s="826"/>
      <c r="J1421" s="826"/>
      <c r="K1421" s="826"/>
      <c r="L1421" s="826"/>
      <c r="M1421" s="826"/>
      <c r="N1421" s="266"/>
      <c r="O1421" s="17"/>
      <c r="R1421" s="459"/>
      <c r="S1421" s="326">
        <f>I1417</f>
        <v>2019</v>
      </c>
      <c r="T1421" s="326">
        <f>J1417</f>
        <v>2020</v>
      </c>
      <c r="U1421" s="326">
        <f>K1417</f>
        <v>2021</v>
      </c>
      <c r="V1421" s="326">
        <f>L1417</f>
        <v>2022</v>
      </c>
      <c r="W1421" s="327">
        <f>M1417</f>
        <v>2023</v>
      </c>
      <c r="AA1421" s="286" t="b">
        <f>AA1420</f>
        <v>0</v>
      </c>
    </row>
    <row r="1422" spans="2:27" ht="12.75" customHeight="1" thickBot="1" x14ac:dyDescent="0.3">
      <c r="B1422" s="17"/>
      <c r="C1422" s="900"/>
      <c r="D1422" s="193" t="s">
        <v>421</v>
      </c>
      <c r="E1422" s="1526" t="str">
        <f>Translations!$B$747</f>
        <v>Emissions (fossil, calculated)</v>
      </c>
      <c r="F1422" s="1526"/>
      <c r="G1422" s="1526"/>
      <c r="H1422" s="942" t="str">
        <f>EUconst_tCO2pa</f>
        <v>t CO2 / year</v>
      </c>
      <c r="I1422" s="943" t="str">
        <f>IF(AND(COUNT(I1418:I1421)&gt;0,I1425=""),3.664*I1418*(I1420/100)*(1-I1421/100),"")</f>
        <v/>
      </c>
      <c r="J1422" s="943" t="str">
        <f>IF(AND(COUNT(J1418:J1421)&gt;0,J1425=""),3.664*J1418*(J1420/100)*(1-J1421/100),"")</f>
        <v/>
      </c>
      <c r="K1422" s="943" t="str">
        <f>IF(AND(COUNT(K1418:K1421)&gt;0,K1425=""),3.664*K1418*(K1420/100)*(1-K1421/100),"")</f>
        <v/>
      </c>
      <c r="L1422" s="943" t="str">
        <f>IF(AND(COUNT(L1418:L1421)&gt;0,L1425=""),3.664*L1418*(L1420/100)*(1-L1421/100),"")</f>
        <v/>
      </c>
      <c r="M1422" s="943" t="str">
        <f>IF(AND(COUNT(M1418:M1421)&gt;0,M1425=""),3.664*M1418*(M1420/100)*(1-M1421/100),"")</f>
        <v/>
      </c>
      <c r="N1422" s="266"/>
      <c r="O1422" s="17"/>
      <c r="P1422" s="63" t="str">
        <f>EUconst_CNTR_EmissionsIntSource2 &amp; I1333</f>
        <v>EmInternalSource2_</v>
      </c>
      <c r="R1422" s="460" t="str">
        <f>EUconst_CNTR_AttributedEmissions &amp; I1333</f>
        <v>AttrEmissions_</v>
      </c>
      <c r="S1422" s="389" t="str">
        <f>IF(S1333,SUM(I1422),"")</f>
        <v/>
      </c>
      <c r="T1422" s="389" t="str">
        <f>IF(T1333,SUM(J1422),"")</f>
        <v/>
      </c>
      <c r="U1422" s="389" t="str">
        <f>IF(U1333,SUM(K1422),"")</f>
        <v/>
      </c>
      <c r="V1422" s="389" t="str">
        <f>IF(V1333,SUM(L1422),"")</f>
        <v/>
      </c>
      <c r="W1422" s="390" t="str">
        <f>IF(W1333,SUM(M1422),"")</f>
        <v/>
      </c>
    </row>
    <row r="1423" spans="2:27" ht="12.75" customHeight="1" x14ac:dyDescent="0.25">
      <c r="B1423" s="17"/>
      <c r="C1423" s="900"/>
      <c r="D1423" s="193" t="s">
        <v>422</v>
      </c>
      <c r="E1423" s="1540" t="str">
        <f>Translations!$B$748</f>
        <v>Memo-Item: Biomass emissions</v>
      </c>
      <c r="F1423" s="1540"/>
      <c r="G1423" s="1540"/>
      <c r="H1423" s="944" t="str">
        <f>EUconst_tCO2pa</f>
        <v>t CO2 / year</v>
      </c>
      <c r="I1423" s="945" t="str">
        <f>IF(ISNUMBER(I1422),3.664*I1418*(I1420/100)*(I1421/100),"")</f>
        <v/>
      </c>
      <c r="J1423" s="945" t="str">
        <f>IF(ISNUMBER(J1422),3.664*J1418*(J1420/100)*(J1421/100),"")</f>
        <v/>
      </c>
      <c r="K1423" s="945" t="str">
        <f>IF(ISNUMBER(K1422),3.664*K1418*(K1420/100)*(K1421/100),"")</f>
        <v/>
      </c>
      <c r="L1423" s="945" t="str">
        <f>IF(ISNUMBER(L1422),3.664*L1418*(L1420/100)*(L1421/100),"")</f>
        <v/>
      </c>
      <c r="M1423" s="945" t="str">
        <f>IF(ISNUMBER(M1422),3.664*M1418*(M1420/100)*(M1421/100),"")</f>
        <v/>
      </c>
      <c r="N1423" s="266"/>
      <c r="O1423" s="17"/>
    </row>
    <row r="1424" spans="2:27" ht="12.75" customHeight="1" x14ac:dyDescent="0.25">
      <c r="B1424" s="17"/>
      <c r="C1424" s="900"/>
      <c r="D1424" s="193" t="s">
        <v>423</v>
      </c>
      <c r="E1424" s="1527" t="str">
        <f>Translations!$B$749</f>
        <v>Energy content (calculated)</v>
      </c>
      <c r="F1424" s="1527"/>
      <c r="G1424" s="1527"/>
      <c r="H1424" s="946" t="str">
        <f>EUconst_TJpa</f>
        <v>TJ / year</v>
      </c>
      <c r="I1424" s="841" t="str">
        <f>IF(COUNT(I1418:I1419)=2,I1418*I1419/1000,"")</f>
        <v/>
      </c>
      <c r="J1424" s="841" t="str">
        <f>IF(COUNT(J1418:J1419)=2,J1418*J1419/1000,"")</f>
        <v/>
      </c>
      <c r="K1424" s="841" t="str">
        <f>IF(COUNT(K1418:K1419)=2,K1418*K1419/1000,"")</f>
        <v/>
      </c>
      <c r="L1424" s="841" t="str">
        <f>IF(COUNT(L1418:L1419)=2,L1418*L1419/1000,"")</f>
        <v/>
      </c>
      <c r="M1424" s="841" t="str">
        <f>IF(COUNT(M1418:M1419)=2,M1418*M1419/1000,"")</f>
        <v/>
      </c>
      <c r="N1424" s="266"/>
      <c r="O1424" s="17"/>
    </row>
    <row r="1425" spans="2:24" ht="12.75" customHeight="1" x14ac:dyDescent="0.25">
      <c r="B1425" s="17"/>
      <c r="C1425" s="900"/>
      <c r="D1425" s="193" t="s">
        <v>356</v>
      </c>
      <c r="E1425" s="1541" t="str">
        <f>Translations!$B$750</f>
        <v>Error messages (emissions)</v>
      </c>
      <c r="F1425" s="1541"/>
      <c r="G1425" s="1541"/>
      <c r="H1425" s="947"/>
      <c r="I1425" s="267" t="str">
        <f>IF(COUNT(I1418,I1420:I1421)&gt;0,IF(COUNTIF(I1419:I1421,"&lt;0")&gt;0,EUconst_Negative,IF(COUNT(I1418,I1420:I1421)&lt;3,EUconst_Incomplete,"")),"")</f>
        <v/>
      </c>
      <c r="J1425" s="267" t="str">
        <f>IF(COUNT(J1418,J1420:J1421)&gt;0,IF(COUNTIF(J1419:J1421,"&lt;0")&gt;0,EUconst_Negative,IF(COUNT(J1418,J1420:J1421)&lt;3,EUconst_Incomplete,"")),"")</f>
        <v/>
      </c>
      <c r="K1425" s="267" t="str">
        <f>IF(COUNT(K1418,K1420:K1421)&gt;0,IF(COUNTIF(K1419:K1421,"&lt;0")&gt;0,EUconst_Negative,IF(COUNT(K1418,K1420:K1421)&lt;3,EUconst_Incomplete,"")),"")</f>
        <v/>
      </c>
      <c r="L1425" s="267" t="str">
        <f>IF(COUNT(L1418,L1420:L1421)&gt;0,IF(COUNTIF(L1419:L1421,"&lt;0")&gt;0,EUconst_Negative,IF(COUNT(L1418,L1420:L1421)&lt;3,EUconst_Incomplete,"")),"")</f>
        <v/>
      </c>
      <c r="M1425" s="267" t="str">
        <f>IF(COUNT(M1418,M1420:M1421)&gt;0,IF(COUNTIF(M1419:M1421,"&lt;0")&gt;0,EUconst_Negative,IF(COUNT(M1418,M1420:M1421)&lt;3,EUconst_Incomplete,"")),"")</f>
        <v/>
      </c>
      <c r="N1425" s="266"/>
      <c r="O1425" s="17"/>
    </row>
    <row r="1426" spans="2:24" ht="12.75" customHeight="1" x14ac:dyDescent="0.25">
      <c r="B1426" s="17"/>
      <c r="C1426" s="900"/>
      <c r="D1426" s="342"/>
      <c r="E1426" s="342"/>
      <c r="F1426" s="342"/>
      <c r="G1426" s="342"/>
      <c r="H1426" s="342"/>
      <c r="I1426" s="342"/>
      <c r="J1426" s="342"/>
      <c r="K1426" s="342"/>
      <c r="L1426" s="342"/>
      <c r="M1426" s="342"/>
      <c r="N1426" s="266"/>
      <c r="O1426" s="17"/>
    </row>
    <row r="1427" spans="2:24" ht="12.75" customHeight="1" thickBot="1" x14ac:dyDescent="0.3">
      <c r="B1427" s="17"/>
      <c r="C1427" s="900"/>
      <c r="D1427" s="157" t="s">
        <v>339</v>
      </c>
      <c r="E1427" s="1511" t="str">
        <f>Translations!$B$753</f>
        <v>Amount of GHG imported or exported as feedstock</v>
      </c>
      <c r="F1427" s="1512"/>
      <c r="G1427" s="1512"/>
      <c r="H1427" s="1512"/>
      <c r="I1427" s="1512"/>
      <c r="J1427" s="1512"/>
      <c r="K1427" s="1512"/>
      <c r="L1427" s="1512"/>
      <c r="M1427" s="1512"/>
      <c r="N1427" s="1513"/>
      <c r="O1427" s="17"/>
    </row>
    <row r="1428" spans="2:24" ht="12.75" customHeight="1" x14ac:dyDescent="0.25">
      <c r="B1428" s="17"/>
      <c r="C1428" s="900"/>
      <c r="D1428" s="157"/>
      <c r="E1428" s="1522"/>
      <c r="F1428" s="1523"/>
      <c r="G1428" s="1523"/>
      <c r="H1428" s="152" t="str">
        <f>EUconst_Unit</f>
        <v>Unit</v>
      </c>
      <c r="I1428" s="153">
        <f>I$1882</f>
        <v>2019</v>
      </c>
      <c r="J1428" s="153">
        <f>J$1882</f>
        <v>2020</v>
      </c>
      <c r="K1428" s="153">
        <f>K$1882</f>
        <v>2021</v>
      </c>
      <c r="L1428" s="153">
        <f>L$1882</f>
        <v>2022</v>
      </c>
      <c r="M1428" s="153">
        <f>M$1882</f>
        <v>2023</v>
      </c>
      <c r="N1428" s="266"/>
      <c r="O1428" s="17"/>
      <c r="R1428" s="459"/>
      <c r="S1428" s="326">
        <f>I1428</f>
        <v>2019</v>
      </c>
      <c r="T1428" s="326">
        <f>J1428</f>
        <v>2020</v>
      </c>
      <c r="U1428" s="326">
        <f>K1428</f>
        <v>2021</v>
      </c>
      <c r="V1428" s="326">
        <f>L1428</f>
        <v>2022</v>
      </c>
      <c r="W1428" s="327">
        <f>M1428</f>
        <v>2023</v>
      </c>
    </row>
    <row r="1429" spans="2:24" ht="12.75" customHeight="1" thickBot="1" x14ac:dyDescent="0.3">
      <c r="B1429" s="17"/>
      <c r="C1429" s="900"/>
      <c r="D1429" s="193"/>
      <c r="E1429" s="1528" t="str">
        <f>Translations!$B$756</f>
        <v>GHG imported or exported</v>
      </c>
      <c r="F1429" s="1528"/>
      <c r="G1429" s="1528"/>
      <c r="H1429" s="154" t="str">
        <f>EUconst_tCO2epa</f>
        <v>t CO2e/year</v>
      </c>
      <c r="I1429" s="311"/>
      <c r="J1429" s="311"/>
      <c r="K1429" s="311"/>
      <c r="L1429" s="311"/>
      <c r="M1429" s="311"/>
      <c r="N1429" s="903"/>
      <c r="O1429" s="17"/>
      <c r="P1429" s="63" t="str">
        <f>EUconst_CNTR_CO2Feedstock &amp; I1333</f>
        <v>EmCO2Feedstock_</v>
      </c>
      <c r="R1429" s="460" t="str">
        <f>EUconst_CNTR_AttributedEmissions &amp; I1333</f>
        <v>AttrEmissions_</v>
      </c>
      <c r="S1429" s="389" t="str">
        <f>IF(S1333,SUM(I1429),"")</f>
        <v/>
      </c>
      <c r="T1429" s="389" t="str">
        <f>IF(T1333,SUM(J1429),"")</f>
        <v/>
      </c>
      <c r="U1429" s="389" t="str">
        <f>IF(U1333,SUM(K1429),"")</f>
        <v/>
      </c>
      <c r="V1429" s="389" t="str">
        <f>IF(V1333,SUM(L1429),"")</f>
        <v/>
      </c>
      <c r="W1429" s="390" t="str">
        <f>IF(W1333,SUM(M1429),"")</f>
        <v/>
      </c>
    </row>
    <row r="1430" spans="2:24" ht="12.75" customHeight="1" x14ac:dyDescent="0.25">
      <c r="B1430" s="17"/>
      <c r="C1430" s="900"/>
      <c r="D1430" s="342"/>
      <c r="E1430" s="342"/>
      <c r="F1430" s="342"/>
      <c r="G1430" s="342"/>
      <c r="H1430" s="342"/>
      <c r="I1430" s="342"/>
      <c r="J1430" s="342"/>
      <c r="K1430" s="342"/>
      <c r="L1430" s="342"/>
      <c r="M1430" s="342"/>
      <c r="N1430" s="266"/>
      <c r="O1430" s="17"/>
    </row>
    <row r="1431" spans="2:24" ht="12.75" customHeight="1" x14ac:dyDescent="0.25">
      <c r="B1431" s="17"/>
      <c r="C1431" s="900"/>
      <c r="D1431" s="157" t="s">
        <v>357</v>
      </c>
      <c r="E1431" s="1511" t="str">
        <f>Translations!$B$757</f>
        <v>Measurable heat import to and export from this sub-installation</v>
      </c>
      <c r="F1431" s="1512"/>
      <c r="G1431" s="1512"/>
      <c r="H1431" s="1512"/>
      <c r="I1431" s="1512"/>
      <c r="J1431" s="1512"/>
      <c r="K1431" s="1512"/>
      <c r="L1431" s="1512"/>
      <c r="M1431" s="1512"/>
      <c r="N1431" s="1513"/>
      <c r="O1431" s="17"/>
    </row>
    <row r="1432" spans="2:24" ht="12.75" customHeight="1" thickBot="1" x14ac:dyDescent="0.3">
      <c r="B1432" s="17"/>
      <c r="C1432" s="900"/>
      <c r="D1432" s="342"/>
      <c r="E1432" s="1477" t="str">
        <f>Translations!$B$762</f>
        <v>For attributing emissions from cogeneration (CHP) to production of heat, the "CHP tool" in section D.III. of this template has to be used.</v>
      </c>
      <c r="F1432" s="1477"/>
      <c r="G1432" s="1477"/>
      <c r="H1432" s="1477"/>
      <c r="I1432" s="1477"/>
      <c r="J1432" s="1477"/>
      <c r="K1432" s="1477"/>
      <c r="L1432" s="1477"/>
      <c r="M1432" s="1477"/>
      <c r="N1432" s="903"/>
      <c r="O1432" s="17"/>
    </row>
    <row r="1433" spans="2:24" ht="12.75" customHeight="1" x14ac:dyDescent="0.25">
      <c r="B1433" s="17"/>
      <c r="C1433" s="900"/>
      <c r="D1433" s="342"/>
      <c r="E1433" s="1522" t="str">
        <f>Translations!$B$763</f>
        <v>Total heat imported</v>
      </c>
      <c r="F1433" s="1523"/>
      <c r="G1433" s="1523"/>
      <c r="H1433" s="152" t="str">
        <f>EUconst_Unit</f>
        <v>Unit</v>
      </c>
      <c r="I1433" s="153">
        <f>I$1882</f>
        <v>2019</v>
      </c>
      <c r="J1433" s="153">
        <f>J$1882</f>
        <v>2020</v>
      </c>
      <c r="K1433" s="153">
        <f>K$1882</f>
        <v>2021</v>
      </c>
      <c r="L1433" s="153">
        <f>L$1882</f>
        <v>2022</v>
      </c>
      <c r="M1433" s="153">
        <f>M$1882</f>
        <v>2023</v>
      </c>
      <c r="N1433" s="903"/>
      <c r="O1433" s="17"/>
      <c r="R1433" s="459"/>
      <c r="S1433" s="326">
        <f>I1433</f>
        <v>2019</v>
      </c>
      <c r="T1433" s="326">
        <f>J1433</f>
        <v>2020</v>
      </c>
      <c r="U1433" s="326">
        <f>K1433</f>
        <v>2021</v>
      </c>
      <c r="V1433" s="326">
        <f>L1433</f>
        <v>2022</v>
      </c>
      <c r="W1433" s="327">
        <f>M1433</f>
        <v>2023</v>
      </c>
    </row>
    <row r="1434" spans="2:24" ht="12.75" customHeight="1" x14ac:dyDescent="0.25">
      <c r="B1434" s="17"/>
      <c r="C1434" s="900"/>
      <c r="D1434" s="193" t="s">
        <v>206</v>
      </c>
      <c r="E1434" s="1528" t="str">
        <f>Translations!$B$764</f>
        <v>Net heat imported</v>
      </c>
      <c r="F1434" s="1528"/>
      <c r="G1434" s="1528"/>
      <c r="H1434" s="154" t="str">
        <f>EUconst_TJpa</f>
        <v>TJ / year</v>
      </c>
      <c r="I1434" s="311"/>
      <c r="J1434" s="311"/>
      <c r="K1434" s="311"/>
      <c r="L1434" s="311"/>
      <c r="M1434" s="311"/>
      <c r="N1434" s="277"/>
      <c r="O1434" s="17"/>
      <c r="P1434" s="63" t="str">
        <f>EUconst_CNTR_HeatImport &amp; I1333</f>
        <v>HeatIm_</v>
      </c>
      <c r="R1434" s="464" t="str">
        <f>EUconst_ERR_AttrEmBMapplied &amp; I1333</f>
        <v>ERR_AttrEmBM_</v>
      </c>
      <c r="S1434" s="63">
        <f>IF(AND(I1434&lt;&gt;0,I1435="",EUconst_StatusOfDataCollection=FALSE),1,0)</f>
        <v>0</v>
      </c>
      <c r="T1434" s="63">
        <f>IF(AND(J1434&lt;&gt;0,J1435="",EUconst_StatusOfDataCollection=FALSE),1,0)</f>
        <v>0</v>
      </c>
      <c r="U1434" s="63">
        <f>IF(AND(K1434&lt;&gt;0,K1435="",EUconst_StatusOfDataCollection=FALSE),1,0)</f>
        <v>0</v>
      </c>
      <c r="V1434" s="63">
        <f>IF(AND(L1434&lt;&gt;0,L1435="",EUconst_StatusOfDataCollection=FALSE),1,0)</f>
        <v>0</v>
      </c>
      <c r="W1434" s="803">
        <f>IF(AND(M1434&lt;&gt;0,M1435="",EUconst_StatusOfDataCollection=FALSE),1,0)</f>
        <v>0</v>
      </c>
      <c r="X1434" s="28"/>
    </row>
    <row r="1435" spans="2:24" ht="12.75" customHeight="1" thickBot="1" x14ac:dyDescent="0.3">
      <c r="B1435" s="17"/>
      <c r="C1435" s="900"/>
      <c r="D1435" s="193" t="s">
        <v>208</v>
      </c>
      <c r="E1435" s="1528" t="str">
        <f>Translations!$B$765</f>
        <v>Specific EF (imported heat)</v>
      </c>
      <c r="F1435" s="1528"/>
      <c r="G1435" s="1528"/>
      <c r="H1435" s="154" t="str">
        <f>EUconst_tCO2pTJ</f>
        <v>t CO2 / TJ</v>
      </c>
      <c r="I1435" s="1065"/>
      <c r="J1435" s="1065"/>
      <c r="K1435" s="1065"/>
      <c r="L1435" s="1065"/>
      <c r="M1435" s="1065"/>
      <c r="N1435" s="266"/>
      <c r="O1435" s="17"/>
      <c r="P1435" s="63" t="str">
        <f>EUconst_CNTR_HeatImportEF &amp; I1333</f>
        <v>HeatImEF_</v>
      </c>
      <c r="R1435" s="460" t="str">
        <f>EUconst_CNTR_AttributedEmissions &amp; I1333</f>
        <v>AttrEmissions_</v>
      </c>
      <c r="S1435" s="389" t="str">
        <f>IF(S1333,SUM(I1434)*IF(ISNUMBER(I1435),I1435,EUconst_HeatBMvalueForBM),"")</f>
        <v/>
      </c>
      <c r="T1435" s="389" t="str">
        <f>IF(T1333,SUM(J1434)*IF(ISNUMBER(J1435),J1435,EUconst_HeatBMvalueForBM),"")</f>
        <v/>
      </c>
      <c r="U1435" s="389" t="str">
        <f>IF(U1333,SUM(K1434)*IF(ISNUMBER(K1435),K1435,EUconst_HeatBMvalueForBM),"")</f>
        <v/>
      </c>
      <c r="V1435" s="389" t="str">
        <f>IF(V1333,SUM(L1434)*IF(ISNUMBER(L1435),L1435,EUconst_HeatBMvalueForBM),"")</f>
        <v/>
      </c>
      <c r="W1435" s="390" t="str">
        <f>IF(W1333,SUM(M1434)*IF(ISNUMBER(M1435),M1435,EUconst_HeatBMvalueForBM),"")</f>
        <v/>
      </c>
    </row>
    <row r="1436" spans="2:24" ht="5.0999999999999996" customHeight="1" x14ac:dyDescent="0.25">
      <c r="B1436" s="17"/>
      <c r="C1436" s="900"/>
      <c r="D1436" s="342"/>
      <c r="E1436" s="342"/>
      <c r="F1436" s="342"/>
      <c r="G1436" s="342"/>
      <c r="H1436" s="342"/>
      <c r="I1436" s="342"/>
      <c r="J1436" s="342"/>
      <c r="K1436" s="342"/>
      <c r="L1436" s="342"/>
      <c r="M1436" s="342"/>
      <c r="N1436" s="266"/>
      <c r="O1436" s="17"/>
    </row>
    <row r="1437" spans="2:24" ht="12.75" customHeight="1" x14ac:dyDescent="0.25">
      <c r="B1437" s="17"/>
      <c r="C1437" s="900"/>
      <c r="D1437" s="342"/>
      <c r="E1437" s="1522" t="str">
        <f>Translations!$B$766</f>
        <v>Special heat import</v>
      </c>
      <c r="F1437" s="1522"/>
      <c r="G1437" s="1522"/>
      <c r="H1437" s="152" t="str">
        <f>EUconst_Unit</f>
        <v>Unit</v>
      </c>
      <c r="I1437" s="153">
        <f>I$1882</f>
        <v>2019</v>
      </c>
      <c r="J1437" s="153">
        <f>J$1882</f>
        <v>2020</v>
      </c>
      <c r="K1437" s="153">
        <f>K$1882</f>
        <v>2021</v>
      </c>
      <c r="L1437" s="153">
        <f>L$1882</f>
        <v>2022</v>
      </c>
      <c r="M1437" s="153">
        <f>M$1882</f>
        <v>2023</v>
      </c>
      <c r="N1437" s="903"/>
      <c r="O1437" s="17"/>
    </row>
    <row r="1438" spans="2:24" ht="12.75" customHeight="1" x14ac:dyDescent="0.25">
      <c r="B1438" s="17"/>
      <c r="C1438" s="900"/>
      <c r="D1438" s="193" t="s">
        <v>209</v>
      </c>
      <c r="E1438" s="1528" t="str">
        <f>Translations!$B$820</f>
        <v>Net heat imported from pulp</v>
      </c>
      <c r="F1438" s="1528"/>
      <c r="G1438" s="1528"/>
      <c r="H1438" s="154" t="str">
        <f>EUconst_TJpa</f>
        <v>TJ / year</v>
      </c>
      <c r="I1438" s="948"/>
      <c r="J1438" s="948"/>
      <c r="K1438" s="948"/>
      <c r="L1438" s="948"/>
      <c r="M1438" s="948"/>
      <c r="N1438" s="277"/>
      <c r="O1438" s="17"/>
      <c r="P1438" s="63" t="str">
        <f>EUconst_CNTR_HeatImportPulp &amp; I1333</f>
        <v>HeatImPulp_</v>
      </c>
    </row>
    <row r="1439" spans="2:24" ht="12.75" customHeight="1" x14ac:dyDescent="0.25">
      <c r="B1439" s="17"/>
      <c r="C1439" s="900"/>
      <c r="D1439" s="193" t="s">
        <v>210</v>
      </c>
      <c r="E1439" s="1528" t="str">
        <f>Translations!$B$768</f>
        <v>Net heat imported from nitric acid sub-installation</v>
      </c>
      <c r="F1439" s="1528"/>
      <c r="G1439" s="1528"/>
      <c r="H1439" s="154" t="str">
        <f>EUconst_TJpa</f>
        <v>TJ / year</v>
      </c>
      <c r="I1439" s="311"/>
      <c r="J1439" s="311"/>
      <c r="K1439" s="311"/>
      <c r="L1439" s="311"/>
      <c r="M1439" s="311"/>
      <c r="N1439" s="277"/>
      <c r="O1439" s="17"/>
      <c r="P1439" s="63" t="str">
        <f>EUconst_CNTR_HeatImportNitric &amp; I1333</f>
        <v>HeatImNitric_</v>
      </c>
    </row>
    <row r="1440" spans="2:24" ht="5.0999999999999996" customHeight="1" thickBot="1" x14ac:dyDescent="0.3">
      <c r="B1440" s="17"/>
      <c r="C1440" s="900"/>
      <c r="D1440" s="342"/>
      <c r="E1440" s="342"/>
      <c r="F1440" s="342"/>
      <c r="G1440" s="342"/>
      <c r="H1440" s="342"/>
      <c r="I1440" s="342"/>
      <c r="J1440" s="342"/>
      <c r="K1440" s="342"/>
      <c r="L1440" s="342"/>
      <c r="M1440" s="342"/>
      <c r="N1440" s="266"/>
      <c r="O1440" s="17"/>
    </row>
    <row r="1441" spans="2:27" ht="12.75" customHeight="1" x14ac:dyDescent="0.25">
      <c r="B1441" s="17"/>
      <c r="C1441" s="900"/>
      <c r="D1441" s="342"/>
      <c r="E1441" s="1522" t="str">
        <f>Translations!$B$769</f>
        <v>Total heat exported</v>
      </c>
      <c r="F1441" s="1522"/>
      <c r="G1441" s="1522"/>
      <c r="H1441" s="152" t="str">
        <f>EUconst_Unit</f>
        <v>Unit</v>
      </c>
      <c r="I1441" s="153">
        <f>I$1882</f>
        <v>2019</v>
      </c>
      <c r="J1441" s="153">
        <f>J$1882</f>
        <v>2020</v>
      </c>
      <c r="K1441" s="153">
        <f>K$1882</f>
        <v>2021</v>
      </c>
      <c r="L1441" s="153">
        <f>L$1882</f>
        <v>2022</v>
      </c>
      <c r="M1441" s="153">
        <f>M$1882</f>
        <v>2023</v>
      </c>
      <c r="N1441" s="903"/>
      <c r="O1441" s="17"/>
      <c r="R1441" s="459"/>
      <c r="S1441" s="326">
        <f>I1441</f>
        <v>2019</v>
      </c>
      <c r="T1441" s="326">
        <f>J1441</f>
        <v>2020</v>
      </c>
      <c r="U1441" s="326">
        <f>K1441</f>
        <v>2021</v>
      </c>
      <c r="V1441" s="326">
        <f>L1441</f>
        <v>2022</v>
      </c>
      <c r="W1441" s="327">
        <f>M1441</f>
        <v>2023</v>
      </c>
    </row>
    <row r="1442" spans="2:27" ht="12.75" customHeight="1" x14ac:dyDescent="0.25">
      <c r="B1442" s="17"/>
      <c r="C1442" s="900"/>
      <c r="D1442" s="193" t="s">
        <v>220</v>
      </c>
      <c r="E1442" s="1528" t="str">
        <f>Translations!$B$770</f>
        <v>Net heat exported</v>
      </c>
      <c r="F1442" s="1528"/>
      <c r="G1442" s="1528"/>
      <c r="H1442" s="154" t="str">
        <f>EUconst_TJpa</f>
        <v>TJ / year</v>
      </c>
      <c r="I1442" s="311"/>
      <c r="J1442" s="311"/>
      <c r="K1442" s="311"/>
      <c r="L1442" s="311"/>
      <c r="M1442" s="311"/>
      <c r="N1442" s="277"/>
      <c r="O1442" s="17"/>
      <c r="P1442" s="63" t="str">
        <f>EUconst_CNTR_HeatExport &amp; I1333</f>
        <v>HeatEx_</v>
      </c>
      <c r="R1442" s="464" t="str">
        <f>EUconst_ERR_AttrEmBMapplied &amp; I1333</f>
        <v>ERR_AttrEmBM_</v>
      </c>
      <c r="S1442" s="63">
        <f>IF(AND(I1442&lt;&gt;0,I1443="",EUconst_StatusOfDataCollection=FALSE),1,0)</f>
        <v>0</v>
      </c>
      <c r="T1442" s="63">
        <f>IF(AND(J1442&lt;&gt;0,J1443="",EUconst_StatusOfDataCollection=FALSE),1,0)</f>
        <v>0</v>
      </c>
      <c r="U1442" s="63">
        <f>IF(AND(K1442&lt;&gt;0,K1443="",EUconst_StatusOfDataCollection=FALSE),1,0)</f>
        <v>0</v>
      </c>
      <c r="V1442" s="63">
        <f>IF(AND(L1442&lt;&gt;0,L1443="",EUconst_StatusOfDataCollection=FALSE),1,0)</f>
        <v>0</v>
      </c>
      <c r="W1442" s="803">
        <f>IF(AND(M1442&lt;&gt;0,M1443="",EUconst_StatusOfDataCollection=FALSE),1,0)</f>
        <v>0</v>
      </c>
    </row>
    <row r="1443" spans="2:27" ht="12.75" customHeight="1" thickBot="1" x14ac:dyDescent="0.3">
      <c r="B1443" s="17"/>
      <c r="C1443" s="900"/>
      <c r="D1443" s="193" t="s">
        <v>221</v>
      </c>
      <c r="E1443" s="1528" t="str">
        <f>Translations!$B$771</f>
        <v>Specific EF (exported heat)</v>
      </c>
      <c r="F1443" s="1528"/>
      <c r="G1443" s="1528"/>
      <c r="H1443" s="154" t="str">
        <f>EUconst_tCO2pTJ</f>
        <v>t CO2 / TJ</v>
      </c>
      <c r="I1443" s="1065"/>
      <c r="J1443" s="1065"/>
      <c r="K1443" s="1065"/>
      <c r="L1443" s="1065"/>
      <c r="M1443" s="1065"/>
      <c r="N1443" s="266"/>
      <c r="O1443" s="17"/>
      <c r="P1443" s="63" t="str">
        <f>EUconst_CNTR_HeatExportEF &amp; I1333</f>
        <v>HeatExEF_</v>
      </c>
      <c r="R1443" s="460" t="str">
        <f>EUconst_CNTR_AttributedEmissions &amp; I1333</f>
        <v>AttrEmissions_</v>
      </c>
      <c r="S1443" s="389" t="str">
        <f>IF(S1333,-SUM(I1442)*IF(INDEX(EUconst_BMlistNumberOfBM,MATCH($I1333,EUconst_BMlistNames,0))=39,0,IF(ISNUMBER(I1443),I1443,EUconst_HeatBMvalueForBM)),"")</f>
        <v/>
      </c>
      <c r="T1443" s="389" t="str">
        <f>IF(T1333,-SUM(J1442)*IF(INDEX(EUconst_BMlistNumberOfBM,MATCH($I1333,EUconst_BMlistNames,0))=39,0,IF(ISNUMBER(J1443),J1443,EUconst_HeatBMvalueForBM)),"")</f>
        <v/>
      </c>
      <c r="U1443" s="389" t="str">
        <f>IF(U1333,-SUM(K1442)*IF(INDEX(EUconst_BMlistNumberOfBM,MATCH($I1333,EUconst_BMlistNames,0))=39,0,IF(ISNUMBER(K1443),K1443,EUconst_HeatBMvalueForBM)),"")</f>
        <v/>
      </c>
      <c r="V1443" s="389" t="str">
        <f>IF(V1333,-SUM(L1442)*IF(INDEX(EUconst_BMlistNumberOfBM,MATCH($I1333,EUconst_BMlistNames,0))=39,0,IF(ISNUMBER(L1443),L1443,EUconst_HeatBMvalueForBM)),"")</f>
        <v/>
      </c>
      <c r="W1443" s="390" t="str">
        <f>IF(W1333,-SUM(M1442)*IF(INDEX(EUconst_BMlistNumberOfBM,MATCH($I1333,EUconst_BMlistNames,0))=39,0,IF(ISNUMBER(M1443),M1443,EUconst_HeatBMvalueForBM)),"")</f>
        <v/>
      </c>
    </row>
    <row r="1444" spans="2:27" ht="12.75" customHeight="1" x14ac:dyDescent="0.25">
      <c r="B1444" s="17"/>
      <c r="C1444" s="900"/>
      <c r="D1444" s="342"/>
      <c r="E1444" s="342"/>
      <c r="F1444" s="342"/>
      <c r="G1444" s="342"/>
      <c r="H1444" s="342"/>
      <c r="I1444" s="342"/>
      <c r="J1444" s="342"/>
      <c r="K1444" s="342"/>
      <c r="L1444" s="342"/>
      <c r="M1444" s="342"/>
      <c r="N1444" s="266"/>
      <c r="O1444" s="17"/>
    </row>
    <row r="1445" spans="2:27" ht="12.75" customHeight="1" x14ac:dyDescent="0.25">
      <c r="B1445" s="17"/>
      <c r="C1445" s="900"/>
      <c r="D1445" s="157" t="s">
        <v>358</v>
      </c>
      <c r="E1445" s="1511" t="str">
        <f>Translations!$B$772</f>
        <v>Waste gas balance for this sub-installation</v>
      </c>
      <c r="F1445" s="1512"/>
      <c r="G1445" s="1512"/>
      <c r="H1445" s="1512"/>
      <c r="I1445" s="1512"/>
      <c r="J1445" s="1512"/>
      <c r="K1445" s="1512"/>
      <c r="L1445" s="1512"/>
      <c r="M1445" s="1512"/>
      <c r="N1445" s="1513"/>
      <c r="O1445" s="17"/>
    </row>
    <row r="1446" spans="2:27" ht="5.0999999999999996" customHeight="1" thickBot="1" x14ac:dyDescent="0.3">
      <c r="B1446" s="17"/>
      <c r="C1446" s="900"/>
      <c r="D1446" s="342"/>
      <c r="E1446" s="1533"/>
      <c r="F1446" s="1533"/>
      <c r="G1446" s="1533"/>
      <c r="H1446" s="1533"/>
      <c r="I1446" s="1533"/>
      <c r="J1446" s="1533"/>
      <c r="K1446" s="1533"/>
      <c r="L1446" s="1533"/>
      <c r="M1446" s="1533"/>
      <c r="N1446" s="1537"/>
      <c r="O1446" s="17"/>
    </row>
    <row r="1447" spans="2:27" ht="12.75" customHeight="1" thickBot="1" x14ac:dyDescent="0.3">
      <c r="B1447" s="17"/>
      <c r="C1447" s="900"/>
      <c r="D1447" s="193" t="s">
        <v>206</v>
      </c>
      <c r="E1447" s="1538" t="str">
        <f>Translations!$B$773</f>
        <v>Are waste gases relevant for this sub-installation?</v>
      </c>
      <c r="F1447" s="1538"/>
      <c r="G1447" s="1538"/>
      <c r="H1447" s="1538"/>
      <c r="I1447" s="1538"/>
      <c r="J1447" s="1538"/>
      <c r="K1447" s="1539"/>
      <c r="L1447" s="194"/>
      <c r="M1447" s="762"/>
      <c r="N1447" s="763"/>
      <c r="O1447" s="17"/>
      <c r="W1447" s="288" t="s">
        <v>418</v>
      </c>
      <c r="X1447" s="215" t="b">
        <f>IF(AND(I1333&lt;&gt;"",ISBLANK(L1447)),EUconst_Error&amp;"BM"&amp;C1333,FALSE)</f>
        <v>0</v>
      </c>
    </row>
    <row r="1448" spans="2:27" ht="5.0999999999999996" customHeight="1" thickBot="1" x14ac:dyDescent="0.3">
      <c r="B1448" s="17"/>
      <c r="C1448" s="900"/>
      <c r="D1448" s="342"/>
      <c r="E1448" s="1533"/>
      <c r="F1448" s="1512"/>
      <c r="G1448" s="1512"/>
      <c r="H1448" s="1512"/>
      <c r="I1448" s="1512"/>
      <c r="J1448" s="1512"/>
      <c r="K1448" s="1512"/>
      <c r="L1448" s="1512"/>
      <c r="M1448" s="1512"/>
      <c r="N1448" s="1513"/>
      <c r="O1448" s="17"/>
      <c r="AA1448" s="145" t="s">
        <v>396</v>
      </c>
    </row>
    <row r="1449" spans="2:27" ht="12.75" customHeight="1" x14ac:dyDescent="0.25">
      <c r="B1449" s="17"/>
      <c r="C1449" s="900"/>
      <c r="D1449" s="193" t="s">
        <v>208</v>
      </c>
      <c r="E1449" s="1529" t="str">
        <f>Translations!$B$775</f>
        <v>Types of waste gases produced:</v>
      </c>
      <c r="F1449" s="1529"/>
      <c r="G1449" s="1529"/>
      <c r="H1449" s="1529"/>
      <c r="I1449" s="1530"/>
      <c r="J1449" s="1531"/>
      <c r="K1449" s="1531"/>
      <c r="L1449" s="1531"/>
      <c r="M1449" s="1532"/>
      <c r="N1449" s="763"/>
      <c r="O1449" s="17"/>
      <c r="AA1449" s="316" t="b">
        <f>IF(I1333&lt;&gt;"",AND(L1447&lt;&gt;"",L1447=FALSE),FALSE)</f>
        <v>0</v>
      </c>
    </row>
    <row r="1450" spans="2:27" ht="5.0999999999999996" customHeight="1" x14ac:dyDescent="0.25">
      <c r="B1450" s="17"/>
      <c r="C1450" s="900"/>
      <c r="D1450" s="342"/>
      <c r="E1450" s="1533"/>
      <c r="F1450" s="1512"/>
      <c r="G1450" s="1512"/>
      <c r="H1450" s="1512"/>
      <c r="I1450" s="1512"/>
      <c r="J1450" s="1512"/>
      <c r="K1450" s="1512"/>
      <c r="L1450" s="1512"/>
      <c r="M1450" s="1512"/>
      <c r="N1450" s="1513"/>
      <c r="O1450" s="17"/>
      <c r="AA1450" s="815"/>
    </row>
    <row r="1451" spans="2:27" ht="12.75" customHeight="1" x14ac:dyDescent="0.25">
      <c r="B1451" s="17"/>
      <c r="C1451" s="900"/>
      <c r="D1451" s="342"/>
      <c r="E1451" s="1522"/>
      <c r="F1451" s="1523"/>
      <c r="G1451" s="1523"/>
      <c r="H1451" s="152" t="str">
        <f>EUconst_Unit</f>
        <v>Unit</v>
      </c>
      <c r="I1451" s="153">
        <f>I$1882</f>
        <v>2019</v>
      </c>
      <c r="J1451" s="153">
        <f>J$1882</f>
        <v>2020</v>
      </c>
      <c r="K1451" s="153">
        <f>K$1882</f>
        <v>2021</v>
      </c>
      <c r="L1451" s="153">
        <f>L$1882</f>
        <v>2022</v>
      </c>
      <c r="M1451" s="153">
        <f>M$1882</f>
        <v>2023</v>
      </c>
      <c r="N1451" s="903"/>
      <c r="O1451" s="17"/>
      <c r="AA1451" s="815"/>
    </row>
    <row r="1452" spans="2:27" ht="12.75" customHeight="1" x14ac:dyDescent="0.25">
      <c r="B1452" s="17"/>
      <c r="C1452" s="900"/>
      <c r="D1452" s="193" t="s">
        <v>209</v>
      </c>
      <c r="E1452" s="1526" t="str">
        <f>Translations!$B$777</f>
        <v>Amounts produced</v>
      </c>
      <c r="F1452" s="1526"/>
      <c r="G1452" s="1526"/>
      <c r="H1452" s="949" t="s">
        <v>427</v>
      </c>
      <c r="I1452" s="889"/>
      <c r="J1452" s="889"/>
      <c r="K1452" s="889"/>
      <c r="L1452" s="889"/>
      <c r="M1452" s="889"/>
      <c r="N1452" s="903"/>
      <c r="O1452" s="17"/>
      <c r="AA1452" s="285" t="b">
        <f>AA1449</f>
        <v>0</v>
      </c>
    </row>
    <row r="1453" spans="2:27" ht="12.75" customHeight="1" x14ac:dyDescent="0.25">
      <c r="B1453" s="17"/>
      <c r="C1453" s="900"/>
      <c r="D1453" s="193" t="s">
        <v>210</v>
      </c>
      <c r="E1453" s="1527" t="str">
        <f>Translations!$B$470</f>
        <v>Net calorific value</v>
      </c>
      <c r="F1453" s="1527"/>
      <c r="G1453" s="1527"/>
      <c r="H1453" s="950" t="str">
        <f>IF(ISBLANK(H1452),EUconst_GJperUnit,INDEX(EUconst_GJperTorKNm3,MATCH(H1452,EUconst_TonnesOrkNm3pa,0)))</f>
        <v>GJ/1000Nm3</v>
      </c>
      <c r="I1453" s="895"/>
      <c r="J1453" s="895"/>
      <c r="K1453" s="895"/>
      <c r="L1453" s="895"/>
      <c r="M1453" s="895"/>
      <c r="N1453" s="903"/>
      <c r="O1453" s="17"/>
      <c r="AA1453" s="285" t="b">
        <f>AA1452</f>
        <v>0</v>
      </c>
    </row>
    <row r="1454" spans="2:27" ht="12.75" customHeight="1" x14ac:dyDescent="0.25">
      <c r="B1454" s="17"/>
      <c r="C1454" s="900"/>
      <c r="D1454" s="193" t="s">
        <v>220</v>
      </c>
      <c r="E1454" s="1528" t="str">
        <f>Translations!$B$778</f>
        <v>Waste gas produced</v>
      </c>
      <c r="F1454" s="1528"/>
      <c r="G1454" s="1528"/>
      <c r="H1454" s="154" t="str">
        <f>EUconst_TJpa</f>
        <v>TJ / year</v>
      </c>
      <c r="I1454" s="951" t="str">
        <f>IF(COUNT(I1452:I1453)=2,I1452*I1453/1000,"")</f>
        <v/>
      </c>
      <c r="J1454" s="951" t="str">
        <f>IF(COUNT(J1452:J1453)=2,J1452*J1453/1000,"")</f>
        <v/>
      </c>
      <c r="K1454" s="951" t="str">
        <f>IF(COUNT(K1452:K1453)=2,K1452*K1453/1000,"")</f>
        <v/>
      </c>
      <c r="L1454" s="951" t="str">
        <f>IF(COUNT(L1452:L1453)=2,L1452*L1453/1000,"")</f>
        <v/>
      </c>
      <c r="M1454" s="951" t="str">
        <f>IF(COUNT(M1452:M1453)=2,M1452*M1453/1000,"")</f>
        <v/>
      </c>
      <c r="N1454" s="903"/>
      <c r="O1454" s="17"/>
      <c r="P1454" s="63" t="str">
        <f>EUconst_CNTR_WGProduced &amp; I1333</f>
        <v>WasteGasProd_</v>
      </c>
      <c r="AA1454" s="815"/>
    </row>
    <row r="1455" spans="2:27" ht="12.75" customHeight="1" x14ac:dyDescent="0.25">
      <c r="B1455" s="17"/>
      <c r="C1455" s="900"/>
      <c r="D1455" s="193" t="s">
        <v>221</v>
      </c>
      <c r="E1455" s="1528" t="str">
        <f>Translations!$B$779</f>
        <v>Specific EF (produced waste gas)</v>
      </c>
      <c r="F1455" s="1528"/>
      <c r="G1455" s="1528"/>
      <c r="H1455" s="154" t="str">
        <f>EUconst_tCO2pTJ</f>
        <v>t CO2 / TJ</v>
      </c>
      <c r="I1455" s="311"/>
      <c r="J1455" s="311"/>
      <c r="K1455" s="311"/>
      <c r="L1455" s="311"/>
      <c r="M1455" s="311"/>
      <c r="N1455" s="266"/>
      <c r="O1455" s="17"/>
      <c r="P1455" s="63" t="str">
        <f>EUconst_CNTR_WGProducedEF &amp; I1333</f>
        <v>WasteGasProdEF_</v>
      </c>
      <c r="AA1455" s="285" t="b">
        <f>AA1453</f>
        <v>0</v>
      </c>
    </row>
    <row r="1456" spans="2:27" ht="12.75" customHeight="1" x14ac:dyDescent="0.25">
      <c r="B1456" s="17"/>
      <c r="C1456" s="900"/>
      <c r="D1456" s="342"/>
      <c r="E1456" s="342"/>
      <c r="F1456" s="342"/>
      <c r="G1456" s="342"/>
      <c r="H1456" s="342"/>
      <c r="I1456" s="342"/>
      <c r="J1456" s="342"/>
      <c r="K1456" s="342"/>
      <c r="L1456" s="342"/>
      <c r="M1456" s="342"/>
      <c r="N1456" s="266"/>
      <c r="O1456" s="17"/>
      <c r="AA1456" s="815"/>
    </row>
    <row r="1457" spans="2:27" ht="12.75" customHeight="1" x14ac:dyDescent="0.25">
      <c r="B1457" s="17"/>
      <c r="C1457" s="900"/>
      <c r="D1457" s="193" t="s">
        <v>222</v>
      </c>
      <c r="E1457" s="1529" t="str">
        <f>Translations!$B$780</f>
        <v>Types of waste gases consumed:</v>
      </c>
      <c r="F1457" s="1529"/>
      <c r="G1457" s="1529"/>
      <c r="H1457" s="1529"/>
      <c r="I1457" s="1530"/>
      <c r="J1457" s="1531"/>
      <c r="K1457" s="1531"/>
      <c r="L1457" s="1531"/>
      <c r="M1457" s="1532"/>
      <c r="N1457" s="763"/>
      <c r="O1457" s="17"/>
      <c r="AA1457" s="285" t="b">
        <f>AA1455</f>
        <v>0</v>
      </c>
    </row>
    <row r="1458" spans="2:27" ht="5.0999999999999996" customHeight="1" x14ac:dyDescent="0.25">
      <c r="B1458" s="17"/>
      <c r="C1458" s="900"/>
      <c r="D1458" s="193"/>
      <c r="E1458" s="1533"/>
      <c r="F1458" s="1512"/>
      <c r="G1458" s="1512"/>
      <c r="H1458" s="1512"/>
      <c r="I1458" s="1512"/>
      <c r="J1458" s="1512"/>
      <c r="K1458" s="1512"/>
      <c r="L1458" s="1512"/>
      <c r="M1458" s="1512"/>
      <c r="N1458" s="1513"/>
      <c r="O1458" s="17"/>
      <c r="AA1458" s="815"/>
    </row>
    <row r="1459" spans="2:27" ht="12.75" customHeight="1" x14ac:dyDescent="0.25">
      <c r="B1459" s="17"/>
      <c r="C1459" s="900"/>
      <c r="D1459" s="342"/>
      <c r="E1459" s="1522"/>
      <c r="F1459" s="1523"/>
      <c r="G1459" s="1523"/>
      <c r="H1459" s="152" t="str">
        <f>EUconst_Unit</f>
        <v>Unit</v>
      </c>
      <c r="I1459" s="153">
        <f>I$1882</f>
        <v>2019</v>
      </c>
      <c r="J1459" s="153">
        <f>J$1882</f>
        <v>2020</v>
      </c>
      <c r="K1459" s="153">
        <f>K$1882</f>
        <v>2021</v>
      </c>
      <c r="L1459" s="153">
        <f>L$1882</f>
        <v>2022</v>
      </c>
      <c r="M1459" s="153">
        <f>M$1882</f>
        <v>2023</v>
      </c>
      <c r="N1459" s="903"/>
      <c r="O1459" s="17"/>
      <c r="AA1459" s="815"/>
    </row>
    <row r="1460" spans="2:27" ht="12.75" customHeight="1" x14ac:dyDescent="0.25">
      <c r="B1460" s="17"/>
      <c r="C1460" s="900"/>
      <c r="D1460" s="193" t="s">
        <v>223</v>
      </c>
      <c r="E1460" s="1526" t="str">
        <f>Translations!$B$782</f>
        <v>Amounts consumed</v>
      </c>
      <c r="F1460" s="1526"/>
      <c r="G1460" s="1526"/>
      <c r="H1460" s="949" t="s">
        <v>427</v>
      </c>
      <c r="I1460" s="889"/>
      <c r="J1460" s="889"/>
      <c r="K1460" s="889"/>
      <c r="L1460" s="889"/>
      <c r="M1460" s="889"/>
      <c r="N1460" s="903"/>
      <c r="O1460" s="17"/>
      <c r="AA1460" s="285" t="b">
        <f>AA1457</f>
        <v>0</v>
      </c>
    </row>
    <row r="1461" spans="2:27" ht="12.75" customHeight="1" x14ac:dyDescent="0.25">
      <c r="B1461" s="17"/>
      <c r="C1461" s="900"/>
      <c r="D1461" s="193" t="s">
        <v>224</v>
      </c>
      <c r="E1461" s="1527" t="str">
        <f>Translations!$B$470</f>
        <v>Net calorific value</v>
      </c>
      <c r="F1461" s="1527"/>
      <c r="G1461" s="1527"/>
      <c r="H1461" s="950" t="str">
        <f>IF(ISBLANK(H1460),EUconst_GJperUnit,INDEX(EUconst_GJperTorKNm3,MATCH(H1460,EUconst_TonnesOrkNm3pa,0)))</f>
        <v>GJ/1000Nm3</v>
      </c>
      <c r="I1461" s="895"/>
      <c r="J1461" s="895"/>
      <c r="K1461" s="895"/>
      <c r="L1461" s="895"/>
      <c r="M1461" s="895"/>
      <c r="N1461" s="903"/>
      <c r="O1461" s="17"/>
      <c r="AA1461" s="285" t="b">
        <f>AA1460</f>
        <v>0</v>
      </c>
    </row>
    <row r="1462" spans="2:27" ht="12.75" customHeight="1" x14ac:dyDescent="0.25">
      <c r="B1462" s="17"/>
      <c r="C1462" s="900"/>
      <c r="D1462" s="193" t="s">
        <v>345</v>
      </c>
      <c r="E1462" s="1528" t="str">
        <f>Translations!$B$783</f>
        <v>Waste gas consumed</v>
      </c>
      <c r="F1462" s="1528"/>
      <c r="G1462" s="1528"/>
      <c r="H1462" s="154" t="str">
        <f>EUconst_TJpa</f>
        <v>TJ / year</v>
      </c>
      <c r="I1462" s="951" t="str">
        <f>IF(COUNT(I1460:I1461)=2,I1460*I1461/1000,"")</f>
        <v/>
      </c>
      <c r="J1462" s="951" t="str">
        <f>IF(COUNT(J1460:J1461)=2,J1460*J1461/1000,"")</f>
        <v/>
      </c>
      <c r="K1462" s="951" t="str">
        <f>IF(COUNT(K1460:K1461)=2,K1460*K1461/1000,"")</f>
        <v/>
      </c>
      <c r="L1462" s="951" t="str">
        <f>IF(COUNT(L1460:L1461)=2,L1460*L1461/1000,"")</f>
        <v/>
      </c>
      <c r="M1462" s="951" t="str">
        <f>IF(COUNT(M1460:M1461)=2,M1460*M1461/1000,"")</f>
        <v/>
      </c>
      <c r="N1462" s="903"/>
      <c r="O1462" s="17"/>
      <c r="P1462" s="63" t="str">
        <f>EUconst_CNTR_WGConsumed &amp; I1333</f>
        <v>WasteGasCons_</v>
      </c>
      <c r="AA1462" s="815"/>
    </row>
    <row r="1463" spans="2:27" ht="12.75" customHeight="1" x14ac:dyDescent="0.25">
      <c r="B1463" s="17"/>
      <c r="C1463" s="900"/>
      <c r="D1463" s="193" t="s">
        <v>346</v>
      </c>
      <c r="E1463" s="1528" t="str">
        <f>Translations!$B$784</f>
        <v>Specific EF (consumed waste gas)</v>
      </c>
      <c r="F1463" s="1528"/>
      <c r="G1463" s="1528"/>
      <c r="H1463" s="154" t="str">
        <f>EUconst_tCO2pTJ</f>
        <v>t CO2 / TJ</v>
      </c>
      <c r="I1463" s="311"/>
      <c r="J1463" s="311"/>
      <c r="K1463" s="311"/>
      <c r="L1463" s="311"/>
      <c r="M1463" s="311"/>
      <c r="N1463" s="266"/>
      <c r="O1463" s="17"/>
      <c r="P1463" s="63" t="str">
        <f>EUconst_CNTR_WGConsumedEF &amp; I1333</f>
        <v>WasteGasConsEF_</v>
      </c>
      <c r="AA1463" s="285" t="b">
        <f>AA1461</f>
        <v>0</v>
      </c>
    </row>
    <row r="1464" spans="2:27" ht="12.75" customHeight="1" x14ac:dyDescent="0.25">
      <c r="B1464" s="17"/>
      <c r="C1464" s="900"/>
      <c r="D1464" s="342"/>
      <c r="E1464" s="342"/>
      <c r="F1464" s="342"/>
      <c r="G1464" s="342"/>
      <c r="H1464" s="342"/>
      <c r="I1464" s="342"/>
      <c r="J1464" s="342"/>
      <c r="K1464" s="342"/>
      <c r="L1464" s="342"/>
      <c r="M1464" s="342"/>
      <c r="N1464" s="266"/>
      <c r="O1464" s="17"/>
      <c r="AA1464" s="815"/>
    </row>
    <row r="1465" spans="2:27" ht="12.75" customHeight="1" x14ac:dyDescent="0.25">
      <c r="B1465" s="17"/>
      <c r="C1465" s="900"/>
      <c r="D1465" s="193" t="s">
        <v>347</v>
      </c>
      <c r="E1465" s="1529" t="str">
        <f>Translations!$B$785</f>
        <v>Types of waste gases flared:</v>
      </c>
      <c r="F1465" s="1529"/>
      <c r="G1465" s="1529"/>
      <c r="H1465" s="1529"/>
      <c r="I1465" s="1530"/>
      <c r="J1465" s="1531"/>
      <c r="K1465" s="1531"/>
      <c r="L1465" s="1531"/>
      <c r="M1465" s="1532"/>
      <c r="N1465" s="763"/>
      <c r="O1465" s="17"/>
      <c r="AA1465" s="285" t="b">
        <f>AA1455</f>
        <v>0</v>
      </c>
    </row>
    <row r="1466" spans="2:27" ht="5.0999999999999996" customHeight="1" x14ac:dyDescent="0.25">
      <c r="B1466" s="17"/>
      <c r="C1466" s="900"/>
      <c r="D1466" s="193"/>
      <c r="E1466" s="1533"/>
      <c r="F1466" s="1512"/>
      <c r="G1466" s="1512"/>
      <c r="H1466" s="1512"/>
      <c r="I1466" s="1512"/>
      <c r="J1466" s="1512"/>
      <c r="K1466" s="1512"/>
      <c r="L1466" s="1512"/>
      <c r="M1466" s="1512"/>
      <c r="N1466" s="1513"/>
      <c r="O1466" s="17"/>
      <c r="AA1466" s="815"/>
    </row>
    <row r="1467" spans="2:27" ht="12.75" customHeight="1" x14ac:dyDescent="0.25">
      <c r="B1467" s="17"/>
      <c r="C1467" s="900"/>
      <c r="D1467" s="342"/>
      <c r="E1467" s="1522"/>
      <c r="F1467" s="1523"/>
      <c r="G1467" s="1523"/>
      <c r="H1467" s="152" t="str">
        <f>EUconst_Unit</f>
        <v>Unit</v>
      </c>
      <c r="I1467" s="153">
        <f>I$1882</f>
        <v>2019</v>
      </c>
      <c r="J1467" s="153">
        <f>J$1882</f>
        <v>2020</v>
      </c>
      <c r="K1467" s="153">
        <f>K$1882</f>
        <v>2021</v>
      </c>
      <c r="L1467" s="153">
        <f>L$1882</f>
        <v>2022</v>
      </c>
      <c r="M1467" s="153">
        <f>M$1882</f>
        <v>2023</v>
      </c>
      <c r="N1467" s="903"/>
      <c r="O1467" s="17"/>
      <c r="AA1467" s="815"/>
    </row>
    <row r="1468" spans="2:27" ht="12.75" customHeight="1" thickBot="1" x14ac:dyDescent="0.3">
      <c r="B1468" s="17"/>
      <c r="C1468" s="900"/>
      <c r="D1468" s="193" t="s">
        <v>355</v>
      </c>
      <c r="E1468" s="1526" t="str">
        <f>Translations!$B$789</f>
        <v>Amounts flared</v>
      </c>
      <c r="F1468" s="1526"/>
      <c r="G1468" s="1526"/>
      <c r="H1468" s="949" t="s">
        <v>427</v>
      </c>
      <c r="I1468" s="889"/>
      <c r="J1468" s="889"/>
      <c r="K1468" s="889"/>
      <c r="L1468" s="889"/>
      <c r="M1468" s="889"/>
      <c r="N1468" s="903"/>
      <c r="O1468" s="17"/>
      <c r="R1468" s="145" t="s">
        <v>428</v>
      </c>
      <c r="AA1468" s="285" t="b">
        <f>AA1465</f>
        <v>0</v>
      </c>
    </row>
    <row r="1469" spans="2:27" ht="12.75" customHeight="1" thickBot="1" x14ac:dyDescent="0.3">
      <c r="B1469" s="17"/>
      <c r="C1469" s="900"/>
      <c r="D1469" s="193" t="s">
        <v>356</v>
      </c>
      <c r="E1469" s="1527" t="str">
        <f>Translations!$B$470</f>
        <v>Net calorific value</v>
      </c>
      <c r="F1469" s="1527"/>
      <c r="G1469" s="1527"/>
      <c r="H1469" s="950" t="str">
        <f>IF(ISBLANK(H1468),EUconst_GJperUnit,INDEX(EUconst_GJperTorKNm3,MATCH(H1468,EUconst_TonnesOrkNm3pa,0)))</f>
        <v>GJ/1000Nm3</v>
      </c>
      <c r="I1469" s="895"/>
      <c r="J1469" s="895"/>
      <c r="K1469" s="895"/>
      <c r="L1469" s="895"/>
      <c r="M1469" s="895"/>
      <c r="N1469" s="903"/>
      <c r="O1469" s="17"/>
      <c r="R1469" s="283" t="s">
        <v>399</v>
      </c>
      <c r="S1469" s="280">
        <f>I1467</f>
        <v>2019</v>
      </c>
      <c r="T1469" s="281">
        <f>J1467</f>
        <v>2020</v>
      </c>
      <c r="U1469" s="281">
        <f>K1467</f>
        <v>2021</v>
      </c>
      <c r="V1469" s="281">
        <f>L1467</f>
        <v>2022</v>
      </c>
      <c r="W1469" s="282">
        <f>M1467</f>
        <v>2023</v>
      </c>
      <c r="AA1469" s="285" t="b">
        <f>AA1468</f>
        <v>0</v>
      </c>
    </row>
    <row r="1470" spans="2:27" ht="12.75" customHeight="1" thickBot="1" x14ac:dyDescent="0.3">
      <c r="B1470" s="17"/>
      <c r="C1470" s="900"/>
      <c r="D1470" s="193" t="s">
        <v>420</v>
      </c>
      <c r="E1470" s="1528" t="str">
        <f>Translations!$B$790</f>
        <v>Waste gas flared</v>
      </c>
      <c r="F1470" s="1528"/>
      <c r="G1470" s="1528"/>
      <c r="H1470" s="154" t="str">
        <f>EUconst_TJpa</f>
        <v>TJ / year</v>
      </c>
      <c r="I1470" s="951" t="str">
        <f>IF(COUNT(I1468:I1469)=2,I1468*I1469/1000,"")</f>
        <v/>
      </c>
      <c r="J1470" s="951" t="str">
        <f>IF(COUNT(J1468:J1469)=2,J1468*J1469/1000,"")</f>
        <v/>
      </c>
      <c r="K1470" s="951" t="str">
        <f>IF(COUNT(K1468:K1469)=2,K1468*K1469/1000,"")</f>
        <v/>
      </c>
      <c r="L1470" s="951" t="str">
        <f>IF(COUNT(L1468:L1469)=2,L1468*L1469/1000,"")</f>
        <v/>
      </c>
      <c r="M1470" s="951" t="str">
        <f>IF(COUNT(M1468:M1469)=2,M1468*M1469/1000,"")</f>
        <v/>
      </c>
      <c r="N1470" s="903"/>
      <c r="O1470" s="17"/>
      <c r="P1470" s="63" t="str">
        <f>EUconst_CNTR_WGFlared &amp; I1333</f>
        <v>WasteGasFlare_</v>
      </c>
      <c r="R1470" s="918" t="str">
        <f>IF(COUNT(S1470:W1470)&gt;0,AVERAGE(S1470:W1470),"")</f>
        <v/>
      </c>
      <c r="S1470" s="808" t="str">
        <f>IF(S1333,IF(ISNUMBER(I1470),I1470,0),"")</f>
        <v/>
      </c>
      <c r="T1470" s="809" t="str">
        <f>IF(T1333,IF(ISNUMBER(J1470),J1470,0),"")</f>
        <v/>
      </c>
      <c r="U1470" s="809" t="str">
        <f>IF(U1333,IF(ISNUMBER(K1470),K1470,0),"")</f>
        <v/>
      </c>
      <c r="V1470" s="809" t="str">
        <f>IF(V1333,IF(ISNUMBER(L1470),L1470,0),"")</f>
        <v/>
      </c>
      <c r="W1470" s="810" t="str">
        <f>IF(W1333,IF(ISNUMBER(M1470),M1470,0),"")</f>
        <v/>
      </c>
      <c r="AA1470" s="815"/>
    </row>
    <row r="1471" spans="2:27" ht="12.75" customHeight="1" thickBot="1" x14ac:dyDescent="0.3">
      <c r="B1471" s="17"/>
      <c r="C1471" s="900"/>
      <c r="D1471" s="193" t="s">
        <v>421</v>
      </c>
      <c r="E1471" s="1528" t="str">
        <f>Translations!$B$791</f>
        <v>Specific EF (flared waste gas)</v>
      </c>
      <c r="F1471" s="1528"/>
      <c r="G1471" s="1528"/>
      <c r="H1471" s="154" t="str">
        <f>EUconst_tCO2pTJ</f>
        <v>t CO2 / TJ</v>
      </c>
      <c r="I1471" s="311"/>
      <c r="J1471" s="311"/>
      <c r="K1471" s="311"/>
      <c r="L1471" s="311"/>
      <c r="M1471" s="311"/>
      <c r="N1471" s="266"/>
      <c r="O1471" s="17"/>
      <c r="P1471" s="63" t="str">
        <f>EUconst_CNTR_WGFlaredEF &amp; I1333</f>
        <v>WasteGasFlareEF_</v>
      </c>
      <c r="R1471" s="952" t="str">
        <f>IF(COUNT(S1471:W1471)&gt;0,AVERAGE(S1471:W1471),"")</f>
        <v/>
      </c>
      <c r="S1471" s="808" t="str">
        <f>IF(S1333,SUM(I1470)*SUM(I1471),"")</f>
        <v/>
      </c>
      <c r="T1471" s="809" t="str">
        <f>IF(T1333,SUM(J1470)*SUM(J1471),"")</f>
        <v/>
      </c>
      <c r="U1471" s="809" t="str">
        <f>IF(U1333,SUM(K1470)*SUM(K1471),"")</f>
        <v/>
      </c>
      <c r="V1471" s="809" t="str">
        <f>IF(V1333,SUM(L1470)*SUM(L1471),"")</f>
        <v/>
      </c>
      <c r="W1471" s="810" t="str">
        <f>IF(W1333,SUM(M1470)*SUM(M1471),"")</f>
        <v/>
      </c>
      <c r="AA1471" s="285" t="b">
        <f>AA1469</f>
        <v>0</v>
      </c>
    </row>
    <row r="1472" spans="2:27" ht="12.75" customHeight="1" x14ac:dyDescent="0.25">
      <c r="B1472" s="17"/>
      <c r="C1472" s="900"/>
      <c r="D1472" s="342"/>
      <c r="E1472" s="342"/>
      <c r="F1472" s="342"/>
      <c r="G1472" s="342"/>
      <c r="H1472" s="342"/>
      <c r="I1472" s="342"/>
      <c r="J1472" s="342"/>
      <c r="K1472" s="342"/>
      <c r="L1472" s="342"/>
      <c r="M1472" s="342"/>
      <c r="N1472" s="266"/>
      <c r="O1472" s="17"/>
      <c r="AA1472" s="815"/>
    </row>
    <row r="1473" spans="2:27" ht="12.75" customHeight="1" x14ac:dyDescent="0.25">
      <c r="B1473" s="17"/>
      <c r="C1473" s="900"/>
      <c r="D1473" s="193" t="s">
        <v>422</v>
      </c>
      <c r="E1473" s="1529" t="str">
        <f>Translations!$B$792</f>
        <v>Types of waste gases imported:</v>
      </c>
      <c r="F1473" s="1529"/>
      <c r="G1473" s="1529"/>
      <c r="H1473" s="1529"/>
      <c r="I1473" s="1530"/>
      <c r="J1473" s="1531"/>
      <c r="K1473" s="1531"/>
      <c r="L1473" s="1531"/>
      <c r="M1473" s="1532"/>
      <c r="N1473" s="266"/>
      <c r="O1473" s="17"/>
      <c r="AA1473" s="285" t="b">
        <f>AA1453</f>
        <v>0</v>
      </c>
    </row>
    <row r="1474" spans="2:27" ht="5.0999999999999996" customHeight="1" x14ac:dyDescent="0.25">
      <c r="B1474" s="17"/>
      <c r="C1474" s="900"/>
      <c r="D1474" s="193"/>
      <c r="E1474" s="1535"/>
      <c r="F1474" s="1511"/>
      <c r="G1474" s="1511"/>
      <c r="H1474" s="1511"/>
      <c r="I1474" s="1511"/>
      <c r="J1474" s="1511"/>
      <c r="K1474" s="1511"/>
      <c r="L1474" s="1511"/>
      <c r="M1474" s="1511"/>
      <c r="N1474" s="1536"/>
      <c r="O1474" s="17"/>
      <c r="AA1474" s="815"/>
    </row>
    <row r="1475" spans="2:27" ht="12.75" customHeight="1" x14ac:dyDescent="0.25">
      <c r="B1475" s="17"/>
      <c r="C1475" s="900"/>
      <c r="D1475" s="342"/>
      <c r="E1475" s="1522"/>
      <c r="F1475" s="1523"/>
      <c r="G1475" s="1523"/>
      <c r="H1475" s="152" t="str">
        <f>EUconst_Unit</f>
        <v>Unit</v>
      </c>
      <c r="I1475" s="153">
        <f>I$1882</f>
        <v>2019</v>
      </c>
      <c r="J1475" s="153">
        <f>J$1882</f>
        <v>2020</v>
      </c>
      <c r="K1475" s="153">
        <f>K$1882</f>
        <v>2021</v>
      </c>
      <c r="L1475" s="153">
        <f>L$1882</f>
        <v>2022</v>
      </c>
      <c r="M1475" s="153">
        <f>M$1882</f>
        <v>2023</v>
      </c>
      <c r="N1475" s="903"/>
      <c r="O1475" s="17"/>
      <c r="AA1475" s="815"/>
    </row>
    <row r="1476" spans="2:27" ht="12.75" customHeight="1" thickBot="1" x14ac:dyDescent="0.3">
      <c r="B1476" s="17"/>
      <c r="C1476" s="900"/>
      <c r="D1476" s="193" t="s">
        <v>423</v>
      </c>
      <c r="E1476" s="1526" t="str">
        <f>Translations!$B$795</f>
        <v>Amounts imported</v>
      </c>
      <c r="F1476" s="1526"/>
      <c r="G1476" s="1526"/>
      <c r="H1476" s="949" t="s">
        <v>427</v>
      </c>
      <c r="I1476" s="889"/>
      <c r="J1476" s="889"/>
      <c r="K1476" s="889"/>
      <c r="L1476" s="889"/>
      <c r="M1476" s="889"/>
      <c r="N1476" s="903"/>
      <c r="O1476" s="17"/>
      <c r="AA1476" s="285" t="b">
        <f>AA1473</f>
        <v>0</v>
      </c>
    </row>
    <row r="1477" spans="2:27" ht="12.75" customHeight="1" x14ac:dyDescent="0.25">
      <c r="B1477" s="17"/>
      <c r="C1477" s="900"/>
      <c r="D1477" s="193" t="s">
        <v>430</v>
      </c>
      <c r="E1477" s="1527" t="str">
        <f>Translations!$B$470</f>
        <v>Net calorific value</v>
      </c>
      <c r="F1477" s="1527"/>
      <c r="G1477" s="1527"/>
      <c r="H1477" s="950" t="str">
        <f>IF(ISBLANK(H1476),EUconst_GJperUnit,INDEX(EUconst_GJperTorKNm3,MATCH(H1476,EUconst_TonnesOrkNm3pa,0)))</f>
        <v>GJ/1000Nm3</v>
      </c>
      <c r="I1477" s="895"/>
      <c r="J1477" s="895"/>
      <c r="K1477" s="895"/>
      <c r="L1477" s="895"/>
      <c r="M1477" s="895"/>
      <c r="N1477" s="903"/>
      <c r="O1477" s="17"/>
      <c r="R1477" s="459"/>
      <c r="S1477" s="326">
        <f>I1475</f>
        <v>2019</v>
      </c>
      <c r="T1477" s="326">
        <f>J1475</f>
        <v>2020</v>
      </c>
      <c r="U1477" s="326">
        <f>K1475</f>
        <v>2021</v>
      </c>
      <c r="V1477" s="326">
        <f>L1475</f>
        <v>2022</v>
      </c>
      <c r="W1477" s="327">
        <f>M1475</f>
        <v>2023</v>
      </c>
      <c r="AA1477" s="285" t="b">
        <f>AA1476</f>
        <v>0</v>
      </c>
    </row>
    <row r="1478" spans="2:27" ht="12.75" customHeight="1" x14ac:dyDescent="0.25">
      <c r="B1478" s="17"/>
      <c r="C1478" s="900"/>
      <c r="D1478" s="193" t="s">
        <v>431</v>
      </c>
      <c r="E1478" s="1528" t="str">
        <f>Translations!$B$796</f>
        <v>Waste gas imported</v>
      </c>
      <c r="F1478" s="1528"/>
      <c r="G1478" s="1528"/>
      <c r="H1478" s="154" t="str">
        <f>EUconst_TJpa</f>
        <v>TJ / year</v>
      </c>
      <c r="I1478" s="163" t="str">
        <f>IF(COUNT(I1476:I1477)=2,I1476*I1477/1000,"")</f>
        <v/>
      </c>
      <c r="J1478" s="163" t="str">
        <f>IF(COUNT(J1476:J1477)=2,J1476*J1477/1000,"")</f>
        <v/>
      </c>
      <c r="K1478" s="163" t="str">
        <f>IF(COUNT(K1476:K1477)=2,K1476*K1477/1000,"")</f>
        <v/>
      </c>
      <c r="L1478" s="163" t="str">
        <f>IF(COUNT(L1476:L1477)=2,L1476*L1477/1000,"")</f>
        <v/>
      </c>
      <c r="M1478" s="163" t="str">
        <f>IF(COUNT(M1476:M1477)=2,M1476*M1477/1000,"")</f>
        <v/>
      </c>
      <c r="N1478" s="903"/>
      <c r="O1478" s="17"/>
      <c r="P1478" s="63" t="str">
        <f>EUconst_CNTR_WGImport &amp; I1333</f>
        <v>WasteGasIm_</v>
      </c>
      <c r="R1478" s="464" t="str">
        <f>EUconst_ERR_AttrEmBMapplied &amp; I1333</f>
        <v>ERR_AttrEmBM_</v>
      </c>
      <c r="S1478" s="63">
        <f>IF(AND(I1478&lt;&gt;"",EUconst_StatusOfDataCollection=FALSE),1,0)</f>
        <v>0</v>
      </c>
      <c r="T1478" s="63">
        <f>IF(AND(J1478&lt;&gt;"",EUconst_StatusOfDataCollection=FALSE),1,0)</f>
        <v>0</v>
      </c>
      <c r="U1478" s="63">
        <f>IF(AND(K1478&lt;&gt;"",EUconst_StatusOfDataCollection=FALSE),1,0)</f>
        <v>0</v>
      </c>
      <c r="V1478" s="63">
        <f>IF(AND(L1478&lt;&gt;"",EUconst_StatusOfDataCollection=FALSE),1,0)</f>
        <v>0</v>
      </c>
      <c r="W1478" s="803">
        <f>IF(AND(M1478&lt;&gt;"",EUconst_StatusOfDataCollection=FALSE),1,0)</f>
        <v>0</v>
      </c>
      <c r="AA1478" s="815"/>
    </row>
    <row r="1479" spans="2:27" ht="12.75" customHeight="1" thickBot="1" x14ac:dyDescent="0.3">
      <c r="B1479" s="17"/>
      <c r="C1479" s="900"/>
      <c r="D1479" s="193" t="s">
        <v>432</v>
      </c>
      <c r="E1479" s="1528" t="str">
        <f>Translations!$B$797</f>
        <v>Specific EF (imported waste gas)</v>
      </c>
      <c r="F1479" s="1528"/>
      <c r="G1479" s="1528"/>
      <c r="H1479" s="154" t="str">
        <f>EUconst_tCO2pTJ</f>
        <v>t CO2 / TJ</v>
      </c>
      <c r="I1479" s="311"/>
      <c r="J1479" s="311"/>
      <c r="K1479" s="311"/>
      <c r="L1479" s="311"/>
      <c r="M1479" s="311"/>
      <c r="N1479" s="266"/>
      <c r="O1479" s="17"/>
      <c r="P1479" s="63" t="str">
        <f>EUconst_CNTR_WGImportEF &amp; I1333</f>
        <v>WasteGasImEF_</v>
      </c>
      <c r="R1479" s="460" t="str">
        <f>EUconst_CNTR_AttributedEmissions &amp; I1333</f>
        <v>AttrEmissions_</v>
      </c>
      <c r="S1479" s="389" t="str">
        <f>IF(S1333,SUM(I1478)*EUconst_FuelBMvalue,"")</f>
        <v/>
      </c>
      <c r="T1479" s="389" t="str">
        <f>IF(T1333,SUM(J1478)*EUconst_FuelBMvalue,"")</f>
        <v/>
      </c>
      <c r="U1479" s="389" t="str">
        <f>IF(U1333,SUM(K1478)*EUconst_FuelBMvalue,"")</f>
        <v/>
      </c>
      <c r="V1479" s="389" t="str">
        <f>IF(V1333,SUM(L1478)*EUconst_FuelBMvalue,"")</f>
        <v/>
      </c>
      <c r="W1479" s="390" t="str">
        <f>IF(W1333,SUM(M1478)*EUconst_FuelBMvalue,"")</f>
        <v/>
      </c>
      <c r="AA1479" s="285" t="b">
        <f>AA1477</f>
        <v>0</v>
      </c>
    </row>
    <row r="1480" spans="2:27" ht="12.75" customHeight="1" x14ac:dyDescent="0.25">
      <c r="B1480" s="17"/>
      <c r="C1480" s="900"/>
      <c r="D1480" s="342"/>
      <c r="E1480" s="342"/>
      <c r="F1480" s="342"/>
      <c r="G1480" s="342"/>
      <c r="H1480" s="342"/>
      <c r="I1480" s="342"/>
      <c r="J1480" s="342"/>
      <c r="K1480" s="342"/>
      <c r="L1480" s="342"/>
      <c r="M1480" s="342"/>
      <c r="N1480" s="266"/>
      <c r="O1480" s="17"/>
      <c r="AA1480" s="815"/>
    </row>
    <row r="1481" spans="2:27" ht="12.75" customHeight="1" x14ac:dyDescent="0.25">
      <c r="B1481" s="17"/>
      <c r="C1481" s="900"/>
      <c r="D1481" s="193" t="s">
        <v>433</v>
      </c>
      <c r="E1481" s="1529" t="str">
        <f>Translations!$B$798</f>
        <v>Types of waste gases exported:</v>
      </c>
      <c r="F1481" s="1529"/>
      <c r="G1481" s="1529"/>
      <c r="H1481" s="1529"/>
      <c r="I1481" s="1530"/>
      <c r="J1481" s="1531"/>
      <c r="K1481" s="1531"/>
      <c r="L1481" s="1531"/>
      <c r="M1481" s="1532"/>
      <c r="N1481" s="763"/>
      <c r="O1481" s="17"/>
      <c r="AA1481" s="285" t="b">
        <f>AA1476</f>
        <v>0</v>
      </c>
    </row>
    <row r="1482" spans="2:27" ht="5.0999999999999996" customHeight="1" x14ac:dyDescent="0.25">
      <c r="B1482" s="17"/>
      <c r="C1482" s="900"/>
      <c r="D1482" s="193"/>
      <c r="E1482" s="1533"/>
      <c r="F1482" s="1512"/>
      <c r="G1482" s="1512"/>
      <c r="H1482" s="1512"/>
      <c r="I1482" s="1512"/>
      <c r="J1482" s="1512"/>
      <c r="K1482" s="1512"/>
      <c r="L1482" s="1512"/>
      <c r="M1482" s="1512"/>
      <c r="N1482" s="1513"/>
      <c r="O1482" s="17"/>
      <c r="AA1482" s="815"/>
    </row>
    <row r="1483" spans="2:27" ht="12.75" customHeight="1" x14ac:dyDescent="0.25">
      <c r="B1483" s="17"/>
      <c r="C1483" s="900"/>
      <c r="D1483" s="342"/>
      <c r="E1483" s="1522"/>
      <c r="F1483" s="1523"/>
      <c r="G1483" s="1523"/>
      <c r="H1483" s="152" t="str">
        <f>EUconst_Unit</f>
        <v>Unit</v>
      </c>
      <c r="I1483" s="153">
        <f>I$1882</f>
        <v>2019</v>
      </c>
      <c r="J1483" s="153">
        <f>J$1882</f>
        <v>2020</v>
      </c>
      <c r="K1483" s="153">
        <f>K$1882</f>
        <v>2021</v>
      </c>
      <c r="L1483" s="153">
        <f>L$1882</f>
        <v>2022</v>
      </c>
      <c r="M1483" s="153">
        <f>M$1882</f>
        <v>2023</v>
      </c>
      <c r="N1483" s="903"/>
      <c r="O1483" s="17"/>
      <c r="AA1483" s="815"/>
    </row>
    <row r="1484" spans="2:27" ht="12.75" customHeight="1" x14ac:dyDescent="0.25">
      <c r="B1484" s="17"/>
      <c r="C1484" s="900"/>
      <c r="D1484" s="193" t="s">
        <v>434</v>
      </c>
      <c r="E1484" s="1526" t="str">
        <f>Translations!$B$800</f>
        <v>Amounts exported</v>
      </c>
      <c r="F1484" s="1526"/>
      <c r="G1484" s="1526"/>
      <c r="H1484" s="949" t="s">
        <v>427</v>
      </c>
      <c r="I1484" s="889"/>
      <c r="J1484" s="889"/>
      <c r="K1484" s="889"/>
      <c r="L1484" s="889"/>
      <c r="M1484" s="889"/>
      <c r="N1484" s="903"/>
      <c r="O1484" s="17"/>
      <c r="AA1484" s="285" t="b">
        <f>AA1481</f>
        <v>0</v>
      </c>
    </row>
    <row r="1485" spans="2:27" ht="12.75" customHeight="1" thickBot="1" x14ac:dyDescent="0.3">
      <c r="B1485" s="17"/>
      <c r="C1485" s="900"/>
      <c r="D1485" s="193" t="s">
        <v>435</v>
      </c>
      <c r="E1485" s="1527" t="str">
        <f>Translations!$B$470</f>
        <v>Net calorific value</v>
      </c>
      <c r="F1485" s="1527"/>
      <c r="G1485" s="1527"/>
      <c r="H1485" s="950" t="str">
        <f>IF(ISBLANK(H1484),EUconst_GJperUnit,INDEX(EUconst_GJperTorKNm3,MATCH(H1484,EUconst_TonnesOrkNm3pa,0)))</f>
        <v>GJ/1000Nm3</v>
      </c>
      <c r="I1485" s="895"/>
      <c r="J1485" s="895"/>
      <c r="K1485" s="895"/>
      <c r="L1485" s="895"/>
      <c r="M1485" s="895"/>
      <c r="N1485" s="903"/>
      <c r="O1485" s="17"/>
      <c r="AA1485" s="285" t="b">
        <f>AA1484</f>
        <v>0</v>
      </c>
    </row>
    <row r="1486" spans="2:27" ht="12.75" customHeight="1" x14ac:dyDescent="0.25">
      <c r="B1486" s="17"/>
      <c r="C1486" s="900"/>
      <c r="D1486" s="193" t="s">
        <v>436</v>
      </c>
      <c r="E1486" s="1528" t="str">
        <f>Translations!$B$801</f>
        <v>Waste gas exported</v>
      </c>
      <c r="F1486" s="1528"/>
      <c r="G1486" s="1528"/>
      <c r="H1486" s="154" t="str">
        <f>EUconst_TJpa</f>
        <v>TJ / year</v>
      </c>
      <c r="I1486" s="163" t="str">
        <f>IF(COUNT(I1484:I1485)=2,I1484*I1485/1000,"")</f>
        <v/>
      </c>
      <c r="J1486" s="163" t="str">
        <f>IF(COUNT(J1484:J1485)=2,J1484*J1485/1000,"")</f>
        <v/>
      </c>
      <c r="K1486" s="163" t="str">
        <f>IF(COUNT(K1484:K1485)=2,K1484*K1485/1000,"")</f>
        <v/>
      </c>
      <c r="L1486" s="163" t="str">
        <f>IF(COUNT(L1484:L1485)=2,L1484*L1485/1000,"")</f>
        <v/>
      </c>
      <c r="M1486" s="163" t="str">
        <f>IF(COUNT(M1484:M1485)=2,M1484*M1485/1000,"")</f>
        <v/>
      </c>
      <c r="N1486" s="277"/>
      <c r="O1486" s="17"/>
      <c r="P1486" s="63" t="str">
        <f>EUconst_CNTR_WGExport &amp; I1333</f>
        <v>WasteGasEx_</v>
      </c>
      <c r="R1486" s="459"/>
      <c r="S1486" s="326">
        <f>I1483</f>
        <v>2019</v>
      </c>
      <c r="T1486" s="326">
        <f>J1483</f>
        <v>2020</v>
      </c>
      <c r="U1486" s="326">
        <f>K1483</f>
        <v>2021</v>
      </c>
      <c r="V1486" s="326">
        <f>L1483</f>
        <v>2022</v>
      </c>
      <c r="W1486" s="327">
        <f>M1483</f>
        <v>2023</v>
      </c>
      <c r="AA1486" s="815"/>
    </row>
    <row r="1487" spans="2:27" ht="12.75" customHeight="1" thickBot="1" x14ac:dyDescent="0.3">
      <c r="B1487" s="17"/>
      <c r="C1487" s="900"/>
      <c r="D1487" s="193" t="s">
        <v>437</v>
      </c>
      <c r="E1487" s="1528" t="str">
        <f>Translations!$B$802</f>
        <v>Specific EF (exported waste gas)</v>
      </c>
      <c r="F1487" s="1528"/>
      <c r="G1487" s="1528"/>
      <c r="H1487" s="154" t="str">
        <f>EUconst_tCO2pTJ</f>
        <v>t CO2 / TJ</v>
      </c>
      <c r="I1487" s="311"/>
      <c r="J1487" s="311"/>
      <c r="K1487" s="311"/>
      <c r="L1487" s="311"/>
      <c r="M1487" s="311"/>
      <c r="N1487" s="266"/>
      <c r="O1487" s="17"/>
      <c r="P1487" s="63" t="str">
        <f>EUconst_CNTR_WGExportEF &amp; I1333</f>
        <v>WasteGasExEF_</v>
      </c>
      <c r="R1487" s="460" t="str">
        <f>EUconst_CNTR_AttributedEmissions &amp; I1333</f>
        <v>AttrEmissions_</v>
      </c>
      <c r="S1487" s="389" t="str">
        <f>IF(S1333,-SUM(I1486)*EUconst_NGEFvalue*EUconst_WasteGasCorrFactor,"")</f>
        <v/>
      </c>
      <c r="T1487" s="389" t="str">
        <f>IF(T1333,-SUM(J1486)*EUconst_NGEFvalue*EUconst_WasteGasCorrFactor,"")</f>
        <v/>
      </c>
      <c r="U1487" s="389" t="str">
        <f>IF(U1333,-SUM(K1486)*EUconst_NGEFvalue*EUconst_WasteGasCorrFactor,"")</f>
        <v/>
      </c>
      <c r="V1487" s="389" t="str">
        <f>IF(V1333,-SUM(L1486)*EUconst_NGEFvalue*EUconst_WasteGasCorrFactor,"")</f>
        <v/>
      </c>
      <c r="W1487" s="390" t="str">
        <f>IF(W1333,-SUM(M1486)*EUconst_NGEFvalue*EUconst_WasteGasCorrFactor,"")</f>
        <v/>
      </c>
      <c r="AA1487" s="286" t="b">
        <f>AA1485</f>
        <v>0</v>
      </c>
    </row>
    <row r="1488" spans="2:27" ht="12.75" customHeight="1" x14ac:dyDescent="0.25">
      <c r="B1488" s="17"/>
      <c r="C1488" s="900"/>
      <c r="D1488" s="342"/>
      <c r="E1488" s="342"/>
      <c r="F1488" s="342"/>
      <c r="G1488" s="342"/>
      <c r="H1488" s="342"/>
      <c r="I1488" s="342"/>
      <c r="J1488" s="342"/>
      <c r="K1488" s="342"/>
      <c r="L1488" s="342"/>
      <c r="M1488" s="342"/>
      <c r="N1488" s="266"/>
      <c r="O1488" s="17"/>
    </row>
    <row r="1489" spans="2:27" ht="12.75" customHeight="1" thickBot="1" x14ac:dyDescent="0.3">
      <c r="B1489" s="17"/>
      <c r="C1489" s="900"/>
      <c r="D1489" s="157" t="s">
        <v>359</v>
      </c>
      <c r="E1489" s="1511" t="str">
        <f>Translations!$B$420</f>
        <v>Electricity production</v>
      </c>
      <c r="F1489" s="1512"/>
      <c r="G1489" s="1512"/>
      <c r="H1489" s="1512"/>
      <c r="I1489" s="1512"/>
      <c r="J1489" s="1512"/>
      <c r="K1489" s="1512"/>
      <c r="L1489" s="1512"/>
      <c r="M1489" s="1512"/>
      <c r="N1489" s="1513"/>
      <c r="O1489" s="17"/>
    </row>
    <row r="1490" spans="2:27" ht="12.75" customHeight="1" x14ac:dyDescent="0.25">
      <c r="B1490" s="17"/>
      <c r="C1490" s="900"/>
      <c r="D1490" s="157"/>
      <c r="E1490" s="1522"/>
      <c r="F1490" s="1523"/>
      <c r="G1490" s="1523"/>
      <c r="H1490" s="152" t="str">
        <f>EUconst_Unit</f>
        <v>Unit</v>
      </c>
      <c r="I1490" s="153">
        <f>I$1882</f>
        <v>2019</v>
      </c>
      <c r="J1490" s="153">
        <f>J$1882</f>
        <v>2020</v>
      </c>
      <c r="K1490" s="153">
        <f>K$1882</f>
        <v>2021</v>
      </c>
      <c r="L1490" s="153">
        <f>L$1882</f>
        <v>2022</v>
      </c>
      <c r="M1490" s="153">
        <f>M$1882</f>
        <v>2023</v>
      </c>
      <c r="N1490" s="266"/>
      <c r="O1490" s="17"/>
      <c r="R1490" s="459"/>
      <c r="S1490" s="326">
        <f>I1490</f>
        <v>2019</v>
      </c>
      <c r="T1490" s="326">
        <f>J1490</f>
        <v>2020</v>
      </c>
      <c r="U1490" s="326">
        <f>K1490</f>
        <v>2021</v>
      </c>
      <c r="V1490" s="326">
        <f>L1490</f>
        <v>2022</v>
      </c>
      <c r="W1490" s="327">
        <f>M1490</f>
        <v>2023</v>
      </c>
    </row>
    <row r="1491" spans="2:27" ht="12.75" customHeight="1" thickBot="1" x14ac:dyDescent="0.3">
      <c r="B1491" s="17"/>
      <c r="C1491" s="900"/>
      <c r="D1491" s="193"/>
      <c r="E1491" s="1528" t="str">
        <f>Translations!$B$805</f>
        <v>Electricity produced</v>
      </c>
      <c r="F1491" s="1528"/>
      <c r="G1491" s="1528"/>
      <c r="H1491" s="154" t="str">
        <f>EUconst_MWhpa</f>
        <v>MWh / year</v>
      </c>
      <c r="I1491" s="311"/>
      <c r="J1491" s="311"/>
      <c r="K1491" s="311"/>
      <c r="L1491" s="311"/>
      <c r="M1491" s="311"/>
      <c r="N1491" s="903"/>
      <c r="O1491" s="17"/>
      <c r="P1491" s="63" t="str">
        <f>EUconst_CNTR_ElectricityExported &amp; I1333</f>
        <v>ElecEx_</v>
      </c>
      <c r="R1491" s="460" t="str">
        <f>EUconst_CNTR_AttributedEmissions &amp; I1333</f>
        <v>AttrEmissions_</v>
      </c>
      <c r="S1491" s="389" t="str">
        <f>IF(S1333,-SUM(I1491)*EUconst_ElBM,"")</f>
        <v/>
      </c>
      <c r="T1491" s="389" t="str">
        <f>IF(T1333,-SUM(J1491)*EUconst_ElBM,"")</f>
        <v/>
      </c>
      <c r="U1491" s="389" t="str">
        <f>IF(U1333,-SUM(K1491)*EUconst_ElBM,"")</f>
        <v/>
      </c>
      <c r="V1491" s="389" t="str">
        <f>IF(V1333,-SUM(L1491)*EUconst_ElBM,"")</f>
        <v/>
      </c>
      <c r="W1491" s="390" t="str">
        <f>IF(W1333,-SUM(M1491)*EUconst_ElBM,"")</f>
        <v/>
      </c>
    </row>
    <row r="1492" spans="2:27" ht="12.75" customHeight="1" x14ac:dyDescent="0.25">
      <c r="B1492" s="17"/>
      <c r="C1492" s="900"/>
      <c r="D1492" s="342"/>
      <c r="E1492" s="342"/>
      <c r="F1492" s="342"/>
      <c r="G1492" s="342"/>
      <c r="H1492" s="342"/>
      <c r="I1492" s="342"/>
      <c r="J1492" s="342"/>
      <c r="K1492" s="342"/>
      <c r="L1492" s="342"/>
      <c r="M1492" s="342"/>
      <c r="N1492" s="266"/>
      <c r="O1492" s="17"/>
    </row>
    <row r="1493" spans="2:27" ht="12.75" customHeight="1" thickBot="1" x14ac:dyDescent="0.3">
      <c r="B1493" s="17"/>
      <c r="C1493" s="900"/>
      <c r="D1493" s="157" t="s">
        <v>361</v>
      </c>
      <c r="E1493" s="1529" t="str">
        <f>Translations!$B$806</f>
        <v>Total amount of pulp produced</v>
      </c>
      <c r="F1493" s="1529"/>
      <c r="G1493" s="1529"/>
      <c r="H1493" s="1529"/>
      <c r="I1493" s="1529"/>
      <c r="J1493" s="1529"/>
      <c r="K1493" s="1529"/>
      <c r="L1493" s="1529"/>
      <c r="M1493" s="1529"/>
      <c r="N1493" s="1534"/>
      <c r="O1493" s="17"/>
    </row>
    <row r="1494" spans="2:27" ht="12.75" customHeight="1" thickBot="1" x14ac:dyDescent="0.3">
      <c r="B1494" s="17"/>
      <c r="C1494" s="900"/>
      <c r="D1494" s="193"/>
      <c r="E1494" s="1510" t="str">
        <f>IF(I1333="","",IF(INDEX(EUconst_BMlistPulp,MATCH(I1333,EUconst_BMlistNames,0)),I1333,""))</f>
        <v/>
      </c>
      <c r="F1494" s="1510"/>
      <c r="G1494" s="1510"/>
      <c r="H1494" s="154" t="str">
        <f>EUconst_Tons</f>
        <v>tonnes</v>
      </c>
      <c r="I1494" s="311"/>
      <c r="J1494" s="311"/>
      <c r="K1494" s="311"/>
      <c r="L1494" s="311"/>
      <c r="M1494" s="311"/>
      <c r="N1494" s="903"/>
      <c r="O1494" s="17"/>
      <c r="P1494" s="63" t="str">
        <f>EUconst_CNTR_HALPulpTotal &amp; I1333</f>
        <v>HALPulpTotal_</v>
      </c>
      <c r="AA1494" s="410" t="b">
        <f>IF(I1333&lt;&gt;"",IF(INDEX(EUconst_BMlistPulp,MATCH(I1333,EUconst_BMlistNames,0))=TRUE,FALSE,TRUE),FALSE)</f>
        <v>0</v>
      </c>
    </row>
    <row r="1495" spans="2:27" ht="12.75" customHeight="1" x14ac:dyDescent="0.25">
      <c r="B1495" s="17"/>
      <c r="C1495" s="900"/>
      <c r="D1495" s="193"/>
      <c r="E1495" s="193"/>
      <c r="F1495" s="193"/>
      <c r="G1495" s="193"/>
      <c r="H1495" s="193"/>
      <c r="I1495" s="193"/>
      <c r="J1495" s="193"/>
      <c r="K1495" s="193"/>
      <c r="L1495" s="193"/>
      <c r="M1495" s="193"/>
      <c r="N1495" s="903"/>
      <c r="O1495" s="17"/>
    </row>
    <row r="1496" spans="2:27" ht="12.75" customHeight="1" thickBot="1" x14ac:dyDescent="0.3">
      <c r="B1496" s="17"/>
      <c r="C1496" s="900"/>
      <c r="D1496" s="157" t="s">
        <v>362</v>
      </c>
      <c r="E1496" s="1511" t="str">
        <f>Translations!$B$810</f>
        <v>Import or export of intermediate products covered by product benchmarks</v>
      </c>
      <c r="F1496" s="1512"/>
      <c r="G1496" s="1512"/>
      <c r="H1496" s="1512"/>
      <c r="I1496" s="1512"/>
      <c r="J1496" s="1512"/>
      <c r="K1496" s="1512"/>
      <c r="L1496" s="1512"/>
      <c r="M1496" s="1512"/>
      <c r="N1496" s="1513"/>
      <c r="O1496" s="17"/>
    </row>
    <row r="1497" spans="2:27" ht="12.75" customHeight="1" thickBot="1" x14ac:dyDescent="0.3">
      <c r="B1497" s="17"/>
      <c r="C1497" s="900"/>
      <c r="D1497" s="193" t="s">
        <v>206</v>
      </c>
      <c r="E1497" s="1514" t="str">
        <f>Translations!$B$813</f>
        <v>Is there any import or export of intermediate products covered by product benchmarks?</v>
      </c>
      <c r="F1497" s="1514"/>
      <c r="G1497" s="1514"/>
      <c r="H1497" s="1514"/>
      <c r="I1497" s="1514"/>
      <c r="J1497" s="1514"/>
      <c r="K1497" s="1515"/>
      <c r="L1497" s="194"/>
      <c r="M1497" s="342"/>
      <c r="N1497" s="277"/>
      <c r="O1497" s="17"/>
      <c r="W1497" s="288" t="s">
        <v>418</v>
      </c>
      <c r="X1497" s="215" t="b">
        <f>IF(AND(I1333&lt;&gt;"",ISBLANK(L1497)),EUconst_Error&amp;"BM"&amp;C1333,FALSE)</f>
        <v>0</v>
      </c>
    </row>
    <row r="1498" spans="2:27" ht="5.0999999999999996" customHeight="1" x14ac:dyDescent="0.25">
      <c r="B1498" s="17"/>
      <c r="C1498" s="900"/>
      <c r="D1498" s="193"/>
      <c r="E1498" s="193"/>
      <c r="F1498" s="193"/>
      <c r="G1498" s="193"/>
      <c r="H1498" s="193"/>
      <c r="I1498" s="193"/>
      <c r="J1498" s="193"/>
      <c r="K1498" s="193"/>
      <c r="L1498" s="193"/>
      <c r="M1498" s="193"/>
      <c r="N1498" s="903"/>
      <c r="O1498" s="17"/>
    </row>
    <row r="1499" spans="2:27" ht="12.75" customHeight="1" thickBot="1" x14ac:dyDescent="0.3">
      <c r="B1499" s="17"/>
      <c r="C1499" s="900"/>
      <c r="D1499" s="157"/>
      <c r="E1499" s="1522" t="str">
        <f>Translations!$B$814</f>
        <v>Imported amounts:</v>
      </c>
      <c r="F1499" s="1523"/>
      <c r="G1499" s="1523"/>
      <c r="H1499" s="192" t="str">
        <f>EUconst_Unit</f>
        <v>Unit</v>
      </c>
      <c r="I1499" s="153">
        <f>I$1882</f>
        <v>2019</v>
      </c>
      <c r="J1499" s="153">
        <f>J$1882</f>
        <v>2020</v>
      </c>
      <c r="K1499" s="153">
        <f>K$1882</f>
        <v>2021</v>
      </c>
      <c r="L1499" s="153">
        <f>L$1882</f>
        <v>2022</v>
      </c>
      <c r="M1499" s="153">
        <f>M$1882</f>
        <v>2023</v>
      </c>
      <c r="N1499" s="903"/>
      <c r="O1499" s="17"/>
      <c r="AA1499" s="145" t="s">
        <v>396</v>
      </c>
    </row>
    <row r="1500" spans="2:27" ht="12.75" customHeight="1" x14ac:dyDescent="0.25">
      <c r="B1500" s="17"/>
      <c r="C1500" s="900"/>
      <c r="D1500" s="193" t="s">
        <v>208</v>
      </c>
      <c r="E1500" s="1524"/>
      <c r="F1500" s="1524"/>
      <c r="G1500" s="1524"/>
      <c r="H1500" s="853" t="str">
        <f>IF(E1500&lt;&gt;"",INDEX(EUconst_BMlistUnits,MATCH(E1500,EUconst_BMlistNames,0)),EUconst_Tons)</f>
        <v>tonnes</v>
      </c>
      <c r="I1500" s="953"/>
      <c r="J1500" s="953"/>
      <c r="K1500" s="953"/>
      <c r="L1500" s="953"/>
      <c r="M1500" s="953"/>
      <c r="N1500" s="903"/>
      <c r="O1500" s="17"/>
      <c r="P1500" s="63" t="str">
        <f>EUconst_CNTR_IntermediateImport &amp; R1500 &amp; "_" &amp; I1333</f>
        <v>IntImp_1_</v>
      </c>
      <c r="R1500" s="63">
        <v>1</v>
      </c>
      <c r="AA1500" s="316" t="b">
        <f>AND(NOT(ISBLANK(L1497)),L1497=FALSE)</f>
        <v>0</v>
      </c>
    </row>
    <row r="1501" spans="2:27" ht="12.75" customHeight="1" x14ac:dyDescent="0.25">
      <c r="B1501" s="17"/>
      <c r="C1501" s="900"/>
      <c r="D1501" s="193" t="s">
        <v>209</v>
      </c>
      <c r="E1501" s="1525"/>
      <c r="F1501" s="1525"/>
      <c r="G1501" s="1525"/>
      <c r="H1501" s="950" t="str">
        <f>IF(E1501&lt;&gt;"",INDEX(EUconst_BMlistUnits,MATCH(E1501,EUconst_BMlistNames,0)),EUconst_Tons)</f>
        <v>tonnes</v>
      </c>
      <c r="I1501" s="954"/>
      <c r="J1501" s="954"/>
      <c r="K1501" s="954"/>
      <c r="L1501" s="954"/>
      <c r="M1501" s="954"/>
      <c r="N1501" s="903"/>
      <c r="O1501" s="17"/>
      <c r="P1501" s="63" t="str">
        <f>EUconst_CNTR_IntermediateImport &amp; R1501 &amp; "_" &amp; I1333</f>
        <v>IntImp_2_</v>
      </c>
      <c r="R1501" s="63">
        <v>2</v>
      </c>
      <c r="AA1501" s="285" t="b">
        <f>AA1500</f>
        <v>0</v>
      </c>
    </row>
    <row r="1502" spans="2:27" ht="5.0999999999999996" customHeight="1" x14ac:dyDescent="0.25">
      <c r="B1502" s="17"/>
      <c r="C1502" s="900"/>
      <c r="D1502" s="193"/>
      <c r="E1502" s="193"/>
      <c r="F1502" s="193"/>
      <c r="G1502" s="193"/>
      <c r="H1502" s="193"/>
      <c r="I1502" s="193"/>
      <c r="J1502" s="193"/>
      <c r="K1502" s="193"/>
      <c r="L1502" s="193"/>
      <c r="M1502" s="193"/>
      <c r="N1502" s="903"/>
      <c r="O1502" s="17"/>
      <c r="AA1502" s="815"/>
    </row>
    <row r="1503" spans="2:27" ht="12.75" customHeight="1" x14ac:dyDescent="0.25">
      <c r="B1503" s="17"/>
      <c r="C1503" s="900"/>
      <c r="D1503" s="157"/>
      <c r="E1503" s="1522" t="str">
        <f>Translations!$B$815</f>
        <v>Exported amounts:</v>
      </c>
      <c r="F1503" s="1523"/>
      <c r="G1503" s="1523"/>
      <c r="H1503" s="192" t="str">
        <f>EUconst_Unit</f>
        <v>Unit</v>
      </c>
      <c r="I1503" s="153">
        <f>I$1882</f>
        <v>2019</v>
      </c>
      <c r="J1503" s="153">
        <f>J$1882</f>
        <v>2020</v>
      </c>
      <c r="K1503" s="153">
        <f>K$1882</f>
        <v>2021</v>
      </c>
      <c r="L1503" s="153">
        <f>L$1882</f>
        <v>2022</v>
      </c>
      <c r="M1503" s="153">
        <f>M$1882</f>
        <v>2023</v>
      </c>
      <c r="N1503" s="903"/>
      <c r="O1503" s="17"/>
      <c r="AA1503" s="815"/>
    </row>
    <row r="1504" spans="2:27" ht="12.75" customHeight="1" x14ac:dyDescent="0.25">
      <c r="B1504" s="17"/>
      <c r="C1504" s="900"/>
      <c r="D1504" s="193" t="s">
        <v>210</v>
      </c>
      <c r="E1504" s="1524"/>
      <c r="F1504" s="1524"/>
      <c r="G1504" s="1524"/>
      <c r="H1504" s="853" t="str">
        <f>IF(E1504&lt;&gt;"",INDEX(EUconst_BMlistUnits,MATCH(E1504,EUconst_BMlistNames,0)),EUconst_Tons)</f>
        <v>tonnes</v>
      </c>
      <c r="I1504" s="953"/>
      <c r="J1504" s="953"/>
      <c r="K1504" s="953"/>
      <c r="L1504" s="953"/>
      <c r="M1504" s="953"/>
      <c r="N1504" s="903"/>
      <c r="O1504" s="17"/>
      <c r="P1504" s="63" t="str">
        <f>EUconst_CNTR_IntermediateExport &amp; R1500 &amp; "_" &amp; I1333</f>
        <v>IntExp_1_</v>
      </c>
      <c r="R1504" s="63">
        <v>1</v>
      </c>
      <c r="U1504" s="955"/>
      <c r="V1504" s="955"/>
      <c r="AA1504" s="285" t="b">
        <f>AA1500</f>
        <v>0</v>
      </c>
    </row>
    <row r="1505" spans="2:27" ht="12.75" customHeight="1" x14ac:dyDescent="0.25">
      <c r="B1505" s="17"/>
      <c r="C1505" s="900"/>
      <c r="D1505" s="193" t="s">
        <v>220</v>
      </c>
      <c r="E1505" s="1525"/>
      <c r="F1505" s="1525"/>
      <c r="G1505" s="1525"/>
      <c r="H1505" s="950" t="str">
        <f>IF(E1505&lt;&gt;"",INDEX(EUconst_BMlistUnits,MATCH(E1505,EUconst_BMlistNames,0)),EUconst_Tons)</f>
        <v>tonnes</v>
      </c>
      <c r="I1505" s="954"/>
      <c r="J1505" s="954"/>
      <c r="K1505" s="954"/>
      <c r="L1505" s="954"/>
      <c r="M1505" s="954"/>
      <c r="N1505" s="903"/>
      <c r="O1505" s="17"/>
      <c r="P1505" s="63" t="str">
        <f>EUconst_CNTR_IntermediateExport &amp; R1505 &amp; "_" &amp; I1333</f>
        <v>IntExp_2_</v>
      </c>
      <c r="R1505" s="63">
        <v>2</v>
      </c>
      <c r="U1505" s="955"/>
      <c r="V1505" s="955"/>
      <c r="AA1505" s="285" t="b">
        <f>AA1500</f>
        <v>0</v>
      </c>
    </row>
    <row r="1506" spans="2:27" ht="5.0999999999999996" customHeight="1" x14ac:dyDescent="0.25">
      <c r="B1506" s="17"/>
      <c r="C1506" s="900"/>
      <c r="D1506" s="193"/>
      <c r="E1506" s="193"/>
      <c r="F1506" s="193"/>
      <c r="G1506" s="193"/>
      <c r="H1506" s="193"/>
      <c r="I1506" s="193"/>
      <c r="J1506" s="193"/>
      <c r="K1506" s="193"/>
      <c r="L1506" s="193"/>
      <c r="M1506" s="193"/>
      <c r="N1506" s="903"/>
      <c r="O1506" s="17"/>
      <c r="U1506" s="955"/>
      <c r="V1506" s="955"/>
      <c r="AA1506" s="815"/>
    </row>
    <row r="1507" spans="2:27" ht="12.75" customHeight="1" x14ac:dyDescent="0.25">
      <c r="B1507" s="17"/>
      <c r="C1507" s="900"/>
      <c r="D1507" s="193" t="s">
        <v>221</v>
      </c>
      <c r="E1507" s="1514" t="str">
        <f>Translations!$B$816</f>
        <v>Description of the intermediate products imported or exported</v>
      </c>
      <c r="F1507" s="1514"/>
      <c r="G1507" s="1514"/>
      <c r="H1507" s="1514"/>
      <c r="I1507" s="1514"/>
      <c r="J1507" s="1514"/>
      <c r="K1507" s="1514"/>
      <c r="L1507" s="1514"/>
      <c r="M1507" s="1514"/>
      <c r="N1507" s="903"/>
      <c r="O1507" s="17"/>
      <c r="U1507" s="955"/>
      <c r="V1507" s="955"/>
      <c r="AA1507" s="815"/>
    </row>
    <row r="1508" spans="2:27" ht="12.75" customHeight="1" x14ac:dyDescent="0.25">
      <c r="B1508" s="17"/>
      <c r="C1508" s="900"/>
      <c r="D1508" s="193"/>
      <c r="E1508" s="1516"/>
      <c r="F1508" s="1517"/>
      <c r="G1508" s="1517"/>
      <c r="H1508" s="1517"/>
      <c r="I1508" s="1517"/>
      <c r="J1508" s="1517"/>
      <c r="K1508" s="1517"/>
      <c r="L1508" s="1517"/>
      <c r="M1508" s="1518"/>
      <c r="N1508" s="903"/>
      <c r="O1508" s="17"/>
      <c r="U1508" s="955"/>
      <c r="V1508" s="955"/>
      <c r="AA1508" s="285" t="b">
        <f>AA1500</f>
        <v>0</v>
      </c>
    </row>
    <row r="1509" spans="2:27" ht="12.75" customHeight="1" thickBot="1" x14ac:dyDescent="0.3">
      <c r="B1509" s="17"/>
      <c r="C1509" s="900"/>
      <c r="D1509" s="193"/>
      <c r="E1509" s="1519"/>
      <c r="F1509" s="1520"/>
      <c r="G1509" s="1520"/>
      <c r="H1509" s="1520"/>
      <c r="I1509" s="1520"/>
      <c r="J1509" s="1520"/>
      <c r="K1509" s="1520"/>
      <c r="L1509" s="1520"/>
      <c r="M1509" s="1521"/>
      <c r="N1509" s="903"/>
      <c r="O1509" s="17"/>
      <c r="U1509" s="955"/>
      <c r="V1509" s="955"/>
      <c r="AA1509" s="286" t="b">
        <f>AA1500</f>
        <v>0</v>
      </c>
    </row>
    <row r="1510" spans="2:27" ht="12.75" customHeight="1" thickBot="1" x14ac:dyDescent="0.3">
      <c r="B1510" s="17"/>
      <c r="C1510" s="956"/>
      <c r="D1510" s="465"/>
      <c r="E1510" s="465"/>
      <c r="F1510" s="465"/>
      <c r="G1510" s="465"/>
      <c r="H1510" s="465"/>
      <c r="I1510" s="465"/>
      <c r="J1510" s="465"/>
      <c r="K1510" s="465"/>
      <c r="L1510" s="465"/>
      <c r="M1510" s="465"/>
      <c r="N1510" s="466"/>
      <c r="O1510" s="17"/>
    </row>
    <row r="1511" spans="2:27" ht="13.8" thickBot="1" x14ac:dyDescent="0.3">
      <c r="B1511" s="17"/>
      <c r="C1511" s="17"/>
      <c r="D1511" s="17"/>
      <c r="E1511" s="17"/>
      <c r="F1511" s="17"/>
      <c r="G1511" s="17"/>
      <c r="H1511" s="17"/>
      <c r="I1511" s="17"/>
      <c r="J1511" s="17"/>
      <c r="K1511" s="17"/>
      <c r="L1511" s="17"/>
      <c r="M1511" s="17"/>
      <c r="N1511" s="17"/>
      <c r="O1511" s="17"/>
      <c r="P1511" s="372" t="str">
        <f>IF(OR(AND(CNTR_ExistProductSubEntries=FALSE,P1333=1),AND(I1333&lt;&gt;"",COUNTIF(P1512:$P$1876,"PRINT")=0)),"PRINT","")</f>
        <v/>
      </c>
      <c r="Q1511" s="145" t="s">
        <v>442</v>
      </c>
    </row>
    <row r="1512" spans="2:27" ht="5.0999999999999996" customHeight="1" thickBot="1" x14ac:dyDescent="0.3">
      <c r="B1512" s="17"/>
      <c r="C1512" s="957"/>
      <c r="D1512" s="957"/>
      <c r="E1512" s="957"/>
      <c r="F1512" s="957"/>
      <c r="G1512" s="957"/>
      <c r="H1512" s="957"/>
      <c r="I1512" s="957"/>
      <c r="J1512" s="957"/>
      <c r="K1512" s="957"/>
      <c r="L1512" s="957"/>
      <c r="M1512" s="957"/>
      <c r="N1512" s="957"/>
      <c r="O1512" s="17"/>
    </row>
    <row r="1513" spans="2:27" ht="14.4" thickBot="1" x14ac:dyDescent="0.3">
      <c r="B1513" s="17"/>
      <c r="C1513" s="456">
        <f>C1333+1</f>
        <v>9</v>
      </c>
      <c r="D1513" s="1234" t="str">
        <f>EUconst_BMSubinst &amp; ":"</f>
        <v>Sub-installation with product benchmark:</v>
      </c>
      <c r="E1513" s="1176"/>
      <c r="F1513" s="1176"/>
      <c r="G1513" s="1176"/>
      <c r="H1513" s="1260"/>
      <c r="I1513" s="1550" t="str">
        <f>IF(INDEX(CNTR_SubInstListIsProdBM,$C1513),INDEX(CNTR_SubInstListNames,$C1513),"")</f>
        <v/>
      </c>
      <c r="J1513" s="1509"/>
      <c r="K1513" s="1509"/>
      <c r="L1513" s="1509"/>
      <c r="M1513" s="1509"/>
      <c r="N1513" s="1189"/>
      <c r="O1513" s="17"/>
      <c r="P1513" s="372">
        <f>C1513</f>
        <v>9</v>
      </c>
      <c r="Q1513" s="288" t="s">
        <v>296</v>
      </c>
      <c r="R1513" s="457" t="str">
        <f>IF(I1513="","",INDEX(CNTR_SubInstStartDate,MATCH($I1513,CNTR_SubInstListNames,0)))</f>
        <v/>
      </c>
      <c r="S1513" s="458" t="b">
        <f>IF($I1513="",FALSE,AND(I$1885, IF($R1513&lt;DATE($L$1882,1,1),YEAR($R1513)&lt;=I$1882,YEAR($R1513-1)&lt;I$1882) ) )</f>
        <v>0</v>
      </c>
      <c r="T1513" s="458" t="b">
        <f>IF($I1513="",FALSE,AND(J$1885, IF($R1513&lt;DATE($L$1882,1,1),YEAR($R1513)&lt;=J$1882,YEAR($R1513-1)&lt;J$1882) ) )</f>
        <v>0</v>
      </c>
      <c r="U1513" s="458" t="b">
        <f>IF($I1513="",FALSE,AND(K$1885, IF($R1513&lt;DATE($L$1882,1,1),YEAR($R1513)&lt;=K$1882,YEAR($R1513-1)&lt;K$1882) ) )</f>
        <v>0</v>
      </c>
      <c r="V1513" s="458" t="b">
        <f>IF($I1513="",FALSE,AND(L$1885, IF($R1513&lt;DATE($L$1882,1,1),YEAR($R1513)&lt;=L$1882,YEAR($R1513-1)&lt;L$1882) ) )</f>
        <v>0</v>
      </c>
      <c r="W1513" s="458" t="b">
        <f>IF($I1513="",FALSE,AND(M$1885, IF($R1513&lt;DATE($L$1882,1,1),YEAR($R1513)&lt;=M$1882,YEAR($R1513-1)&lt;M$1882) ) )</f>
        <v>0</v>
      </c>
      <c r="Z1513" s="288" t="s">
        <v>390</v>
      </c>
      <c r="AA1513" s="410" t="b">
        <f>AND(CNTR_ExistSubInstEntries,I1513="")</f>
        <v>0</v>
      </c>
    </row>
    <row r="1514" spans="2:27" ht="5.0999999999999996" customHeight="1" x14ac:dyDescent="0.25">
      <c r="B1514" s="17"/>
      <c r="C1514" s="17"/>
      <c r="D1514" s="17"/>
      <c r="E1514" s="17"/>
      <c r="F1514" s="17"/>
      <c r="G1514" s="17"/>
      <c r="H1514" s="17"/>
      <c r="I1514" s="17"/>
      <c r="J1514" s="17"/>
      <c r="K1514" s="17"/>
      <c r="L1514" s="17"/>
      <c r="M1514" s="17"/>
      <c r="N1514" s="17"/>
      <c r="O1514" s="17"/>
    </row>
    <row r="1515" spans="2:27" ht="12.75" customHeight="1" x14ac:dyDescent="0.25">
      <c r="B1515" s="17"/>
      <c r="C1515" s="17"/>
      <c r="D1515" s="17"/>
      <c r="E1515" s="1413" t="str">
        <f>CONCATENATE(EUconst_MsgSeeFirst," (F.I.1)")</f>
        <v>Detailed instructions for data entries in this tool can be found at the first copy of this tool.  (F.I.1)</v>
      </c>
      <c r="F1515" s="1413"/>
      <c r="G1515" s="1413"/>
      <c r="H1515" s="1413"/>
      <c r="I1515" s="1413"/>
      <c r="J1515" s="1413"/>
      <c r="K1515" s="1413"/>
      <c r="L1515" s="1413"/>
      <c r="M1515" s="1413"/>
      <c r="N1515" s="1413"/>
      <c r="O1515" s="17"/>
    </row>
    <row r="1516" spans="2:27" ht="5.0999999999999996" customHeight="1" x14ac:dyDescent="0.25">
      <c r="B1516" s="17"/>
      <c r="C1516" s="17"/>
      <c r="D1516" s="17"/>
      <c r="E1516" s="17"/>
      <c r="F1516" s="17"/>
      <c r="G1516" s="17"/>
      <c r="H1516" s="17"/>
      <c r="I1516" s="17"/>
      <c r="J1516" s="17"/>
      <c r="K1516" s="17"/>
      <c r="L1516" s="17"/>
      <c r="M1516" s="17"/>
      <c r="N1516" s="17"/>
      <c r="O1516" s="17"/>
    </row>
    <row r="1517" spans="2:27" ht="13.8" thickBot="1" x14ac:dyDescent="0.3">
      <c r="B1517" s="17"/>
      <c r="C1517" s="17"/>
      <c r="D1517" s="15" t="s">
        <v>190</v>
      </c>
      <c r="E1517" s="1165" t="str">
        <f>Translations!$B$670</f>
        <v>Historic activity levels</v>
      </c>
      <c r="F1517" s="1176"/>
      <c r="G1517" s="1176"/>
      <c r="H1517" s="1176"/>
      <c r="I1517" s="1176"/>
      <c r="J1517" s="1176"/>
      <c r="K1517" s="1176"/>
      <c r="L1517" s="1176"/>
      <c r="M1517" s="1176"/>
      <c r="N1517" s="1176"/>
      <c r="O1517" s="17"/>
    </row>
    <row r="1518" spans="2:27" ht="13.5" customHeight="1" thickBot="1" x14ac:dyDescent="0.3">
      <c r="B1518" s="17"/>
      <c r="C1518" s="17"/>
      <c r="D1518" s="15"/>
      <c r="E1518" s="1259" t="str">
        <f>Translations!$B$676</f>
        <v>Annual activity levels:</v>
      </c>
      <c r="F1518" s="1259"/>
      <c r="G1518" s="1259"/>
      <c r="H1518" s="23" t="str">
        <f>EUconst_Unit</f>
        <v>Unit</v>
      </c>
      <c r="I1518" s="128">
        <f>I$1882</f>
        <v>2019</v>
      </c>
      <c r="J1518" s="128">
        <f>J$1882</f>
        <v>2020</v>
      </c>
      <c r="K1518" s="128">
        <f>K$1882</f>
        <v>2021</v>
      </c>
      <c r="L1518" s="128">
        <f>L$1882</f>
        <v>2022</v>
      </c>
      <c r="M1518" s="144">
        <f>M$1882</f>
        <v>2023</v>
      </c>
      <c r="N1518" s="376" t="str">
        <f>IF(I1513="","",IF(S1523,YEAR(R1513)+1,""))</f>
        <v/>
      </c>
      <c r="O1518" s="17"/>
      <c r="Q1518" s="147" t="s">
        <v>395</v>
      </c>
      <c r="R1518" s="920"/>
      <c r="S1518" s="920"/>
      <c r="T1518" s="920"/>
      <c r="U1518" s="920"/>
      <c r="V1518" s="920"/>
      <c r="W1518" s="921"/>
      <c r="Y1518" s="316" t="b">
        <f>IF(CNTR_ExistSubInstEntries,IF(I1513&lt;&gt;"",NOT(S1523),TRUE),FALSE)</f>
        <v>0</v>
      </c>
      <c r="AA1518" s="145" t="s">
        <v>396</v>
      </c>
    </row>
    <row r="1519" spans="2:27" ht="13.8" thickBot="1" x14ac:dyDescent="0.3">
      <c r="B1519" s="17"/>
      <c r="C1519" s="17"/>
      <c r="D1519" s="113" t="s">
        <v>206</v>
      </c>
      <c r="E1519" s="1560" t="str">
        <f>I1513</f>
        <v/>
      </c>
      <c r="F1519" s="1560"/>
      <c r="G1519" s="1560"/>
      <c r="H1519" s="820" t="str">
        <f>IF(INDEX(CNTR_SubInstListIsProdBM,$C1513),INDEX(CNTR_SubInstListHALUnit,$C1513),EUconst_Tons)</f>
        <v>tonnes</v>
      </c>
      <c r="I1519" s="231"/>
      <c r="J1519" s="231"/>
      <c r="K1519" s="231"/>
      <c r="L1519" s="231"/>
      <c r="M1519" s="375"/>
      <c r="N1519" s="922"/>
      <c r="O1519" s="17"/>
      <c r="P1519" s="392" t="s">
        <v>397</v>
      </c>
      <c r="Q1519" s="581" t="s">
        <v>398</v>
      </c>
      <c r="R1519" s="65" t="s">
        <v>399</v>
      </c>
      <c r="S1519" s="808">
        <f>I1518</f>
        <v>2019</v>
      </c>
      <c r="T1519" s="809">
        <f>J1518</f>
        <v>2020</v>
      </c>
      <c r="U1519" s="809">
        <f>K1518</f>
        <v>2021</v>
      </c>
      <c r="V1519" s="809">
        <f>L1518</f>
        <v>2022</v>
      </c>
      <c r="W1519" s="810">
        <f>M1518</f>
        <v>2023</v>
      </c>
      <c r="Y1519" s="406" t="b">
        <f>IF(CNTR_ExistSubInstEntries,IF(AND(I1513&lt;&gt;"",N1520=""),NOT(S1523),TRUE),FALSE)</f>
        <v>0</v>
      </c>
      <c r="AA1519" s="316" t="b">
        <f>IF(CNTR_ExistSubInstEntries,AND(I1513&lt;&gt;"",Q1523),FALSE)</f>
        <v>0</v>
      </c>
    </row>
    <row r="1520" spans="2:27" ht="13.8" thickBot="1" x14ac:dyDescent="0.3">
      <c r="B1520" s="17"/>
      <c r="C1520" s="17"/>
      <c r="D1520" s="113" t="s">
        <v>208</v>
      </c>
      <c r="E1520" s="1560" t="str">
        <f>Translations!$B$677</f>
        <v>From sheet "H_SpecialBM":</v>
      </c>
      <c r="F1520" s="1560"/>
      <c r="G1520" s="1560"/>
      <c r="H1520" s="820" t="str">
        <f>H1519</f>
        <v>tonnes</v>
      </c>
      <c r="I1520" s="148" t="str">
        <f>IF($I1513="","",IF($Q1523,SUMIF(H_SpecialBM!$P$9:$P$384,$P1520,H_SpecialBM!I$9:I$384),""))</f>
        <v/>
      </c>
      <c r="J1520" s="148" t="str">
        <f>IF($I1513="","",IF($Q1523,SUMIF(H_SpecialBM!$P$9:$P$384,$P1520,H_SpecialBM!J$9:J$384),""))</f>
        <v/>
      </c>
      <c r="K1520" s="148" t="str">
        <f>IF($I1513="","",IF($Q1523,SUMIF(H_SpecialBM!$P$9:$P$384,$P1520,H_SpecialBM!K$9:K$384),""))</f>
        <v/>
      </c>
      <c r="L1520" s="148" t="str">
        <f>IF($I1513="","",IF($Q1523,SUMIF(H_SpecialBM!$P$9:$P$384,$P1520,H_SpecialBM!L$9:L$384),""))</f>
        <v/>
      </c>
      <c r="M1520" s="923" t="str">
        <f>IF($I1513="","",IF($Q1523,SUMIF(H_SpecialBM!$P$9:$P$384,$P1520,H_SpecialBM!M$9:M$384),""))</f>
        <v/>
      </c>
      <c r="N1520" s="924" t="str">
        <f>IF($I1513="","",IF(AND($Q1523,$S1523),SUMIF(H_SpecialBM!$P$9:$P$384,$P1520,H_SpecialBM!N$9:N$384),""))</f>
        <v/>
      </c>
      <c r="O1520" s="17"/>
      <c r="P1520" s="392" t="str">
        <f>EUconst_CNTR_HALspecial&amp;I1513</f>
        <v>HALspecial_</v>
      </c>
      <c r="Q1520" s="391" t="str">
        <f>IF(COUNT($U1520:$V1520)&gt;0,SUM($U1520:$V1520),"")</f>
        <v/>
      </c>
      <c r="R1520" s="925" t="str">
        <f>IF(COUNT(S1520:W1520)&gt;0,AVERAGE(S1520:W1520),"")</f>
        <v/>
      </c>
      <c r="S1520" s="385" t="str">
        <f>IF(S1513,IF(ISNUMBER(I1520),I1520,""),"")</f>
        <v/>
      </c>
      <c r="T1520" s="926" t="str">
        <f>IF(T1513,IF(ISNUMBER(J1520),J1520,""),"")</f>
        <v/>
      </c>
      <c r="U1520" s="926" t="str">
        <f>IF(U1513,IF(ISNUMBER(K1520),K1520,""),"")</f>
        <v/>
      </c>
      <c r="V1520" s="926" t="str">
        <f>IF(V1513,IF(ISNUMBER(L1520),L1520,""),"")</f>
        <v/>
      </c>
      <c r="W1520" s="925" t="str">
        <f>IF(W1513,IF(ISNUMBER(M1520),M1520,""),"")</f>
        <v/>
      </c>
      <c r="Y1520" s="406" t="b">
        <f>OR(Y1518,AA1520)</f>
        <v>0</v>
      </c>
      <c r="AA1520" s="317" t="b">
        <f>Q1523=FALSE</f>
        <v>0</v>
      </c>
    </row>
    <row r="1521" spans="2:27" ht="13.8" thickBot="1" x14ac:dyDescent="0.3">
      <c r="B1521" s="17"/>
      <c r="C1521" s="17"/>
      <c r="D1521" s="113" t="s">
        <v>209</v>
      </c>
      <c r="E1521" s="1560" t="str">
        <f>Translations!$B$678</f>
        <v>Values used for calculation:</v>
      </c>
      <c r="F1521" s="1560"/>
      <c r="G1521" s="1560"/>
      <c r="H1521" s="820" t="str">
        <f>H1520</f>
        <v>tonnes</v>
      </c>
      <c r="I1521" s="148" t="str">
        <f>IF($I1513="","",IF($Q1523=TRUE,IF(ISNUMBER(I1520),I1520,0),IF(ISNUMBER(I1519),I1519,0)))</f>
        <v/>
      </c>
      <c r="J1521" s="148" t="str">
        <f>IF($I1513="","",IF($Q1523=TRUE,IF(ISNUMBER(J1520),J1520,0),IF(ISNUMBER(J1519),J1519,0)))</f>
        <v/>
      </c>
      <c r="K1521" s="148" t="str">
        <f>IF($I1513="","",IF($Q1523=TRUE,IF(ISNUMBER(K1520),K1520,0),IF(ISNUMBER(K1519),K1519,0)))</f>
        <v/>
      </c>
      <c r="L1521" s="148" t="str">
        <f>IF($I1513="","",IF($Q1523=TRUE,IF(ISNUMBER(L1520),L1520,0),IF(ISNUMBER(L1519),L1519,0)))</f>
        <v/>
      </c>
      <c r="M1521" s="923" t="str">
        <f>IF($I1513="","",IF($Q1523=TRUE,IF(ISNUMBER(M1520),M1520,0),IF(ISNUMBER(M1519),M1519,0)))</f>
        <v/>
      </c>
      <c r="N1521" s="924" t="str">
        <f>IF($I1513="","",IF(S1523,IF($Q1523=TRUE,IF(ISNUMBER(N1520),N1520,0),IF(ISNUMBER(N1519),N1519,0)),""))</f>
        <v/>
      </c>
      <c r="O1521" s="17"/>
      <c r="P1521" s="392" t="str">
        <f>EUconst_CNTR_HAL&amp;I1513</f>
        <v>HAL_</v>
      </c>
      <c r="Q1521" s="286" t="str">
        <f>IF(COUNT($U1521:$V1521)&gt;0,SUM($U1521:$V1521),"")</f>
        <v/>
      </c>
      <c r="R1521" s="390" t="str">
        <f>IF(COUNT(S1521:W1521)&gt;0,AVERAGE(S1521:W1521),"")</f>
        <v/>
      </c>
      <c r="S1521" s="388" t="str">
        <f>IF(S1513,IF(ISNUMBER(I1521),I1521,""),"")</f>
        <v/>
      </c>
      <c r="T1521" s="389" t="str">
        <f>IF(T1513,IF(ISNUMBER(J1521),J1521,""),"")</f>
        <v/>
      </c>
      <c r="U1521" s="389" t="str">
        <f>IF(U1513,IF(ISNUMBER(K1521),K1521,""),"")</f>
        <v/>
      </c>
      <c r="V1521" s="389" t="str">
        <f>IF(V1513,IF(ISNUMBER(L1521),L1521,""),"")</f>
        <v/>
      </c>
      <c r="W1521" s="390" t="str">
        <f>IF(W1513,IF(ISNUMBER(M1521),M1521,""),"")</f>
        <v/>
      </c>
      <c r="Y1521" s="286" t="b">
        <f>Y1518</f>
        <v>0</v>
      </c>
    </row>
    <row r="1522" spans="2:27" ht="5.0999999999999996" customHeight="1" x14ac:dyDescent="0.25">
      <c r="B1522" s="17"/>
      <c r="C1522" s="17"/>
      <c r="D1522" s="17"/>
      <c r="E1522" s="17"/>
      <c r="F1522" s="17"/>
      <c r="G1522" s="17"/>
      <c r="H1522" s="17"/>
      <c r="I1522" s="17"/>
      <c r="J1522" s="17"/>
      <c r="K1522" s="17"/>
      <c r="L1522" s="17"/>
      <c r="M1522" s="17"/>
      <c r="N1522" s="17"/>
      <c r="O1522" s="17"/>
    </row>
    <row r="1523" spans="2:27" x14ac:dyDescent="0.25">
      <c r="B1523" s="17"/>
      <c r="C1523" s="17"/>
      <c r="D1523" s="15" t="s">
        <v>192</v>
      </c>
      <c r="E1523" s="1165" t="str">
        <f>Translations!$B$679</f>
        <v>Special reporting requirements:</v>
      </c>
      <c r="F1523" s="1165"/>
      <c r="G1523" s="1425"/>
      <c r="H1523" s="1561" t="str">
        <f>IF(I1513="","",HYPERLINK(INDEX(EUconst_BMlistSpecialJumpTable,MATCH(I1513,EUconst_BMlistNames,0)),INDEX(EUconst_BMlistSpecialReporting,MATCH(I1513,EUconst_BMlistNames,0))))</f>
        <v/>
      </c>
      <c r="I1523" s="1562"/>
      <c r="J1523" s="1562"/>
      <c r="K1523" s="1562"/>
      <c r="L1523" s="1562"/>
      <c r="M1523" s="1562"/>
      <c r="N1523" s="1563"/>
      <c r="O1523" s="17"/>
      <c r="P1523" s="288" t="s">
        <v>400</v>
      </c>
      <c r="Q1523" s="63" t="str">
        <f>IF(I1513="","",IF(AND(INDEX(EUconst_BMlistSpecialJumpTable,MATCH(I1513,EUconst_BMlistNames,0))&lt;&gt;"",MATCH(I1513,EUconst_BMlistNames,0)&lt;&gt;47),TRUE,FALSE))</f>
        <v/>
      </c>
      <c r="R1523" s="288" t="s">
        <v>304</v>
      </c>
      <c r="S1523" s="63" t="b">
        <f>IF(I1513="",FALSE,INDEX(CNTR_SubInstLess1Year,MATCH(I1513,CNTR_SubInstListNames,0)))</f>
        <v>0</v>
      </c>
    </row>
    <row r="1524" spans="2:27" ht="12.75" customHeight="1" x14ac:dyDescent="0.25">
      <c r="B1524" s="17"/>
      <c r="C1524" s="17"/>
      <c r="D1524" s="17"/>
      <c r="E1524" s="17"/>
      <c r="F1524" s="17"/>
      <c r="G1524" s="17"/>
      <c r="H1524" s="17"/>
      <c r="I1524" s="17"/>
      <c r="J1524" s="17"/>
      <c r="K1524" s="17"/>
      <c r="L1524" s="17"/>
      <c r="M1524" s="17"/>
      <c r="N1524" s="17"/>
      <c r="O1524" s="17"/>
    </row>
    <row r="1525" spans="2:27" ht="15" customHeight="1" x14ac:dyDescent="0.25">
      <c r="B1525" s="17"/>
      <c r="C1525" s="17"/>
      <c r="D1525" s="1234" t="str">
        <f>Translations!$B$681</f>
        <v>Further correction factors</v>
      </c>
      <c r="E1525" s="1176"/>
      <c r="F1525" s="1176"/>
      <c r="G1525" s="1176"/>
      <c r="H1525" s="1176"/>
      <c r="I1525" s="1176"/>
      <c r="J1525" s="1176"/>
      <c r="K1525" s="1176"/>
      <c r="L1525" s="1176"/>
      <c r="M1525" s="1176"/>
      <c r="N1525" s="1176"/>
      <c r="O1525" s="17"/>
    </row>
    <row r="1526" spans="2:27" ht="5.0999999999999996" customHeight="1" x14ac:dyDescent="0.25">
      <c r="B1526" s="17"/>
      <c r="C1526" s="17"/>
      <c r="D1526" s="17"/>
      <c r="E1526" s="17"/>
      <c r="F1526" s="17"/>
      <c r="G1526" s="17"/>
      <c r="H1526" s="17"/>
      <c r="I1526" s="17"/>
      <c r="J1526" s="17"/>
      <c r="K1526" s="17"/>
      <c r="L1526" s="17"/>
      <c r="M1526" s="17"/>
      <c r="N1526" s="17"/>
      <c r="O1526" s="17"/>
    </row>
    <row r="1527" spans="2:27" ht="13.8" thickBot="1" x14ac:dyDescent="0.3">
      <c r="B1527" s="17"/>
      <c r="C1527" s="17"/>
      <c r="D1527" s="15" t="s">
        <v>195</v>
      </c>
      <c r="E1527" s="1165" t="str">
        <f>Translations!$B$682</f>
        <v>Exchangeability of fuel and electricity:</v>
      </c>
      <c r="F1527" s="1176"/>
      <c r="G1527" s="1176"/>
      <c r="H1527" s="1176"/>
      <c r="I1527" s="1260"/>
      <c r="J1527" s="1561" t="str">
        <f>IF(I1513="","",IF(INDEX(EUconst_BMlistElExchangability,MATCH(I1513,EUconst_BMlistNames,0))=TRUE,"",HYPERLINK(Q1527,EUconst_MsgGoOn)))</f>
        <v/>
      </c>
      <c r="K1527" s="1564"/>
      <c r="L1527" s="1564"/>
      <c r="M1527" s="1564"/>
      <c r="N1527" s="1205"/>
      <c r="O1527" s="17"/>
      <c r="P1527" s="145" t="s">
        <v>334</v>
      </c>
      <c r="Q1527" s="372" t="str">
        <f>"#"&amp;ADDRESS(ROW(D1535),COLUMN(D1535))</f>
        <v>#$D$1535</v>
      </c>
    </row>
    <row r="1528" spans="2:27" ht="13.8" thickBot="1" x14ac:dyDescent="0.3">
      <c r="B1528" s="17"/>
      <c r="C1528" s="17"/>
      <c r="D1528" s="15"/>
      <c r="E1528" s="1259" t="str">
        <f>Translations!$B$686</f>
        <v>Parameter</v>
      </c>
      <c r="F1528" s="1212"/>
      <c r="G1528" s="1212"/>
      <c r="H1528" s="23" t="str">
        <f>EUconst_Unit</f>
        <v>Unit</v>
      </c>
      <c r="I1528" s="128">
        <f>I$66</f>
        <v>2019</v>
      </c>
      <c r="J1528" s="128">
        <f>J$66</f>
        <v>2020</v>
      </c>
      <c r="K1528" s="128">
        <f>K$66</f>
        <v>2021</v>
      </c>
      <c r="L1528" s="128">
        <f>L$66</f>
        <v>2022</v>
      </c>
      <c r="M1528" s="144">
        <f>M$66</f>
        <v>2023</v>
      </c>
      <c r="N1528" s="376" t="str">
        <f>IF(AA1529=FALSE,N1518,"")</f>
        <v/>
      </c>
      <c r="O1528" s="17"/>
      <c r="Y1528" s="316" t="b">
        <f>OR(Y1518,AA1529)</f>
        <v>0</v>
      </c>
      <c r="AA1528" s="145" t="s">
        <v>402</v>
      </c>
    </row>
    <row r="1529" spans="2:27" ht="13.8" thickBot="1" x14ac:dyDescent="0.3">
      <c r="B1529" s="17"/>
      <c r="C1529" s="17"/>
      <c r="D1529" s="113" t="s">
        <v>206</v>
      </c>
      <c r="E1529" s="1248" t="str">
        <f>Translations!$B$687</f>
        <v>Direct emissions</v>
      </c>
      <c r="F1529" s="1248"/>
      <c r="G1529" s="1248"/>
      <c r="H1529" s="222" t="str">
        <f>EUconst_tCO2pa</f>
        <v>t CO2 / year</v>
      </c>
      <c r="I1529" s="331"/>
      <c r="J1529" s="331"/>
      <c r="K1529" s="332"/>
      <c r="L1529" s="331"/>
      <c r="M1529" s="377"/>
      <c r="N1529" s="383"/>
      <c r="O1529" s="17"/>
      <c r="Y1529" s="285" t="b">
        <f>Y1528</f>
        <v>0</v>
      </c>
      <c r="AA1529" s="316" t="b">
        <f>IF(CNTR_ExistSubInstEntries,IF(I1513&lt;&gt;"",IF(INDEX(EUconst_BMlistElExchangability,MATCH(I1513,EUconst_BMlistNames,0)),FALSE,TRUE),TRUE),FALSE)</f>
        <v>0</v>
      </c>
    </row>
    <row r="1530" spans="2:27" x14ac:dyDescent="0.25">
      <c r="B1530" s="17"/>
      <c r="C1530" s="17"/>
      <c r="D1530" s="113" t="s">
        <v>208</v>
      </c>
      <c r="E1530" s="1251" t="str">
        <f>Translations!$B$688</f>
        <v>Net imported heat</v>
      </c>
      <c r="F1530" s="1251"/>
      <c r="G1530" s="1251"/>
      <c r="H1530" s="225" t="str">
        <f>EUconst_TJpa</f>
        <v>TJ / year</v>
      </c>
      <c r="I1530" s="226" t="str">
        <f>IF($I1513&lt;&gt;"",IF(INDEX(EUconst_BMlistElExchangability,MATCH($I1513,EUconst_BMlistNames,0)),SUM(I1614),""),"")</f>
        <v/>
      </c>
      <c r="J1530" s="226" t="str">
        <f>IF($I1513&lt;&gt;"",IF(INDEX(EUconst_BMlistElExchangability,MATCH($I1513,EUconst_BMlistNames,0)),SUM(J1614),""),"")</f>
        <v/>
      </c>
      <c r="K1530" s="226" t="str">
        <f>IF($I1513&lt;&gt;"",IF(INDEX(EUconst_BMlistElExchangability,MATCH($I1513,EUconst_BMlistNames,0)),SUM(K1614),""),"")</f>
        <v/>
      </c>
      <c r="L1530" s="226" t="str">
        <f>IF($I1513&lt;&gt;"",IF(INDEX(EUconst_BMlistElExchangability,MATCH($I1513,EUconst_BMlistNames,0)),SUM(L1614),""),"")</f>
        <v/>
      </c>
      <c r="M1530" s="378" t="str">
        <f>IF($I1513&lt;&gt;"",IF(INDEX(EUconst_BMlistElExchangability,MATCH($I1513,EUconst_BMlistNames,0)),SUM(M1614),""),"")</f>
        <v/>
      </c>
      <c r="N1530" s="384"/>
      <c r="O1530" s="17"/>
      <c r="R1530" s="459"/>
      <c r="S1530" s="326">
        <f>I1528</f>
        <v>2019</v>
      </c>
      <c r="T1530" s="326">
        <f>J1528</f>
        <v>2020</v>
      </c>
      <c r="U1530" s="326">
        <f>K1528</f>
        <v>2021</v>
      </c>
      <c r="V1530" s="326">
        <f>L1528</f>
        <v>2022</v>
      </c>
      <c r="W1530" s="327">
        <f>M1528</f>
        <v>2023</v>
      </c>
      <c r="Y1530" s="285" t="b">
        <f>Y1529</f>
        <v>0</v>
      </c>
      <c r="AA1530" s="285" t="b">
        <f>AA1529</f>
        <v>0</v>
      </c>
    </row>
    <row r="1531" spans="2:27" ht="12.75" customHeight="1" thickBot="1" x14ac:dyDescent="0.3">
      <c r="B1531" s="17"/>
      <c r="C1531" s="17"/>
      <c r="D1531" s="113" t="s">
        <v>209</v>
      </c>
      <c r="E1531" s="1565" t="str">
        <f>Translations!$B$689</f>
        <v>Relevant electricity consumption</v>
      </c>
      <c r="F1531" s="1565"/>
      <c r="G1531" s="1565"/>
      <c r="H1531" s="927" t="str">
        <f>EUconst_MWhpa</f>
        <v>MWh / year</v>
      </c>
      <c r="I1531" s="928"/>
      <c r="J1531" s="928"/>
      <c r="K1531" s="928"/>
      <c r="L1531" s="928"/>
      <c r="M1531" s="929"/>
      <c r="N1531" s="930"/>
      <c r="O1531" s="17"/>
      <c r="P1531" s="63" t="str">
        <f>EUconst_CNTR_HAL&amp;EUconst_CNTR_ELEXCH</f>
        <v>HAL_ELEXCH_</v>
      </c>
      <c r="Q1531" s="63" t="str">
        <f>EUconst_CNTR_HAL&amp;EUconst_CNTR_ELEXCH &amp; I1513</f>
        <v>HAL_ELEXCH_</v>
      </c>
      <c r="R1531" s="460" t="str">
        <f>EUconst_CNTR_AttributedEmissions &amp; I1513</f>
        <v>AttrEmissions_</v>
      </c>
      <c r="S1531" s="389" t="str">
        <f>IF(S1513,SUM(I1531)*EUconst_ElBM,"")</f>
        <v/>
      </c>
      <c r="T1531" s="389" t="str">
        <f>IF(T1513,SUM(J1531)*EUconst_ElBM,"")</f>
        <v/>
      </c>
      <c r="U1531" s="389" t="str">
        <f>IF(U1513,SUM(K1531)*EUconst_ElBM,"")</f>
        <v/>
      </c>
      <c r="V1531" s="389" t="str">
        <f>IF(V1513,SUM(L1531)*EUconst_ElBM,"")</f>
        <v/>
      </c>
      <c r="W1531" s="390" t="str">
        <f>IF(W1513,SUM(M1531)*EUconst_ElBM,"")</f>
        <v/>
      </c>
      <c r="X1531" s="145" t="str">
        <f>N1528</f>
        <v/>
      </c>
      <c r="Y1531" s="285" t="b">
        <f>Y1530</f>
        <v>0</v>
      </c>
      <c r="AA1531" s="285" t="b">
        <f>AA1530</f>
        <v>0</v>
      </c>
    </row>
    <row r="1532" spans="2:27" ht="13.8" thickBot="1" x14ac:dyDescent="0.3">
      <c r="B1532" s="17"/>
      <c r="C1532" s="17"/>
      <c r="D1532" s="113" t="s">
        <v>210</v>
      </c>
      <c r="E1532" s="1248" t="str">
        <f>Translations!$B$690</f>
        <v>Total direct emissions</v>
      </c>
      <c r="F1532" s="1248"/>
      <c r="G1532" s="1248"/>
      <c r="H1532" s="222" t="str">
        <f>EUconst_tCO2pa</f>
        <v>t CO2 / year</v>
      </c>
      <c r="I1532" s="223" t="str">
        <f>IF(ISNUMBER(I1529),I1529+SUM(I1530)*EUconst_HeatBMvalue,"")</f>
        <v/>
      </c>
      <c r="J1532" s="223" t="str">
        <f>IF(ISNUMBER(J1529),J1529+SUM(J1530)*EUconst_HeatBMvalue,"")</f>
        <v/>
      </c>
      <c r="K1532" s="224" t="str">
        <f>IF(ISNUMBER(K1529),K1529+SUM(K1530)*EUconst_HeatBMvalue,"")</f>
        <v/>
      </c>
      <c r="L1532" s="223" t="str">
        <f>IF(ISNUMBER(L1529),L1529+SUM(L1530)*EUconst_HeatBMvalue,"")</f>
        <v/>
      </c>
      <c r="M1532" s="379" t="str">
        <f>IF(ISNUMBER(M1529),M1529+SUM(M1530)*EUconst_HeatBMvalue,"")</f>
        <v/>
      </c>
      <c r="N1532" s="381" t="str">
        <f>IF(AND(S1523,ISNUMBER(N1529)),N1529+SUM(N1530)*EUconst_HeatBMvalue,"")</f>
        <v/>
      </c>
      <c r="O1532" s="17"/>
      <c r="R1532" s="288" t="s">
        <v>403</v>
      </c>
      <c r="S1532" s="385" t="str">
        <f>IF(S1513,IF(ISNUMBER(I1532),I1532,0),"")</f>
        <v/>
      </c>
      <c r="T1532" s="386" t="str">
        <f>IF(T1513,IF(ISNUMBER(J1532),J1532,0),"")</f>
        <v/>
      </c>
      <c r="U1532" s="386" t="str">
        <f>IF(U1513,IF(ISNUMBER(K1532),K1532,0),"")</f>
        <v/>
      </c>
      <c r="V1532" s="386" t="str">
        <f>IF(V1513,IF(ISNUMBER(L1532),L1532,0),"")</f>
        <v/>
      </c>
      <c r="W1532" s="387" t="str">
        <f>IF(W1513,IF(ISNUMBER(M1532),M1532,0),"")</f>
        <v/>
      </c>
      <c r="X1532" s="391" t="str">
        <f>IF(S1523,IF(ISNUMBER(N1532),N1532,0),"")</f>
        <v/>
      </c>
      <c r="Y1532" s="285" t="b">
        <f>Y1531</f>
        <v>0</v>
      </c>
      <c r="AA1532" s="285" t="b">
        <f>AA1531</f>
        <v>0</v>
      </c>
    </row>
    <row r="1533" spans="2:27" ht="13.8" thickBot="1" x14ac:dyDescent="0.3">
      <c r="B1533" s="17"/>
      <c r="C1533" s="17"/>
      <c r="D1533" s="113" t="s">
        <v>220</v>
      </c>
      <c r="E1533" s="1254" t="str">
        <f>Translations!$B$691</f>
        <v>Indirect emissions</v>
      </c>
      <c r="F1533" s="1254"/>
      <c r="G1533" s="1254"/>
      <c r="H1533" s="227" t="str">
        <f>EUconst_tCO2pa</f>
        <v>t CO2 / year</v>
      </c>
      <c r="I1533" s="228" t="str">
        <f t="shared" ref="I1533:N1533" si="32">IF(ISNUMBER(I1531),I1531*EUconst_ElBM,"")</f>
        <v/>
      </c>
      <c r="J1533" s="228" t="str">
        <f t="shared" si="32"/>
        <v/>
      </c>
      <c r="K1533" s="229" t="str">
        <f t="shared" si="32"/>
        <v/>
      </c>
      <c r="L1533" s="228" t="str">
        <f t="shared" si="32"/>
        <v/>
      </c>
      <c r="M1533" s="380" t="str">
        <f t="shared" si="32"/>
        <v/>
      </c>
      <c r="N1533" s="382" t="str">
        <f t="shared" si="32"/>
        <v/>
      </c>
      <c r="O1533" s="17"/>
      <c r="P1533" s="392" t="str">
        <f>EUconst_CNTR_ELEXCH &amp; I1513</f>
        <v>ELEXCH_</v>
      </c>
      <c r="Q1533" s="393" t="str">
        <f>IF(SUM(S1533:X1533)&lt;&gt;0,SUM(S1532:X1532)/SUM(S1533:X1533),EUconst_NA)</f>
        <v>N.A.</v>
      </c>
      <c r="R1533" s="288" t="s">
        <v>323</v>
      </c>
      <c r="S1533" s="388" t="str">
        <f>IF(S1513,IF(COUNT(I1532:I1533)&gt;0,SUM(I1532:I1533),0),"")</f>
        <v/>
      </c>
      <c r="T1533" s="389" t="str">
        <f>IF(T1513,IF(COUNT(J1532:J1533)&gt;0,SUM(J1532:J1533),0),"")</f>
        <v/>
      </c>
      <c r="U1533" s="389" t="str">
        <f>IF(U1513,IF(COUNT(K1532:K1533)&gt;0,SUM(K1532:K1533),0),"")</f>
        <v/>
      </c>
      <c r="V1533" s="389" t="str">
        <f>IF(V1513,IF(COUNT(L1532:L1533)&gt;0,SUM(L1532:L1533),0),"")</f>
        <v/>
      </c>
      <c r="W1533" s="390" t="str">
        <f>IF(W1513,IF(COUNT(M1532:M1533)&gt;0,SUM(M1532:M1533),0),"")</f>
        <v/>
      </c>
      <c r="X1533" s="286" t="str">
        <f>IF(S1523,IF(COUNT(N1532:N1533)&gt;0,SUM(N1532:N1533),0),"")</f>
        <v/>
      </c>
      <c r="Y1533" s="286" t="b">
        <f>Y1532</f>
        <v>0</v>
      </c>
      <c r="AA1533" s="286" t="b">
        <f>AA1532</f>
        <v>0</v>
      </c>
    </row>
    <row r="1534" spans="2:27" ht="5.0999999999999996" customHeight="1" x14ac:dyDescent="0.25">
      <c r="B1534" s="17"/>
      <c r="C1534" s="17"/>
      <c r="D1534" s="17"/>
      <c r="E1534" s="17"/>
      <c r="F1534" s="17"/>
      <c r="G1534" s="17"/>
      <c r="H1534" s="17"/>
      <c r="I1534" s="17"/>
      <c r="J1534" s="17"/>
      <c r="K1534" s="17"/>
      <c r="L1534" s="17"/>
      <c r="M1534" s="17"/>
      <c r="N1534" s="17"/>
      <c r="O1534" s="17"/>
    </row>
    <row r="1535" spans="2:27" x14ac:dyDescent="0.25">
      <c r="B1535" s="17"/>
      <c r="C1535" s="17"/>
      <c r="D1535" s="15" t="s">
        <v>197</v>
      </c>
      <c r="E1535" s="1165" t="str">
        <f>Translations!$B$692</f>
        <v>Heat imported from non-ETS installations or entities:</v>
      </c>
      <c r="F1535" s="1165"/>
      <c r="G1535" s="1165"/>
      <c r="H1535" s="1165"/>
      <c r="I1535" s="1425"/>
      <c r="J1535" s="1561" t="str">
        <f>IF(I1513="","",HYPERLINK(Q1535,EUconst_MsgGoOnIfNotRelevant))</f>
        <v/>
      </c>
      <c r="K1535" s="1564"/>
      <c r="L1535" s="1564"/>
      <c r="M1535" s="1564"/>
      <c r="N1535" s="1205"/>
      <c r="O1535" s="17"/>
      <c r="P1535" s="145" t="s">
        <v>334</v>
      </c>
      <c r="Q1535" s="372" t="str">
        <f>"#"&amp;ADDRESS(ROW(D1542),COLUMN(D1542))</f>
        <v>#$D$1542</v>
      </c>
    </row>
    <row r="1536" spans="2:27" ht="13.5" customHeight="1" thickBot="1" x14ac:dyDescent="0.3">
      <c r="B1536" s="17"/>
      <c r="C1536" s="17"/>
      <c r="D1536" s="17"/>
      <c r="E1536" s="1223"/>
      <c r="F1536" s="1223"/>
      <c r="G1536" s="1223"/>
      <c r="H1536" s="1223"/>
      <c r="I1536" s="1223"/>
      <c r="J1536" s="1223"/>
      <c r="K1536" s="1223"/>
      <c r="L1536" s="1223"/>
      <c r="M1536" s="1223"/>
      <c r="N1536" s="1223"/>
      <c r="O1536" s="17"/>
      <c r="Y1536" s="145" t="s">
        <v>394</v>
      </c>
    </row>
    <row r="1537" spans="2:27" ht="13.8" thickBot="1" x14ac:dyDescent="0.3">
      <c r="B1537" s="17"/>
      <c r="C1537" s="17"/>
      <c r="D1537" s="15"/>
      <c r="E1537" s="1259" t="str">
        <f>Translations!$B$686</f>
        <v>Parameter</v>
      </c>
      <c r="F1537" s="1212"/>
      <c r="G1537" s="1212"/>
      <c r="H1537" s="23" t="str">
        <f>EUconst_Unit</f>
        <v>Unit</v>
      </c>
      <c r="I1537" s="128">
        <f>I$66</f>
        <v>2019</v>
      </c>
      <c r="J1537" s="128">
        <f>J$66</f>
        <v>2020</v>
      </c>
      <c r="K1537" s="128">
        <f>K$66</f>
        <v>2021</v>
      </c>
      <c r="L1537" s="128">
        <f>L$66</f>
        <v>2022</v>
      </c>
      <c r="M1537" s="144">
        <f>M$66</f>
        <v>2023</v>
      </c>
      <c r="N1537" s="376" t="str">
        <f>N1528</f>
        <v/>
      </c>
      <c r="O1537" s="17"/>
      <c r="Q1537" s="28"/>
      <c r="S1537" s="28">
        <f t="shared" ref="S1537:X1537" si="33">I1537</f>
        <v>2019</v>
      </c>
      <c r="T1537" s="28">
        <f t="shared" si="33"/>
        <v>2020</v>
      </c>
      <c r="U1537" s="28">
        <f t="shared" si="33"/>
        <v>2021</v>
      </c>
      <c r="V1537" s="28">
        <f t="shared" si="33"/>
        <v>2022</v>
      </c>
      <c r="W1537" s="28">
        <f t="shared" si="33"/>
        <v>2023</v>
      </c>
      <c r="X1537" s="145" t="str">
        <f t="shared" si="33"/>
        <v/>
      </c>
      <c r="Y1537" s="295" t="b">
        <f>Y1518</f>
        <v>0</v>
      </c>
      <c r="Z1537" s="28"/>
      <c r="AA1537" s="145" t="s">
        <v>396</v>
      </c>
    </row>
    <row r="1538" spans="2:27" ht="13.8" thickBot="1" x14ac:dyDescent="0.3">
      <c r="B1538" s="17"/>
      <c r="C1538" s="17"/>
      <c r="D1538" s="113" t="s">
        <v>206</v>
      </c>
      <c r="E1538" s="1412" t="str">
        <f>Translations!$B$697</f>
        <v>Measurable heat imported from non-ETS:</v>
      </c>
      <c r="F1538" s="1412"/>
      <c r="G1538" s="1412"/>
      <c r="H1538" s="43" t="str">
        <f>EUconst_TJpa</f>
        <v>TJ / year</v>
      </c>
      <c r="I1538" s="293"/>
      <c r="J1538" s="293"/>
      <c r="K1538" s="293"/>
      <c r="L1538" s="293"/>
      <c r="M1538" s="931"/>
      <c r="N1538" s="397"/>
      <c r="O1538" s="17"/>
      <c r="P1538" s="63" t="str">
        <f>EUconst_CNTR_HAL&amp;EUconst_CNTR_nonETSMeasHeat</f>
        <v>HAL_non-ETS measurable heat</v>
      </c>
      <c r="S1538" s="808" t="str">
        <f>IF(S1513,IF(ISNUMBER(I1538),I1538,0),"")</f>
        <v/>
      </c>
      <c r="T1538" s="809" t="str">
        <f>IF(T1513,IF(ISNUMBER(J1538),J1538,0),"")</f>
        <v/>
      </c>
      <c r="U1538" s="809" t="str">
        <f>IF(U1513,IF(ISNUMBER(K1538),K1538,0),"")</f>
        <v/>
      </c>
      <c r="V1538" s="809" t="str">
        <f>IF(V1513,IF(ISNUMBER(L1538),L1538,0),"")</f>
        <v/>
      </c>
      <c r="W1538" s="810" t="str">
        <f>IF(W1513,IF(ISNUMBER(M1538),M1538,0),"")</f>
        <v/>
      </c>
      <c r="X1538" s="215" t="str">
        <f>IF(S1523,IF(ISNUMBER(N1538),N1538,0),"")</f>
        <v/>
      </c>
      <c r="Y1538" s="286" t="b">
        <f>Y1537</f>
        <v>0</v>
      </c>
      <c r="AA1538" s="316" t="b">
        <f>AND(CNTR_ExistSubInstEntries,I1513="")</f>
        <v>0</v>
      </c>
    </row>
    <row r="1539" spans="2:27" ht="25.5" customHeight="1" thickBot="1" x14ac:dyDescent="0.3">
      <c r="B1539" s="17"/>
      <c r="C1539" s="17"/>
      <c r="D1539" s="113" t="s">
        <v>208</v>
      </c>
      <c r="E1539" s="1248" t="str">
        <f>Translations!$B$698</f>
        <v>Consistency check with sheet "E_Energy flows":</v>
      </c>
      <c r="F1539" s="1248"/>
      <c r="G1539" s="1248"/>
      <c r="H1539" s="856" t="s">
        <v>354</v>
      </c>
      <c r="I1539" s="932" t="str">
        <f>IF(AND(ISNUMBER(I1538),ISNUMBER(E_EnergyFlows!I$102)), I1538/E_EnergyFlows!I$102*100,"")</f>
        <v/>
      </c>
      <c r="J1539" s="932" t="str">
        <f>IF(AND(ISNUMBER(J1538),ISNUMBER(E_EnergyFlows!J$102)), J1538/E_EnergyFlows!J$102*100,"")</f>
        <v/>
      </c>
      <c r="K1539" s="932" t="str">
        <f>IF(AND(ISNUMBER(K1538),ISNUMBER(E_EnergyFlows!K$102)), K1538/E_EnergyFlows!K$102*100,"")</f>
        <v/>
      </c>
      <c r="L1539" s="932" t="str">
        <f>IF(AND(ISNUMBER(L1538),ISNUMBER(E_EnergyFlows!L$102)), L1538/E_EnergyFlows!L$102*100,"")</f>
        <v/>
      </c>
      <c r="M1539" s="933" t="str">
        <f>IF(AND(ISNUMBER(M1538),ISNUMBER(E_EnergyFlows!M$102)), M1538/E_EnergyFlows!M$102*100,"")</f>
        <v/>
      </c>
      <c r="N1539" s="646"/>
      <c r="O1539" s="17"/>
      <c r="P1539" s="392" t="str">
        <f>EUconst_CNTR_HEAT &amp; I1513</f>
        <v>HEAT_</v>
      </c>
      <c r="Q1539" s="109" t="str">
        <f>IF(COUNT(S1538:X1538)&gt;0,AVERAGE(S1538:X1538)*EUconst_HeatBMvalue,EUconst_NA)</f>
        <v>N.A.</v>
      </c>
      <c r="AA1539" s="815"/>
    </row>
    <row r="1540" spans="2:27" ht="12.75" customHeight="1" x14ac:dyDescent="0.25">
      <c r="B1540" s="17"/>
      <c r="C1540" s="17"/>
      <c r="D1540" s="113" t="s">
        <v>209</v>
      </c>
      <c r="E1540" s="1254" t="str">
        <f>Translations!$B$699</f>
        <v>Consistency check with point (k)(i):</v>
      </c>
      <c r="F1540" s="1254"/>
      <c r="G1540" s="1254"/>
      <c r="H1540" s="860" t="s">
        <v>354</v>
      </c>
      <c r="I1540" s="934" t="str">
        <f>IF(AND(I1614&gt;0,ISNUMBER(I1538)), I1538/I1614*100,"")</f>
        <v/>
      </c>
      <c r="J1540" s="934" t="str">
        <f>IF(AND(J1614&gt;0,ISNUMBER(J1538)), J1538/J1614*100,"")</f>
        <v/>
      </c>
      <c r="K1540" s="934" t="str">
        <f>IF(AND(K1614&gt;0,ISNUMBER(K1538)), K1538/K1614*100,"")</f>
        <v/>
      </c>
      <c r="L1540" s="934" t="str">
        <f>IF(AND(L1614&gt;0,ISNUMBER(L1538)), L1538/L1614*100,"")</f>
        <v/>
      </c>
      <c r="M1540" s="935" t="str">
        <f>IF(AND(M1614&gt;0,ISNUMBER(M1538)), M1538/M1614*100,"")</f>
        <v/>
      </c>
      <c r="N1540" s="646"/>
      <c r="O1540" s="17"/>
      <c r="AA1540" s="815"/>
    </row>
    <row r="1541" spans="2:27" ht="12.75" customHeight="1" x14ac:dyDescent="0.25">
      <c r="B1541" s="17"/>
      <c r="C1541" s="17"/>
      <c r="D1541" s="17"/>
      <c r="E1541" s="17"/>
      <c r="F1541" s="17"/>
      <c r="G1541" s="17"/>
      <c r="H1541" s="17"/>
      <c r="I1541" s="31"/>
      <c r="J1541" s="17"/>
      <c r="K1541" s="17"/>
      <c r="L1541" s="17"/>
      <c r="M1541" s="17"/>
      <c r="N1541" s="17"/>
      <c r="O1541" s="17"/>
      <c r="P1541" s="44"/>
      <c r="AA1541" s="815"/>
    </row>
    <row r="1542" spans="2:27" ht="13.8" x14ac:dyDescent="0.25">
      <c r="B1542" s="17"/>
      <c r="C1542" s="338"/>
      <c r="D1542" s="1234" t="str">
        <f>Translations!$B$700</f>
        <v>Production details</v>
      </c>
      <c r="E1542" s="1176"/>
      <c r="F1542" s="1176"/>
      <c r="G1542" s="1176"/>
      <c r="H1542" s="1176"/>
      <c r="I1542" s="1176"/>
      <c r="J1542" s="1176"/>
      <c r="K1542" s="1176"/>
      <c r="L1542" s="1176"/>
      <c r="M1542" s="1176"/>
      <c r="N1542" s="1176"/>
      <c r="O1542" s="17"/>
      <c r="AA1542" s="815"/>
    </row>
    <row r="1543" spans="2:27" ht="5.0999999999999996" customHeight="1" x14ac:dyDescent="0.25">
      <c r="B1543" s="17"/>
      <c r="C1543" s="17"/>
      <c r="D1543" s="17"/>
      <c r="E1543" s="17"/>
      <c r="F1543" s="17"/>
      <c r="G1543" s="17"/>
      <c r="H1543" s="17"/>
      <c r="I1543" s="17"/>
      <c r="J1543" s="17"/>
      <c r="K1543" s="17"/>
      <c r="L1543" s="17"/>
      <c r="M1543" s="17"/>
      <c r="N1543" s="17"/>
      <c r="O1543" s="17"/>
      <c r="AA1543" s="815"/>
    </row>
    <row r="1544" spans="2:27" x14ac:dyDescent="0.25">
      <c r="B1544" s="17"/>
      <c r="C1544" s="15"/>
      <c r="D1544" s="15" t="s">
        <v>202</v>
      </c>
      <c r="E1544" s="1165" t="str">
        <f>Translations!$B$701</f>
        <v>Identification of products included in this product benchmark sub-installation</v>
      </c>
      <c r="F1544" s="1176"/>
      <c r="G1544" s="1176"/>
      <c r="H1544" s="1176"/>
      <c r="I1544" s="1176"/>
      <c r="J1544" s="1176"/>
      <c r="K1544" s="1176"/>
      <c r="L1544" s="1176"/>
      <c r="M1544" s="1176"/>
      <c r="N1544" s="1176"/>
      <c r="O1544" s="17"/>
      <c r="AA1544" s="815"/>
    </row>
    <row r="1545" spans="2:27" ht="13.2" customHeight="1" x14ac:dyDescent="0.25">
      <c r="B1545" s="17"/>
      <c r="C1545" s="17"/>
      <c r="D1545" s="17"/>
      <c r="E1545" s="1223" t="s">
        <v>443</v>
      </c>
      <c r="F1545" s="1176"/>
      <c r="G1545" s="1176"/>
      <c r="H1545" s="1176"/>
      <c r="I1545" s="1176"/>
      <c r="J1545" s="1176"/>
      <c r="K1545" s="1176"/>
      <c r="L1545" s="1176"/>
      <c r="M1545" s="1176"/>
      <c r="N1545" s="1176"/>
      <c r="O1545" s="17"/>
      <c r="AA1545" s="815"/>
    </row>
    <row r="1546" spans="2:27" x14ac:dyDescent="0.25">
      <c r="B1546" s="17"/>
      <c r="C1546" s="17"/>
      <c r="D1546" s="17"/>
      <c r="E1546" s="1554" t="s">
        <v>408</v>
      </c>
      <c r="F1546" s="1555"/>
      <c r="G1546" s="1555"/>
      <c r="H1546" s="1555"/>
      <c r="I1546" s="1555"/>
      <c r="J1546" s="1555"/>
      <c r="K1546" s="1555"/>
      <c r="L1546" s="1555"/>
      <c r="M1546" s="1555"/>
      <c r="N1546" s="1555"/>
      <c r="O1546" s="17"/>
      <c r="AA1546" s="815"/>
    </row>
    <row r="1547" spans="2:27" ht="5.0999999999999996" customHeight="1" x14ac:dyDescent="0.25">
      <c r="B1547" s="17"/>
      <c r="C1547" s="17"/>
      <c r="D1547" s="17"/>
      <c r="E1547" s="17"/>
      <c r="F1547" s="17"/>
      <c r="G1547" s="17"/>
      <c r="H1547" s="17"/>
      <c r="I1547" s="17"/>
      <c r="J1547" s="17"/>
      <c r="K1547" s="17"/>
      <c r="L1547" s="17"/>
      <c r="M1547" s="17"/>
      <c r="N1547" s="17"/>
      <c r="O1547" s="17"/>
      <c r="AA1547" s="815"/>
    </row>
    <row r="1548" spans="2:27" x14ac:dyDescent="0.25">
      <c r="B1548" s="17"/>
      <c r="C1548" s="15"/>
      <c r="D1548" s="15" t="s">
        <v>199</v>
      </c>
      <c r="E1548" s="1165" t="str">
        <f>Translations!$B$706</f>
        <v>Individual production levels of products included in this product benchmark sub-installation</v>
      </c>
      <c r="F1548" s="1176"/>
      <c r="G1548" s="1176"/>
      <c r="H1548" s="1176"/>
      <c r="I1548" s="1176"/>
      <c r="J1548" s="1176"/>
      <c r="K1548" s="1176"/>
      <c r="L1548" s="1176"/>
      <c r="M1548" s="1176"/>
      <c r="N1548" s="1176"/>
      <c r="O1548" s="17"/>
      <c r="AA1548" s="815"/>
    </row>
    <row r="1549" spans="2:27" ht="5.0999999999999996" customHeight="1" x14ac:dyDescent="0.25">
      <c r="B1549" s="17"/>
      <c r="C1549" s="17"/>
      <c r="D1549" s="17"/>
      <c r="E1549" s="884"/>
      <c r="F1549" s="884"/>
      <c r="G1549" s="884"/>
      <c r="H1549" s="884"/>
      <c r="I1549" s="884"/>
      <c r="J1549" s="77"/>
      <c r="K1549" s="77"/>
      <c r="L1549" s="77"/>
      <c r="M1549" s="17"/>
      <c r="N1549" s="17"/>
      <c r="O1549" s="17"/>
      <c r="AA1549" s="815"/>
    </row>
    <row r="1550" spans="2:27" ht="25.5" customHeight="1" x14ac:dyDescent="0.25">
      <c r="B1550" s="17"/>
      <c r="C1550" s="17"/>
      <c r="D1550" s="26"/>
      <c r="E1550" s="129" t="s">
        <v>409</v>
      </c>
      <c r="F1550" s="1556" t="str">
        <f>Translations!$B$707</f>
        <v>Name of product or group of products</v>
      </c>
      <c r="G1550" s="1557"/>
      <c r="H1550" s="461" t="str">
        <f>EUconst_Unit</f>
        <v>Unit</v>
      </c>
      <c r="I1550" s="128">
        <f>I$1882</f>
        <v>2019</v>
      </c>
      <c r="J1550" s="128">
        <f>J$1882</f>
        <v>2020</v>
      </c>
      <c r="K1550" s="128">
        <f>K$1882</f>
        <v>2021</v>
      </c>
      <c r="L1550" s="128">
        <f>L$1882</f>
        <v>2022</v>
      </c>
      <c r="M1550" s="128">
        <f>M$1882</f>
        <v>2023</v>
      </c>
      <c r="N1550" s="17"/>
      <c r="O1550" s="17"/>
      <c r="AA1550" s="815"/>
    </row>
    <row r="1551" spans="2:27" x14ac:dyDescent="0.25">
      <c r="B1551" s="17"/>
      <c r="C1551" s="17"/>
      <c r="D1551" s="222">
        <v>1</v>
      </c>
      <c r="E1551" s="602"/>
      <c r="F1551" s="1558"/>
      <c r="G1551" s="1559"/>
      <c r="H1551" s="322"/>
      <c r="I1551" s="889"/>
      <c r="J1551" s="889"/>
      <c r="K1551" s="889"/>
      <c r="L1551" s="889"/>
      <c r="M1551" s="889"/>
      <c r="N1551" s="17"/>
      <c r="O1551" s="17"/>
      <c r="AA1551" s="285" t="b">
        <f>AA1538</f>
        <v>0</v>
      </c>
    </row>
    <row r="1552" spans="2:27" x14ac:dyDescent="0.25">
      <c r="B1552" s="17"/>
      <c r="C1552" s="17"/>
      <c r="D1552" s="225">
        <f>D1551+1</f>
        <v>2</v>
      </c>
      <c r="E1552" s="760"/>
      <c r="F1552" s="1542"/>
      <c r="G1552" s="1543"/>
      <c r="H1552" s="936"/>
      <c r="I1552" s="892"/>
      <c r="J1552" s="892"/>
      <c r="K1552" s="892"/>
      <c r="L1552" s="892"/>
      <c r="M1552" s="892"/>
      <c r="N1552" s="17"/>
      <c r="O1552" s="17"/>
      <c r="AA1552" s="285" t="b">
        <f>AA1551</f>
        <v>0</v>
      </c>
    </row>
    <row r="1553" spans="2:27" x14ac:dyDescent="0.25">
      <c r="B1553" s="17"/>
      <c r="C1553" s="17"/>
      <c r="D1553" s="225">
        <f t="shared" ref="D1553:D1560" si="34">D1552+1</f>
        <v>3</v>
      </c>
      <c r="E1553" s="760"/>
      <c r="F1553" s="1542"/>
      <c r="G1553" s="1543"/>
      <c r="H1553" s="936"/>
      <c r="I1553" s="892"/>
      <c r="J1553" s="892"/>
      <c r="K1553" s="892"/>
      <c r="L1553" s="892"/>
      <c r="M1553" s="892"/>
      <c r="N1553" s="17"/>
      <c r="O1553" s="17"/>
      <c r="AA1553" s="285" t="b">
        <f t="shared" ref="AA1553:AA1561" si="35">AA1552</f>
        <v>0</v>
      </c>
    </row>
    <row r="1554" spans="2:27" x14ac:dyDescent="0.25">
      <c r="B1554" s="17"/>
      <c r="C1554" s="17"/>
      <c r="D1554" s="225">
        <f t="shared" si="34"/>
        <v>4</v>
      </c>
      <c r="E1554" s="760"/>
      <c r="F1554" s="1542"/>
      <c r="G1554" s="1543"/>
      <c r="H1554" s="936"/>
      <c r="I1554" s="892"/>
      <c r="J1554" s="892"/>
      <c r="K1554" s="892"/>
      <c r="L1554" s="892"/>
      <c r="M1554" s="892"/>
      <c r="N1554" s="17"/>
      <c r="O1554" s="17"/>
      <c r="AA1554" s="285" t="b">
        <f t="shared" si="35"/>
        <v>0</v>
      </c>
    </row>
    <row r="1555" spans="2:27" x14ac:dyDescent="0.25">
      <c r="B1555" s="17"/>
      <c r="C1555" s="17"/>
      <c r="D1555" s="225">
        <f t="shared" si="34"/>
        <v>5</v>
      </c>
      <c r="E1555" s="760"/>
      <c r="F1555" s="1542"/>
      <c r="G1555" s="1543"/>
      <c r="H1555" s="936"/>
      <c r="I1555" s="892"/>
      <c r="J1555" s="892"/>
      <c r="K1555" s="892"/>
      <c r="L1555" s="892"/>
      <c r="M1555" s="892"/>
      <c r="N1555" s="17"/>
      <c r="O1555" s="17"/>
      <c r="AA1555" s="285" t="b">
        <f t="shared" si="35"/>
        <v>0</v>
      </c>
    </row>
    <row r="1556" spans="2:27" x14ac:dyDescent="0.25">
      <c r="B1556" s="17"/>
      <c r="C1556" s="17"/>
      <c r="D1556" s="225">
        <f t="shared" si="34"/>
        <v>6</v>
      </c>
      <c r="E1556" s="760"/>
      <c r="F1556" s="1542"/>
      <c r="G1556" s="1543"/>
      <c r="H1556" s="936"/>
      <c r="I1556" s="892"/>
      <c r="J1556" s="892"/>
      <c r="K1556" s="892"/>
      <c r="L1556" s="892"/>
      <c r="M1556" s="892"/>
      <c r="N1556" s="17"/>
      <c r="O1556" s="17"/>
      <c r="AA1556" s="285" t="b">
        <f t="shared" si="35"/>
        <v>0</v>
      </c>
    </row>
    <row r="1557" spans="2:27" x14ac:dyDescent="0.25">
      <c r="B1557" s="17"/>
      <c r="C1557" s="17"/>
      <c r="D1557" s="225">
        <f t="shared" si="34"/>
        <v>7</v>
      </c>
      <c r="E1557" s="760"/>
      <c r="F1557" s="1542"/>
      <c r="G1557" s="1543"/>
      <c r="H1557" s="936"/>
      <c r="I1557" s="892"/>
      <c r="J1557" s="892"/>
      <c r="K1557" s="892"/>
      <c r="L1557" s="892"/>
      <c r="M1557" s="892"/>
      <c r="N1557" s="17"/>
      <c r="O1557" s="17"/>
      <c r="AA1557" s="285" t="b">
        <f t="shared" si="35"/>
        <v>0</v>
      </c>
    </row>
    <row r="1558" spans="2:27" x14ac:dyDescent="0.25">
      <c r="B1558" s="17"/>
      <c r="C1558" s="17"/>
      <c r="D1558" s="225">
        <f t="shared" si="34"/>
        <v>8</v>
      </c>
      <c r="E1558" s="760"/>
      <c r="F1558" s="1542"/>
      <c r="G1558" s="1543"/>
      <c r="H1558" s="936"/>
      <c r="I1558" s="892"/>
      <c r="J1558" s="892"/>
      <c r="K1558" s="892"/>
      <c r="L1558" s="892"/>
      <c r="M1558" s="892"/>
      <c r="N1558" s="17"/>
      <c r="O1558" s="17"/>
      <c r="AA1558" s="285" t="b">
        <f t="shared" si="35"/>
        <v>0</v>
      </c>
    </row>
    <row r="1559" spans="2:27" x14ac:dyDescent="0.25">
      <c r="B1559" s="17"/>
      <c r="C1559" s="17"/>
      <c r="D1559" s="225">
        <f t="shared" si="34"/>
        <v>9</v>
      </c>
      <c r="E1559" s="760"/>
      <c r="F1559" s="1542"/>
      <c r="G1559" s="1543"/>
      <c r="H1559" s="936"/>
      <c r="I1559" s="892"/>
      <c r="J1559" s="892"/>
      <c r="K1559" s="892"/>
      <c r="L1559" s="892"/>
      <c r="M1559" s="892"/>
      <c r="N1559" s="17"/>
      <c r="O1559" s="17"/>
      <c r="AA1559" s="285" t="b">
        <f t="shared" si="35"/>
        <v>0</v>
      </c>
    </row>
    <row r="1560" spans="2:27" x14ac:dyDescent="0.25">
      <c r="B1560" s="17"/>
      <c r="C1560" s="17"/>
      <c r="D1560" s="227">
        <f t="shared" si="34"/>
        <v>10</v>
      </c>
      <c r="E1560" s="761"/>
      <c r="F1560" s="1544"/>
      <c r="G1560" s="1545"/>
      <c r="H1560" s="937"/>
      <c r="I1560" s="895"/>
      <c r="J1560" s="895"/>
      <c r="K1560" s="895"/>
      <c r="L1560" s="895"/>
      <c r="M1560" s="895"/>
      <c r="N1560" s="17"/>
      <c r="O1560" s="17"/>
      <c r="AA1560" s="285" t="b">
        <f t="shared" si="35"/>
        <v>0</v>
      </c>
    </row>
    <row r="1561" spans="2:27" ht="12.75" customHeight="1" thickBot="1" x14ac:dyDescent="0.3">
      <c r="B1561" s="17"/>
      <c r="C1561" s="17"/>
      <c r="D1561" s="262"/>
      <c r="E1561" s="1546" t="str">
        <f>Translations!$B$708</f>
        <v>Sum of production levels</v>
      </c>
      <c r="F1561" s="1546"/>
      <c r="G1561" s="1546"/>
      <c r="H1561" s="1067"/>
      <c r="I1561" s="841" t="str">
        <f>IF(COUNT(I1551:I1560)&gt;0,SUM(I1551:I1560),"")</f>
        <v/>
      </c>
      <c r="J1561" s="841" t="str">
        <f>IF(COUNT(J1551:J1560)&gt;0,SUM(J1551:J1560),"")</f>
        <v/>
      </c>
      <c r="K1561" s="841" t="str">
        <f>IF(COUNT(K1551:K1560)&gt;0,SUM(K1551:K1560),"")</f>
        <v/>
      </c>
      <c r="L1561" s="841" t="str">
        <f>IF(COUNT(L1551:L1560)&gt;0,SUM(L1551:L1560),"")</f>
        <v/>
      </c>
      <c r="M1561" s="841" t="str">
        <f>IF(COUNT(M1551:M1560)&gt;0,SUM(M1551:M1560),"")</f>
        <v/>
      </c>
      <c r="N1561" s="17"/>
      <c r="O1561" s="17"/>
      <c r="AA1561" s="286" t="b">
        <f t="shared" si="35"/>
        <v>0</v>
      </c>
    </row>
    <row r="1562" spans="2:27" ht="12.75" customHeight="1" thickBot="1" x14ac:dyDescent="0.3">
      <c r="B1562" s="17"/>
      <c r="C1562" s="17"/>
      <c r="D1562" s="17"/>
      <c r="E1562" s="17"/>
      <c r="F1562" s="17"/>
      <c r="G1562" s="17"/>
      <c r="H1562" s="17"/>
      <c r="I1562" s="17"/>
      <c r="J1562" s="17"/>
      <c r="K1562" s="17"/>
      <c r="L1562" s="17"/>
      <c r="M1562" s="17"/>
      <c r="N1562" s="17"/>
      <c r="O1562" s="17"/>
    </row>
    <row r="1563" spans="2:27" ht="5.0999999999999996" customHeight="1" x14ac:dyDescent="0.25">
      <c r="B1563" s="17"/>
      <c r="C1563" s="938"/>
      <c r="D1563" s="462"/>
      <c r="E1563" s="462"/>
      <c r="F1563" s="462"/>
      <c r="G1563" s="462"/>
      <c r="H1563" s="462"/>
      <c r="I1563" s="462"/>
      <c r="J1563" s="462"/>
      <c r="K1563" s="462"/>
      <c r="L1563" s="462"/>
      <c r="M1563" s="462"/>
      <c r="N1563" s="463"/>
      <c r="O1563" s="17"/>
    </row>
    <row r="1564" spans="2:27" ht="15" customHeight="1" x14ac:dyDescent="0.25">
      <c r="B1564" s="17"/>
      <c r="C1564" s="900"/>
      <c r="D1564" s="1547" t="s">
        <v>410</v>
      </c>
      <c r="E1564" s="1512"/>
      <c r="F1564" s="1512"/>
      <c r="G1564" s="1512"/>
      <c r="H1564" s="1512"/>
      <c r="I1564" s="1512"/>
      <c r="J1564" s="1512"/>
      <c r="K1564" s="1512"/>
      <c r="L1564" s="1512"/>
      <c r="M1564" s="1512"/>
      <c r="N1564" s="1513"/>
      <c r="O1564" s="17"/>
    </row>
    <row r="1565" spans="2:27" ht="5.0999999999999996" customHeight="1" x14ac:dyDescent="0.25">
      <c r="B1565" s="17"/>
      <c r="C1565" s="900"/>
      <c r="D1565" s="342"/>
      <c r="E1565" s="342"/>
      <c r="F1565" s="342"/>
      <c r="G1565" s="342"/>
      <c r="H1565" s="342"/>
      <c r="I1565" s="342"/>
      <c r="J1565" s="342"/>
      <c r="K1565" s="342"/>
      <c r="L1565" s="342"/>
      <c r="M1565" s="342"/>
      <c r="N1565" s="266"/>
      <c r="O1565" s="17"/>
    </row>
    <row r="1566" spans="2:27" ht="15" customHeight="1" x14ac:dyDescent="0.25">
      <c r="B1566" s="17"/>
      <c r="C1566" s="900"/>
      <c r="D1566" s="1548" t="str">
        <f>EUconst_BMSubinst &amp; ":"</f>
        <v>Sub-installation with product benchmark:</v>
      </c>
      <c r="E1566" s="1512"/>
      <c r="F1566" s="1512"/>
      <c r="G1566" s="1512"/>
      <c r="H1566" s="1549"/>
      <c r="I1566" s="1550" t="str">
        <f>I1513</f>
        <v/>
      </c>
      <c r="J1566" s="1509"/>
      <c r="K1566" s="1509"/>
      <c r="L1566" s="1509"/>
      <c r="M1566" s="1509"/>
      <c r="N1566" s="1551"/>
      <c r="O1566" s="17"/>
    </row>
    <row r="1567" spans="2:27" ht="5.0999999999999996" customHeight="1" x14ac:dyDescent="0.25">
      <c r="B1567" s="17"/>
      <c r="C1567" s="900"/>
      <c r="D1567" s="342"/>
      <c r="E1567" s="342"/>
      <c r="F1567" s="342"/>
      <c r="G1567" s="342"/>
      <c r="H1567" s="342"/>
      <c r="I1567" s="342"/>
      <c r="J1567" s="342"/>
      <c r="K1567" s="342"/>
      <c r="L1567" s="342"/>
      <c r="M1567" s="342"/>
      <c r="N1567" s="266"/>
      <c r="O1567" s="17"/>
    </row>
    <row r="1568" spans="2:27" ht="15" customHeight="1" x14ac:dyDescent="0.25">
      <c r="B1568" s="17"/>
      <c r="C1568" s="900"/>
      <c r="D1568" s="342"/>
      <c r="E1568" s="1439" t="str">
        <f>Translations!$B$714</f>
        <v>Upon entries made below, the attributable emissions are calculated in section K.III.2 of the summary sheet.</v>
      </c>
      <c r="F1568" s="1439"/>
      <c r="G1568" s="1439"/>
      <c r="H1568" s="1439"/>
      <c r="I1568" s="1439"/>
      <c r="J1568" s="1439"/>
      <c r="K1568" s="1439"/>
      <c r="L1568" s="1439"/>
      <c r="M1568" s="1439"/>
      <c r="N1568" s="277"/>
      <c r="O1568" s="17"/>
    </row>
    <row r="1569" spans="2:27" ht="5.0999999999999996" customHeight="1" x14ac:dyDescent="0.25">
      <c r="B1569" s="17"/>
      <c r="C1569" s="900"/>
      <c r="D1569" s="342"/>
      <c r="E1569" s="342"/>
      <c r="F1569" s="342"/>
      <c r="G1569" s="342"/>
      <c r="H1569" s="342"/>
      <c r="I1569" s="342"/>
      <c r="J1569" s="342"/>
      <c r="K1569" s="342"/>
      <c r="L1569" s="342"/>
      <c r="M1569" s="342"/>
      <c r="N1569" s="266"/>
      <c r="O1569" s="17"/>
    </row>
    <row r="1570" spans="2:27" ht="12.75" customHeight="1" x14ac:dyDescent="0.25">
      <c r="B1570" s="17"/>
      <c r="C1570" s="900"/>
      <c r="D1570" s="157" t="s">
        <v>212</v>
      </c>
      <c r="E1570" s="1511" t="str">
        <f>Translations!$B$715</f>
        <v>Directly attributable emissions (DirEm* (MP source streams)) to this sub-installation</v>
      </c>
      <c r="F1570" s="1512"/>
      <c r="G1570" s="1512"/>
      <c r="H1570" s="1512"/>
      <c r="I1570" s="1512"/>
      <c r="J1570" s="1512"/>
      <c r="K1570" s="1512"/>
      <c r="L1570" s="1512"/>
      <c r="M1570" s="1512"/>
      <c r="N1570" s="1513"/>
      <c r="O1570" s="17"/>
    </row>
    <row r="1571" spans="2:27" ht="12.75" customHeight="1" thickBot="1" x14ac:dyDescent="0.3">
      <c r="B1571" s="17"/>
      <c r="C1571" s="900"/>
      <c r="D1571" s="342"/>
      <c r="E1571" s="1552"/>
      <c r="F1571" s="1552"/>
      <c r="G1571" s="1552"/>
      <c r="H1571" s="1552"/>
      <c r="I1571" s="1552"/>
      <c r="J1571" s="1552"/>
      <c r="K1571" s="1552"/>
      <c r="L1571" s="1552"/>
      <c r="M1571" s="1552"/>
      <c r="N1571" s="1553"/>
      <c r="O1571" s="17"/>
    </row>
    <row r="1572" spans="2:27" ht="12.75" customHeight="1" x14ac:dyDescent="0.25">
      <c r="B1572" s="17"/>
      <c r="C1572" s="900"/>
      <c r="D1572" s="157"/>
      <c r="E1572" s="1522" t="str">
        <f>Translations!$B$725</f>
        <v>Directly attributable emissions (DirEm*)</v>
      </c>
      <c r="F1572" s="1523"/>
      <c r="G1572" s="1523"/>
      <c r="H1572" s="152" t="str">
        <f>EUconst_Unit</f>
        <v>Unit</v>
      </c>
      <c r="I1572" s="153">
        <f>I$1882</f>
        <v>2019</v>
      </c>
      <c r="J1572" s="153">
        <f>J$1882</f>
        <v>2020</v>
      </c>
      <c r="K1572" s="153">
        <f>K$1882</f>
        <v>2021</v>
      </c>
      <c r="L1572" s="153">
        <f>L$1882</f>
        <v>2022</v>
      </c>
      <c r="M1572" s="153">
        <f>M$1882</f>
        <v>2023</v>
      </c>
      <c r="N1572" s="266"/>
      <c r="O1572" s="17"/>
      <c r="R1572" s="459"/>
      <c r="S1572" s="326">
        <f>I1572</f>
        <v>2019</v>
      </c>
      <c r="T1572" s="326">
        <f>J1572</f>
        <v>2020</v>
      </c>
      <c r="U1572" s="326">
        <f>K1572</f>
        <v>2021</v>
      </c>
      <c r="V1572" s="326">
        <f>L1572</f>
        <v>2022</v>
      </c>
      <c r="W1572" s="327">
        <f>M1572</f>
        <v>2023</v>
      </c>
    </row>
    <row r="1573" spans="2:27" ht="12.75" customHeight="1" thickBot="1" x14ac:dyDescent="0.3">
      <c r="B1573" s="17"/>
      <c r="C1573" s="900"/>
      <c r="D1573" s="342"/>
      <c r="E1573" s="1510" t="str">
        <f>I1513</f>
        <v/>
      </c>
      <c r="F1573" s="1510"/>
      <c r="G1573" s="1510"/>
      <c r="H1573" s="154" t="str">
        <f>EUconst_tCO2epa</f>
        <v>t CO2e/year</v>
      </c>
      <c r="I1573" s="293"/>
      <c r="J1573" s="293"/>
      <c r="K1573" s="293"/>
      <c r="L1573" s="293"/>
      <c r="M1573" s="293"/>
      <c r="N1573" s="266"/>
      <c r="O1573" s="17"/>
      <c r="P1573" s="63" t="str">
        <f>EUconst_CNTR_Emissions &amp; I1513</f>
        <v>DirEmissions_</v>
      </c>
      <c r="R1573" s="460" t="str">
        <f>EUconst_CNTR_AttributedEmissions &amp; I1513</f>
        <v>AttrEmissions_</v>
      </c>
      <c r="S1573" s="389" t="str">
        <f>IF(S1513,SUM(I1573),"")</f>
        <v/>
      </c>
      <c r="T1573" s="389" t="str">
        <f>IF(T1513,SUM(J1573),"")</f>
        <v/>
      </c>
      <c r="U1573" s="389" t="str">
        <f>IF(U1513,SUM(K1573),"")</f>
        <v/>
      </c>
      <c r="V1573" s="389" t="str">
        <f>IF(V1513,SUM(L1573),"")</f>
        <v/>
      </c>
      <c r="W1573" s="390" t="str">
        <f>IF(W1513,SUM(M1573),"")</f>
        <v/>
      </c>
    </row>
    <row r="1574" spans="2:27" ht="12.75" customHeight="1" x14ac:dyDescent="0.25">
      <c r="B1574" s="17"/>
      <c r="C1574" s="900"/>
      <c r="D1574" s="342"/>
      <c r="E1574" s="342"/>
      <c r="F1574" s="342"/>
      <c r="G1574" s="342"/>
      <c r="H1574" s="342"/>
      <c r="I1574" s="342"/>
      <c r="J1574" s="342"/>
      <c r="K1574" s="342"/>
      <c r="L1574" s="342"/>
      <c r="M1574" s="342"/>
      <c r="N1574" s="266"/>
      <c r="O1574" s="17"/>
    </row>
    <row r="1575" spans="2:27" ht="12.75" customHeight="1" x14ac:dyDescent="0.25">
      <c r="B1575" s="17"/>
      <c r="C1575" s="900"/>
      <c r="D1575" s="157" t="s">
        <v>218</v>
      </c>
      <c r="E1575" s="1529" t="str">
        <f>Translations!$B$726</f>
        <v>Fuel input to this sub-installation and relevant emission factor</v>
      </c>
      <c r="F1575" s="1529"/>
      <c r="G1575" s="1529"/>
      <c r="H1575" s="1529"/>
      <c r="I1575" s="1529"/>
      <c r="J1575" s="1529"/>
      <c r="K1575" s="1529"/>
      <c r="L1575" s="1529"/>
      <c r="M1575" s="1529"/>
      <c r="N1575" s="1534"/>
      <c r="O1575" s="17"/>
    </row>
    <row r="1576" spans="2:27" ht="12.75" customHeight="1" x14ac:dyDescent="0.25">
      <c r="B1576" s="17"/>
      <c r="C1576" s="900"/>
      <c r="D1576" s="157"/>
      <c r="E1576" s="1522"/>
      <c r="F1576" s="1523"/>
      <c r="G1576" s="1523"/>
      <c r="H1576" s="152" t="str">
        <f>EUconst_Unit</f>
        <v>Unit</v>
      </c>
      <c r="I1576" s="153">
        <f>I$1882</f>
        <v>2019</v>
      </c>
      <c r="J1576" s="153">
        <f>J$1882</f>
        <v>2020</v>
      </c>
      <c r="K1576" s="153">
        <f>K$1882</f>
        <v>2021</v>
      </c>
      <c r="L1576" s="153">
        <f>L$1882</f>
        <v>2022</v>
      </c>
      <c r="M1576" s="153">
        <f>M$1882</f>
        <v>2023</v>
      </c>
      <c r="N1576" s="266"/>
      <c r="O1576" s="17"/>
    </row>
    <row r="1577" spans="2:27" ht="12.75" customHeight="1" x14ac:dyDescent="0.25">
      <c r="B1577" s="17"/>
      <c r="C1577" s="900"/>
      <c r="D1577" s="193" t="s">
        <v>206</v>
      </c>
      <c r="E1577" s="1528" t="str">
        <f>Translations!$B$731</f>
        <v>Fuel input</v>
      </c>
      <c r="F1577" s="1528"/>
      <c r="G1577" s="1528"/>
      <c r="H1577" s="154" t="str">
        <f>EUconst_TJpa</f>
        <v>TJ / year</v>
      </c>
      <c r="I1577" s="293"/>
      <c r="J1577" s="293"/>
      <c r="K1577" s="293"/>
      <c r="L1577" s="293"/>
      <c r="M1577" s="293"/>
      <c r="N1577" s="277"/>
      <c r="O1577" s="17"/>
      <c r="P1577" s="63" t="str">
        <f>EUconst_CNTR_FuelInput &amp; I1513</f>
        <v>FuelInput_</v>
      </c>
    </row>
    <row r="1578" spans="2:27" ht="12.75" customHeight="1" x14ac:dyDescent="0.25">
      <c r="B1578" s="17"/>
      <c r="C1578" s="900"/>
      <c r="D1578" s="193" t="s">
        <v>208</v>
      </c>
      <c r="E1578" s="1523" t="str">
        <f>Translations!$B$732</f>
        <v>Weighted emission factor</v>
      </c>
      <c r="F1578" s="1523"/>
      <c r="G1578" s="1523"/>
      <c r="H1578" s="904" t="str">
        <f>EUconst_tCO2pTJ</f>
        <v>t CO2 / TJ</v>
      </c>
      <c r="I1578" s="865"/>
      <c r="J1578" s="865"/>
      <c r="K1578" s="865"/>
      <c r="L1578" s="865"/>
      <c r="M1578" s="865"/>
      <c r="N1578" s="266"/>
      <c r="O1578" s="17"/>
      <c r="P1578" s="63" t="str">
        <f>EUconst_CNTR_FuelEF &amp; I1513</f>
        <v>FuelEF_</v>
      </c>
    </row>
    <row r="1579" spans="2:27" ht="12.75" customHeight="1" x14ac:dyDescent="0.25">
      <c r="B1579" s="17"/>
      <c r="C1579" s="900"/>
      <c r="D1579" s="342"/>
      <c r="E1579" s="342"/>
      <c r="F1579" s="342"/>
      <c r="G1579" s="342"/>
      <c r="H1579" s="342"/>
      <c r="I1579" s="342"/>
      <c r="J1579" s="342"/>
      <c r="K1579" s="342"/>
      <c r="L1579" s="342"/>
      <c r="M1579" s="342"/>
      <c r="N1579" s="266"/>
      <c r="O1579" s="17"/>
    </row>
    <row r="1580" spans="2:27" ht="12.75" customHeight="1" thickBot="1" x14ac:dyDescent="0.3">
      <c r="B1580" s="17"/>
      <c r="C1580" s="900"/>
      <c r="D1580" s="157" t="s">
        <v>225</v>
      </c>
      <c r="E1580" s="1529" t="str">
        <f>Translations!$B$733</f>
        <v>Further internal source streams imported to or exported from this sub-installation</v>
      </c>
      <c r="F1580" s="1529"/>
      <c r="G1580" s="1529"/>
      <c r="H1580" s="1529"/>
      <c r="I1580" s="1529"/>
      <c r="J1580" s="1529"/>
      <c r="K1580" s="1529"/>
      <c r="L1580" s="1529"/>
      <c r="M1580" s="1529"/>
      <c r="N1580" s="1534"/>
      <c r="O1580" s="17"/>
    </row>
    <row r="1581" spans="2:27" ht="12.75" customHeight="1" thickBot="1" x14ac:dyDescent="0.3">
      <c r="B1581" s="17"/>
      <c r="C1581" s="900"/>
      <c r="D1581" s="193" t="s">
        <v>206</v>
      </c>
      <c r="E1581" s="1514" t="str">
        <f>Translations!$B$739</f>
        <v>Are further imported or exported internal source streams relevant for this sub-installation?</v>
      </c>
      <c r="F1581" s="1514"/>
      <c r="G1581" s="1514"/>
      <c r="H1581" s="1514"/>
      <c r="I1581" s="1514"/>
      <c r="J1581" s="1514"/>
      <c r="K1581" s="1515"/>
      <c r="L1581" s="194"/>
      <c r="M1581" s="762"/>
      <c r="N1581" s="763"/>
      <c r="O1581" s="17"/>
      <c r="W1581" s="288" t="s">
        <v>418</v>
      </c>
      <c r="X1581" s="215" t="b">
        <f>IF(AND(I1513&lt;&gt;"",ISBLANK(L1581)),EUconst_Error&amp;"BM"&amp;C1513,FALSE)</f>
        <v>0</v>
      </c>
    </row>
    <row r="1582" spans="2:27" ht="5.0999999999999996" customHeight="1" thickBot="1" x14ac:dyDescent="0.3">
      <c r="B1582" s="17"/>
      <c r="C1582" s="900"/>
      <c r="D1582" s="342"/>
      <c r="E1582" s="1533"/>
      <c r="F1582" s="1512"/>
      <c r="G1582" s="1512"/>
      <c r="H1582" s="1512"/>
      <c r="I1582" s="1512"/>
      <c r="J1582" s="1512"/>
      <c r="K1582" s="1512"/>
      <c r="L1582" s="1512"/>
      <c r="M1582" s="1512"/>
      <c r="N1582" s="1513"/>
      <c r="O1582" s="17"/>
      <c r="AA1582" s="145" t="s">
        <v>396</v>
      </c>
    </row>
    <row r="1583" spans="2:27" ht="12.75" customHeight="1" x14ac:dyDescent="0.25">
      <c r="B1583" s="17"/>
      <c r="C1583" s="900"/>
      <c r="D1583" s="193" t="s">
        <v>208</v>
      </c>
      <c r="E1583" s="1529" t="str">
        <f>Translations!$B$741</f>
        <v>Name of further source streams - 1:</v>
      </c>
      <c r="F1583" s="1529"/>
      <c r="G1583" s="1529"/>
      <c r="H1583" s="1529"/>
      <c r="I1583" s="1530"/>
      <c r="J1583" s="1531"/>
      <c r="K1583" s="1531"/>
      <c r="L1583" s="1531"/>
      <c r="M1583" s="1532"/>
      <c r="N1583" s="266"/>
      <c r="O1583" s="17"/>
      <c r="AA1583" s="316" t="b">
        <f>IF(I1513&lt;&gt;"",AND(L1581&lt;&gt;"",L1581=FALSE),FALSE)</f>
        <v>0</v>
      </c>
    </row>
    <row r="1584" spans="2:27" ht="5.0999999999999996" customHeight="1" x14ac:dyDescent="0.25">
      <c r="B1584" s="17"/>
      <c r="C1584" s="900"/>
      <c r="D1584" s="342"/>
      <c r="E1584" s="902"/>
      <c r="F1584" s="762"/>
      <c r="G1584" s="762"/>
      <c r="H1584" s="762"/>
      <c r="I1584" s="762"/>
      <c r="J1584" s="762"/>
      <c r="K1584" s="762"/>
      <c r="L1584" s="762"/>
      <c r="M1584" s="762"/>
      <c r="N1584" s="763"/>
      <c r="O1584" s="17"/>
      <c r="AA1584" s="815"/>
    </row>
    <row r="1585" spans="2:27" ht="12.75" customHeight="1" x14ac:dyDescent="0.25">
      <c r="B1585" s="17"/>
      <c r="C1585" s="900"/>
      <c r="D1585" s="342"/>
      <c r="E1585" s="1522" t="str">
        <f>Translations!$B$742</f>
        <v>Further source streams - 1</v>
      </c>
      <c r="F1585" s="1523"/>
      <c r="G1585" s="1523"/>
      <c r="H1585" s="152" t="str">
        <f>EUconst_Unit</f>
        <v>Unit</v>
      </c>
      <c r="I1585" s="153">
        <f>I$1882</f>
        <v>2019</v>
      </c>
      <c r="J1585" s="153">
        <f>J$1882</f>
        <v>2020</v>
      </c>
      <c r="K1585" s="153">
        <f>K$1882</f>
        <v>2021</v>
      </c>
      <c r="L1585" s="153">
        <f>L$1882</f>
        <v>2022</v>
      </c>
      <c r="M1585" s="153">
        <f>M$1882</f>
        <v>2023</v>
      </c>
      <c r="N1585" s="266"/>
      <c r="O1585" s="17"/>
      <c r="AA1585" s="815"/>
    </row>
    <row r="1586" spans="2:27" ht="12.75" customHeight="1" x14ac:dyDescent="0.25">
      <c r="B1586" s="17"/>
      <c r="C1586" s="900"/>
      <c r="D1586" s="193" t="s">
        <v>209</v>
      </c>
      <c r="E1586" s="1526" t="str">
        <f>Translations!$B$743</f>
        <v>Amount imported or exported</v>
      </c>
      <c r="F1586" s="1526"/>
      <c r="G1586" s="1526"/>
      <c r="H1586" s="939" t="str">
        <f>EUconst_tpa</f>
        <v>t / year</v>
      </c>
      <c r="I1586" s="825"/>
      <c r="J1586" s="825"/>
      <c r="K1586" s="825"/>
      <c r="L1586" s="825"/>
      <c r="M1586" s="825"/>
      <c r="N1586" s="266"/>
      <c r="O1586" s="17"/>
      <c r="AA1586" s="285" t="b">
        <f>AA1583</f>
        <v>0</v>
      </c>
    </row>
    <row r="1587" spans="2:27" ht="12.75" customHeight="1" x14ac:dyDescent="0.25">
      <c r="B1587" s="17"/>
      <c r="C1587" s="900"/>
      <c r="D1587" s="193" t="s">
        <v>210</v>
      </c>
      <c r="E1587" s="1540" t="str">
        <f>Translations!$B$744</f>
        <v>Net calorific value (NCV), if applicable</v>
      </c>
      <c r="F1587" s="1540"/>
      <c r="G1587" s="1540"/>
      <c r="H1587" s="940" t="str">
        <f>EUconst_GJpt</f>
        <v>GJ / t</v>
      </c>
      <c r="I1587" s="296"/>
      <c r="J1587" s="296"/>
      <c r="K1587" s="296"/>
      <c r="L1587" s="296"/>
      <c r="M1587" s="296"/>
      <c r="N1587" s="266"/>
      <c r="O1587" s="17"/>
      <c r="AA1587" s="285" t="b">
        <f>AA1586</f>
        <v>0</v>
      </c>
    </row>
    <row r="1588" spans="2:27" ht="12.75" customHeight="1" thickBot="1" x14ac:dyDescent="0.3">
      <c r="B1588" s="17"/>
      <c r="C1588" s="900"/>
      <c r="D1588" s="193" t="s">
        <v>220</v>
      </c>
      <c r="E1588" s="1540" t="str">
        <f>Translations!$B$745</f>
        <v>Carbon content (mass %)</v>
      </c>
      <c r="F1588" s="1540"/>
      <c r="G1588" s="1540"/>
      <c r="H1588" s="941" t="s">
        <v>419</v>
      </c>
      <c r="I1588" s="296"/>
      <c r="J1588" s="296"/>
      <c r="K1588" s="296"/>
      <c r="L1588" s="296"/>
      <c r="M1588" s="296"/>
      <c r="N1588" s="266"/>
      <c r="O1588" s="17"/>
      <c r="AA1588" s="285" t="b">
        <f>AA1587</f>
        <v>0</v>
      </c>
    </row>
    <row r="1589" spans="2:27" ht="12.75" customHeight="1" x14ac:dyDescent="0.25">
      <c r="B1589" s="17"/>
      <c r="C1589" s="900"/>
      <c r="D1589" s="193" t="s">
        <v>221</v>
      </c>
      <c r="E1589" s="1527" t="str">
        <f>Translations!$B$746</f>
        <v>Biomass content (as fraction of carbon)</v>
      </c>
      <c r="F1589" s="1527"/>
      <c r="G1589" s="1527"/>
      <c r="H1589" s="343" t="s">
        <v>419</v>
      </c>
      <c r="I1589" s="826"/>
      <c r="J1589" s="826"/>
      <c r="K1589" s="826"/>
      <c r="L1589" s="826"/>
      <c r="M1589" s="826"/>
      <c r="N1589" s="266"/>
      <c r="O1589" s="17"/>
      <c r="R1589" s="459"/>
      <c r="S1589" s="326">
        <f>I1585</f>
        <v>2019</v>
      </c>
      <c r="T1589" s="326">
        <f>J1585</f>
        <v>2020</v>
      </c>
      <c r="U1589" s="326">
        <f>K1585</f>
        <v>2021</v>
      </c>
      <c r="V1589" s="326">
        <f>L1585</f>
        <v>2022</v>
      </c>
      <c r="W1589" s="327">
        <f>M1585</f>
        <v>2023</v>
      </c>
      <c r="AA1589" s="285" t="b">
        <f>AA1588</f>
        <v>0</v>
      </c>
    </row>
    <row r="1590" spans="2:27" ht="12.75" customHeight="1" thickBot="1" x14ac:dyDescent="0.3">
      <c r="B1590" s="17"/>
      <c r="C1590" s="900"/>
      <c r="D1590" s="193" t="s">
        <v>222</v>
      </c>
      <c r="E1590" s="1526" t="str">
        <f>Translations!$B$747</f>
        <v>Emissions (fossil, calculated)</v>
      </c>
      <c r="F1590" s="1526"/>
      <c r="G1590" s="1526"/>
      <c r="H1590" s="942" t="str">
        <f>EUconst_tCO2pa</f>
        <v>t CO2 / year</v>
      </c>
      <c r="I1590" s="943" t="str">
        <f>IF(AND(COUNT(I1586:I1589)&gt;0,I1593=""),3.664*I1586*(I1588/100)*(1-I1589/100),"")</f>
        <v/>
      </c>
      <c r="J1590" s="943" t="str">
        <f>IF(AND(COUNT(J1586:J1589)&gt;0,J1593=""),3.664*J1586*(J1588/100)*(1-J1589/100),"")</f>
        <v/>
      </c>
      <c r="K1590" s="943" t="str">
        <f>IF(AND(COUNT(K1586:K1589)&gt;0,K1593=""),3.664*K1586*(K1588/100)*(1-K1589/100),"")</f>
        <v/>
      </c>
      <c r="L1590" s="943" t="str">
        <f>IF(AND(COUNT(L1586:L1589)&gt;0,L1593=""),3.664*L1586*(L1588/100)*(1-L1589/100),"")</f>
        <v/>
      </c>
      <c r="M1590" s="943" t="str">
        <f>IF(AND(COUNT(M1586:M1589)&gt;0,M1593=""),3.664*M1586*(M1588/100)*(1-M1589/100),"")</f>
        <v/>
      </c>
      <c r="N1590" s="266"/>
      <c r="O1590" s="17"/>
      <c r="P1590" s="63" t="str">
        <f>EUconst_CNTR_EmissionsIntSource1 &amp; I1513</f>
        <v>EmInternalSource1_</v>
      </c>
      <c r="R1590" s="460" t="str">
        <f>EUconst_CNTR_AttributedEmissions &amp; I1513</f>
        <v>AttrEmissions_</v>
      </c>
      <c r="S1590" s="389" t="str">
        <f>IF(S1513,SUM(I1590),"")</f>
        <v/>
      </c>
      <c r="T1590" s="389" t="str">
        <f>IF(T1513,SUM(J1590),"")</f>
        <v/>
      </c>
      <c r="U1590" s="389" t="str">
        <f>IF(U1513,SUM(K1590),"")</f>
        <v/>
      </c>
      <c r="V1590" s="389" t="str">
        <f>IF(V1513,SUM(L1590),"")</f>
        <v/>
      </c>
      <c r="W1590" s="390" t="str">
        <f>IF(W1513,SUM(M1590),"")</f>
        <v/>
      </c>
      <c r="AA1590" s="815"/>
    </row>
    <row r="1591" spans="2:27" ht="12.75" customHeight="1" x14ac:dyDescent="0.25">
      <c r="B1591" s="17"/>
      <c r="C1591" s="900"/>
      <c r="D1591" s="193" t="s">
        <v>223</v>
      </c>
      <c r="E1591" s="1540" t="str">
        <f>Translations!$B$748</f>
        <v>Memo-Item: Biomass emissions</v>
      </c>
      <c r="F1591" s="1540"/>
      <c r="G1591" s="1540"/>
      <c r="H1591" s="944" t="str">
        <f>EUconst_tCO2pa</f>
        <v>t CO2 / year</v>
      </c>
      <c r="I1591" s="945" t="str">
        <f>IF(ISNUMBER(I1590),3.664*I1586*(I1588/100)*(I1589/100),"")</f>
        <v/>
      </c>
      <c r="J1591" s="945" t="str">
        <f>IF(ISNUMBER(J1590),3.664*J1586*(J1588/100)*(J1589/100),"")</f>
        <v/>
      </c>
      <c r="K1591" s="945" t="str">
        <f>IF(ISNUMBER(K1590),3.664*K1586*(K1588/100)*(K1589/100),"")</f>
        <v/>
      </c>
      <c r="L1591" s="945" t="str">
        <f>IF(ISNUMBER(L1590),3.664*L1586*(L1588/100)*(L1589/100),"")</f>
        <v/>
      </c>
      <c r="M1591" s="945" t="str">
        <f>IF(ISNUMBER(M1590),3.664*M1586*(M1588/100)*(M1589/100),"")</f>
        <v/>
      </c>
      <c r="N1591" s="266"/>
      <c r="O1591" s="17"/>
      <c r="AA1591" s="815"/>
    </row>
    <row r="1592" spans="2:27" ht="12.75" customHeight="1" x14ac:dyDescent="0.25">
      <c r="B1592" s="17"/>
      <c r="C1592" s="900"/>
      <c r="D1592" s="193" t="s">
        <v>224</v>
      </c>
      <c r="E1592" s="1527" t="str">
        <f>Translations!$B$749</f>
        <v>Energy content (calculated)</v>
      </c>
      <c r="F1592" s="1527"/>
      <c r="G1592" s="1527"/>
      <c r="H1592" s="946" t="str">
        <f>EUconst_TJpa</f>
        <v>TJ / year</v>
      </c>
      <c r="I1592" s="841" t="str">
        <f>IF(COUNT(I1586:I1587)=2,I1586*I1587/1000,"")</f>
        <v/>
      </c>
      <c r="J1592" s="841" t="str">
        <f>IF(COUNT(J1586:J1587)=2,J1586*J1587/1000,"")</f>
        <v/>
      </c>
      <c r="K1592" s="841" t="str">
        <f>IF(COUNT(K1586:K1587)=2,K1586*K1587/1000,"")</f>
        <v/>
      </c>
      <c r="L1592" s="841" t="str">
        <f>IF(COUNT(L1586:L1587)=2,L1586*L1587/1000,"")</f>
        <v/>
      </c>
      <c r="M1592" s="841" t="str">
        <f>IF(COUNT(M1586:M1587)=2,M1586*M1587/1000,"")</f>
        <v/>
      </c>
      <c r="N1592" s="266"/>
      <c r="O1592" s="17"/>
      <c r="AA1592" s="815"/>
    </row>
    <row r="1593" spans="2:27" ht="12.75" customHeight="1" x14ac:dyDescent="0.25">
      <c r="B1593" s="17"/>
      <c r="C1593" s="900"/>
      <c r="D1593" s="193" t="s">
        <v>345</v>
      </c>
      <c r="E1593" s="1541" t="str">
        <f>Translations!$B$750</f>
        <v>Error messages (emissions)</v>
      </c>
      <c r="F1593" s="1541"/>
      <c r="G1593" s="1541"/>
      <c r="H1593" s="947"/>
      <c r="I1593" s="267" t="str">
        <f>IF(COUNT(I1586,I1588:I1589)&gt;0,IF(COUNTIF(I1587:I1589,"&lt;0")&gt;0,EUconst_Negative,IF(COUNT(I1586,I1588:I1589)&lt;3,EUconst_Incomplete,"")),"")</f>
        <v/>
      </c>
      <c r="J1593" s="267" t="str">
        <f>IF(COUNT(J1586,J1588:J1589)&gt;0,IF(COUNTIF(J1587:J1589,"&lt;0")&gt;0,EUconst_Negative,IF(COUNT(J1586,J1588:J1589)&lt;3,EUconst_Incomplete,"")),"")</f>
        <v/>
      </c>
      <c r="K1593" s="267" t="str">
        <f>IF(COUNT(K1586,K1588:K1589)&gt;0,IF(COUNTIF(K1587:K1589,"&lt;0")&gt;0,EUconst_Negative,IF(COUNT(K1586,K1588:K1589)&lt;3,EUconst_Incomplete,"")),"")</f>
        <v/>
      </c>
      <c r="L1593" s="267" t="str">
        <f>IF(COUNT(L1586,L1588:L1589)&gt;0,IF(COUNTIF(L1587:L1589,"&lt;0")&gt;0,EUconst_Negative,IF(COUNT(L1586,L1588:L1589)&lt;3,EUconst_Incomplete,"")),"")</f>
        <v/>
      </c>
      <c r="M1593" s="267" t="str">
        <f>IF(COUNT(M1586,M1588:M1589)&gt;0,IF(COUNTIF(M1587:M1589,"&lt;0")&gt;0,EUconst_Negative,IF(COUNT(M1586,M1588:M1589)&lt;3,EUconst_Incomplete,"")),"")</f>
        <v/>
      </c>
      <c r="N1593" s="266"/>
      <c r="O1593" s="17"/>
      <c r="AA1593" s="815"/>
    </row>
    <row r="1594" spans="2:27" ht="12.75" customHeight="1" x14ac:dyDescent="0.25">
      <c r="B1594" s="17"/>
      <c r="C1594" s="900"/>
      <c r="D1594" s="193"/>
      <c r="E1594" s="342"/>
      <c r="F1594" s="342"/>
      <c r="G1594" s="342"/>
      <c r="H1594" s="342"/>
      <c r="I1594" s="342"/>
      <c r="J1594" s="342"/>
      <c r="K1594" s="342"/>
      <c r="L1594" s="342"/>
      <c r="M1594" s="342"/>
      <c r="N1594" s="266"/>
      <c r="O1594" s="17"/>
      <c r="AA1594" s="815"/>
    </row>
    <row r="1595" spans="2:27" ht="12.75" customHeight="1" x14ac:dyDescent="0.25">
      <c r="B1595" s="17"/>
      <c r="C1595" s="900"/>
      <c r="D1595" s="193" t="s">
        <v>346</v>
      </c>
      <c r="E1595" s="1529" t="str">
        <f>Translations!$B$751</f>
        <v>Name of further source streams - 2:</v>
      </c>
      <c r="F1595" s="1529"/>
      <c r="G1595" s="1529"/>
      <c r="H1595" s="1529"/>
      <c r="I1595" s="1530"/>
      <c r="J1595" s="1531"/>
      <c r="K1595" s="1531"/>
      <c r="L1595" s="1531"/>
      <c r="M1595" s="1532"/>
      <c r="N1595" s="763"/>
      <c r="O1595" s="17"/>
      <c r="AA1595" s="285" t="b">
        <f>AA1583</f>
        <v>0</v>
      </c>
    </row>
    <row r="1596" spans="2:27" ht="5.0999999999999996" customHeight="1" x14ac:dyDescent="0.25">
      <c r="B1596" s="17"/>
      <c r="C1596" s="900"/>
      <c r="D1596" s="342"/>
      <c r="E1596" s="902"/>
      <c r="F1596" s="762"/>
      <c r="G1596" s="762"/>
      <c r="H1596" s="762"/>
      <c r="I1596" s="762"/>
      <c r="J1596" s="762"/>
      <c r="K1596" s="762"/>
      <c r="L1596" s="762"/>
      <c r="M1596" s="762"/>
      <c r="N1596" s="763"/>
      <c r="O1596" s="17"/>
      <c r="AA1596" s="815"/>
    </row>
    <row r="1597" spans="2:27" ht="12.75" customHeight="1" x14ac:dyDescent="0.25">
      <c r="B1597" s="17"/>
      <c r="C1597" s="900"/>
      <c r="D1597" s="193"/>
      <c r="E1597" s="1522" t="str">
        <f>Translations!$B$752</f>
        <v>Further source streams - 2</v>
      </c>
      <c r="F1597" s="1523"/>
      <c r="G1597" s="1523"/>
      <c r="H1597" s="152" t="str">
        <f>EUconst_Unit</f>
        <v>Unit</v>
      </c>
      <c r="I1597" s="153">
        <f>I$1882</f>
        <v>2019</v>
      </c>
      <c r="J1597" s="153">
        <f>J$1882</f>
        <v>2020</v>
      </c>
      <c r="K1597" s="153">
        <f>K$1882</f>
        <v>2021</v>
      </c>
      <c r="L1597" s="153">
        <f>L$1882</f>
        <v>2022</v>
      </c>
      <c r="M1597" s="153">
        <f>M$1882</f>
        <v>2023</v>
      </c>
      <c r="N1597" s="266"/>
      <c r="O1597" s="17"/>
      <c r="AA1597" s="815"/>
    </row>
    <row r="1598" spans="2:27" ht="12.75" customHeight="1" x14ac:dyDescent="0.25">
      <c r="B1598" s="17"/>
      <c r="C1598" s="900"/>
      <c r="D1598" s="193" t="s">
        <v>347</v>
      </c>
      <c r="E1598" s="1526" t="str">
        <f>Translations!$B$743</f>
        <v>Amount imported or exported</v>
      </c>
      <c r="F1598" s="1526"/>
      <c r="G1598" s="1526"/>
      <c r="H1598" s="939" t="str">
        <f>EUconst_tpa</f>
        <v>t / year</v>
      </c>
      <c r="I1598" s="825"/>
      <c r="J1598" s="825"/>
      <c r="K1598" s="825"/>
      <c r="L1598" s="825"/>
      <c r="M1598" s="825"/>
      <c r="N1598" s="266"/>
      <c r="O1598" s="17"/>
      <c r="AA1598" s="285" t="b">
        <f>AA1595</f>
        <v>0</v>
      </c>
    </row>
    <row r="1599" spans="2:27" ht="12.75" customHeight="1" x14ac:dyDescent="0.25">
      <c r="B1599" s="17"/>
      <c r="C1599" s="900"/>
      <c r="D1599" s="193" t="s">
        <v>355</v>
      </c>
      <c r="E1599" s="1540" t="str">
        <f>Translations!$B$744</f>
        <v>Net calorific value (NCV), if applicable</v>
      </c>
      <c r="F1599" s="1540"/>
      <c r="G1599" s="1540"/>
      <c r="H1599" s="940" t="str">
        <f>EUconst_GJpt</f>
        <v>GJ / t</v>
      </c>
      <c r="I1599" s="296"/>
      <c r="J1599" s="296"/>
      <c r="K1599" s="296"/>
      <c r="L1599" s="296"/>
      <c r="M1599" s="296"/>
      <c r="N1599" s="266"/>
      <c r="O1599" s="17"/>
      <c r="AA1599" s="285" t="b">
        <f>AA1598</f>
        <v>0</v>
      </c>
    </row>
    <row r="1600" spans="2:27" ht="12.75" customHeight="1" thickBot="1" x14ac:dyDescent="0.3">
      <c r="B1600" s="17"/>
      <c r="C1600" s="900"/>
      <c r="D1600" s="193" t="s">
        <v>356</v>
      </c>
      <c r="E1600" s="1540" t="str">
        <f>Translations!$B$745</f>
        <v>Carbon content (mass %)</v>
      </c>
      <c r="F1600" s="1540"/>
      <c r="G1600" s="1540"/>
      <c r="H1600" s="941" t="s">
        <v>419</v>
      </c>
      <c r="I1600" s="296"/>
      <c r="J1600" s="296"/>
      <c r="K1600" s="296"/>
      <c r="L1600" s="296"/>
      <c r="M1600" s="296"/>
      <c r="N1600" s="266"/>
      <c r="O1600" s="17"/>
      <c r="AA1600" s="285" t="b">
        <f>AA1599</f>
        <v>0</v>
      </c>
    </row>
    <row r="1601" spans="2:27" ht="12.75" customHeight="1" thickBot="1" x14ac:dyDescent="0.3">
      <c r="B1601" s="17"/>
      <c r="C1601" s="900"/>
      <c r="D1601" s="193" t="s">
        <v>420</v>
      </c>
      <c r="E1601" s="1527" t="str">
        <f>Translations!$B$746</f>
        <v>Biomass content (as fraction of carbon)</v>
      </c>
      <c r="F1601" s="1527"/>
      <c r="G1601" s="1527"/>
      <c r="H1601" s="343" t="s">
        <v>419</v>
      </c>
      <c r="I1601" s="826"/>
      <c r="J1601" s="826"/>
      <c r="K1601" s="826"/>
      <c r="L1601" s="826"/>
      <c r="M1601" s="826"/>
      <c r="N1601" s="266"/>
      <c r="O1601" s="17"/>
      <c r="R1601" s="459"/>
      <c r="S1601" s="326">
        <f>I1597</f>
        <v>2019</v>
      </c>
      <c r="T1601" s="326">
        <f>J1597</f>
        <v>2020</v>
      </c>
      <c r="U1601" s="326">
        <f>K1597</f>
        <v>2021</v>
      </c>
      <c r="V1601" s="326">
        <f>L1597</f>
        <v>2022</v>
      </c>
      <c r="W1601" s="327">
        <f>M1597</f>
        <v>2023</v>
      </c>
      <c r="AA1601" s="286" t="b">
        <f>AA1600</f>
        <v>0</v>
      </c>
    </row>
    <row r="1602" spans="2:27" ht="12.75" customHeight="1" thickBot="1" x14ac:dyDescent="0.3">
      <c r="B1602" s="17"/>
      <c r="C1602" s="900"/>
      <c r="D1602" s="193" t="s">
        <v>421</v>
      </c>
      <c r="E1602" s="1526" t="str">
        <f>Translations!$B$747</f>
        <v>Emissions (fossil, calculated)</v>
      </c>
      <c r="F1602" s="1526"/>
      <c r="G1602" s="1526"/>
      <c r="H1602" s="942" t="str">
        <f>EUconst_tCO2pa</f>
        <v>t CO2 / year</v>
      </c>
      <c r="I1602" s="943" t="str">
        <f>IF(AND(COUNT(I1598:I1601)&gt;0,I1605=""),3.664*I1598*(I1600/100)*(1-I1601/100),"")</f>
        <v/>
      </c>
      <c r="J1602" s="943" t="str">
        <f>IF(AND(COUNT(J1598:J1601)&gt;0,J1605=""),3.664*J1598*(J1600/100)*(1-J1601/100),"")</f>
        <v/>
      </c>
      <c r="K1602" s="943" t="str">
        <f>IF(AND(COUNT(K1598:K1601)&gt;0,K1605=""),3.664*K1598*(K1600/100)*(1-K1601/100),"")</f>
        <v/>
      </c>
      <c r="L1602" s="943" t="str">
        <f>IF(AND(COUNT(L1598:L1601)&gt;0,L1605=""),3.664*L1598*(L1600/100)*(1-L1601/100),"")</f>
        <v/>
      </c>
      <c r="M1602" s="943" t="str">
        <f>IF(AND(COUNT(M1598:M1601)&gt;0,M1605=""),3.664*M1598*(M1600/100)*(1-M1601/100),"")</f>
        <v/>
      </c>
      <c r="N1602" s="266"/>
      <c r="O1602" s="17"/>
      <c r="P1602" s="63" t="str">
        <f>EUconst_CNTR_EmissionsIntSource2 &amp; I1513</f>
        <v>EmInternalSource2_</v>
      </c>
      <c r="R1602" s="460" t="str">
        <f>EUconst_CNTR_AttributedEmissions &amp; I1513</f>
        <v>AttrEmissions_</v>
      </c>
      <c r="S1602" s="389" t="str">
        <f>IF(S1513,SUM(I1602),"")</f>
        <v/>
      </c>
      <c r="T1602" s="389" t="str">
        <f>IF(T1513,SUM(J1602),"")</f>
        <v/>
      </c>
      <c r="U1602" s="389" t="str">
        <f>IF(U1513,SUM(K1602),"")</f>
        <v/>
      </c>
      <c r="V1602" s="389" t="str">
        <f>IF(V1513,SUM(L1602),"")</f>
        <v/>
      </c>
      <c r="W1602" s="390" t="str">
        <f>IF(W1513,SUM(M1602),"")</f>
        <v/>
      </c>
    </row>
    <row r="1603" spans="2:27" ht="12.75" customHeight="1" x14ac:dyDescent="0.25">
      <c r="B1603" s="17"/>
      <c r="C1603" s="900"/>
      <c r="D1603" s="193" t="s">
        <v>422</v>
      </c>
      <c r="E1603" s="1540" t="str">
        <f>Translations!$B$748</f>
        <v>Memo-Item: Biomass emissions</v>
      </c>
      <c r="F1603" s="1540"/>
      <c r="G1603" s="1540"/>
      <c r="H1603" s="944" t="str">
        <f>EUconst_tCO2pa</f>
        <v>t CO2 / year</v>
      </c>
      <c r="I1603" s="945" t="str">
        <f>IF(ISNUMBER(I1602),3.664*I1598*(I1600/100)*(I1601/100),"")</f>
        <v/>
      </c>
      <c r="J1603" s="945" t="str">
        <f>IF(ISNUMBER(J1602),3.664*J1598*(J1600/100)*(J1601/100),"")</f>
        <v/>
      </c>
      <c r="K1603" s="945" t="str">
        <f>IF(ISNUMBER(K1602),3.664*K1598*(K1600/100)*(K1601/100),"")</f>
        <v/>
      </c>
      <c r="L1603" s="945" t="str">
        <f>IF(ISNUMBER(L1602),3.664*L1598*(L1600/100)*(L1601/100),"")</f>
        <v/>
      </c>
      <c r="M1603" s="945" t="str">
        <f>IF(ISNUMBER(M1602),3.664*M1598*(M1600/100)*(M1601/100),"")</f>
        <v/>
      </c>
      <c r="N1603" s="266"/>
      <c r="O1603" s="17"/>
    </row>
    <row r="1604" spans="2:27" ht="12.75" customHeight="1" x14ac:dyDescent="0.25">
      <c r="B1604" s="17"/>
      <c r="C1604" s="900"/>
      <c r="D1604" s="193" t="s">
        <v>423</v>
      </c>
      <c r="E1604" s="1527" t="str">
        <f>Translations!$B$749</f>
        <v>Energy content (calculated)</v>
      </c>
      <c r="F1604" s="1527"/>
      <c r="G1604" s="1527"/>
      <c r="H1604" s="946" t="str">
        <f>EUconst_TJpa</f>
        <v>TJ / year</v>
      </c>
      <c r="I1604" s="841" t="str">
        <f>IF(COUNT(I1598:I1599)=2,I1598*I1599/1000,"")</f>
        <v/>
      </c>
      <c r="J1604" s="841" t="str">
        <f>IF(COUNT(J1598:J1599)=2,J1598*J1599/1000,"")</f>
        <v/>
      </c>
      <c r="K1604" s="841" t="str">
        <f>IF(COUNT(K1598:K1599)=2,K1598*K1599/1000,"")</f>
        <v/>
      </c>
      <c r="L1604" s="841" t="str">
        <f>IF(COUNT(L1598:L1599)=2,L1598*L1599/1000,"")</f>
        <v/>
      </c>
      <c r="M1604" s="841" t="str">
        <f>IF(COUNT(M1598:M1599)=2,M1598*M1599/1000,"")</f>
        <v/>
      </c>
      <c r="N1604" s="266"/>
      <c r="O1604" s="17"/>
    </row>
    <row r="1605" spans="2:27" ht="12.75" customHeight="1" x14ac:dyDescent="0.25">
      <c r="B1605" s="17"/>
      <c r="C1605" s="900"/>
      <c r="D1605" s="193" t="s">
        <v>356</v>
      </c>
      <c r="E1605" s="1541" t="str">
        <f>Translations!$B$750</f>
        <v>Error messages (emissions)</v>
      </c>
      <c r="F1605" s="1541"/>
      <c r="G1605" s="1541"/>
      <c r="H1605" s="947"/>
      <c r="I1605" s="267" t="str">
        <f>IF(COUNT(I1598,I1600:I1601)&gt;0,IF(COUNTIF(I1599:I1601,"&lt;0")&gt;0,EUconst_Negative,IF(COUNT(I1598,I1600:I1601)&lt;3,EUconst_Incomplete,"")),"")</f>
        <v/>
      </c>
      <c r="J1605" s="267" t="str">
        <f>IF(COUNT(J1598,J1600:J1601)&gt;0,IF(COUNTIF(J1599:J1601,"&lt;0")&gt;0,EUconst_Negative,IF(COUNT(J1598,J1600:J1601)&lt;3,EUconst_Incomplete,"")),"")</f>
        <v/>
      </c>
      <c r="K1605" s="267" t="str">
        <f>IF(COUNT(K1598,K1600:K1601)&gt;0,IF(COUNTIF(K1599:K1601,"&lt;0")&gt;0,EUconst_Negative,IF(COUNT(K1598,K1600:K1601)&lt;3,EUconst_Incomplete,"")),"")</f>
        <v/>
      </c>
      <c r="L1605" s="267" t="str">
        <f>IF(COUNT(L1598,L1600:L1601)&gt;0,IF(COUNTIF(L1599:L1601,"&lt;0")&gt;0,EUconst_Negative,IF(COUNT(L1598,L1600:L1601)&lt;3,EUconst_Incomplete,"")),"")</f>
        <v/>
      </c>
      <c r="M1605" s="267" t="str">
        <f>IF(COUNT(M1598,M1600:M1601)&gt;0,IF(COUNTIF(M1599:M1601,"&lt;0")&gt;0,EUconst_Negative,IF(COUNT(M1598,M1600:M1601)&lt;3,EUconst_Incomplete,"")),"")</f>
        <v/>
      </c>
      <c r="N1605" s="266"/>
      <c r="O1605" s="17"/>
    </row>
    <row r="1606" spans="2:27" ht="12.75" customHeight="1" x14ac:dyDescent="0.25">
      <c r="B1606" s="17"/>
      <c r="C1606" s="900"/>
      <c r="D1606" s="342"/>
      <c r="E1606" s="342"/>
      <c r="F1606" s="342"/>
      <c r="G1606" s="342"/>
      <c r="H1606" s="342"/>
      <c r="I1606" s="342"/>
      <c r="J1606" s="342"/>
      <c r="K1606" s="342"/>
      <c r="L1606" s="342"/>
      <c r="M1606" s="342"/>
      <c r="N1606" s="266"/>
      <c r="O1606" s="17"/>
    </row>
    <row r="1607" spans="2:27" ht="12.75" customHeight="1" thickBot="1" x14ac:dyDescent="0.3">
      <c r="B1607" s="17"/>
      <c r="C1607" s="900"/>
      <c r="D1607" s="157" t="s">
        <v>339</v>
      </c>
      <c r="E1607" s="1511" t="str">
        <f>Translations!$B$753</f>
        <v>Amount of GHG imported or exported as feedstock</v>
      </c>
      <c r="F1607" s="1512"/>
      <c r="G1607" s="1512"/>
      <c r="H1607" s="1512"/>
      <c r="I1607" s="1512"/>
      <c r="J1607" s="1512"/>
      <c r="K1607" s="1512"/>
      <c r="L1607" s="1512"/>
      <c r="M1607" s="1512"/>
      <c r="N1607" s="1513"/>
      <c r="O1607" s="17"/>
    </row>
    <row r="1608" spans="2:27" ht="12.75" customHeight="1" x14ac:dyDescent="0.25">
      <c r="B1608" s="17"/>
      <c r="C1608" s="900"/>
      <c r="D1608" s="157"/>
      <c r="E1608" s="1522"/>
      <c r="F1608" s="1523"/>
      <c r="G1608" s="1523"/>
      <c r="H1608" s="152" t="str">
        <f>EUconst_Unit</f>
        <v>Unit</v>
      </c>
      <c r="I1608" s="153">
        <f>I$1882</f>
        <v>2019</v>
      </c>
      <c r="J1608" s="153">
        <f>J$1882</f>
        <v>2020</v>
      </c>
      <c r="K1608" s="153">
        <f>K$1882</f>
        <v>2021</v>
      </c>
      <c r="L1608" s="153">
        <f>L$1882</f>
        <v>2022</v>
      </c>
      <c r="M1608" s="153">
        <f>M$1882</f>
        <v>2023</v>
      </c>
      <c r="N1608" s="266"/>
      <c r="O1608" s="17"/>
      <c r="R1608" s="459"/>
      <c r="S1608" s="326">
        <f>I1608</f>
        <v>2019</v>
      </c>
      <c r="T1608" s="326">
        <f>J1608</f>
        <v>2020</v>
      </c>
      <c r="U1608" s="326">
        <f>K1608</f>
        <v>2021</v>
      </c>
      <c r="V1608" s="326">
        <f>L1608</f>
        <v>2022</v>
      </c>
      <c r="W1608" s="327">
        <f>M1608</f>
        <v>2023</v>
      </c>
    </row>
    <row r="1609" spans="2:27" ht="12.75" customHeight="1" thickBot="1" x14ac:dyDescent="0.3">
      <c r="B1609" s="17"/>
      <c r="C1609" s="900"/>
      <c r="D1609" s="193"/>
      <c r="E1609" s="1528" t="str">
        <f>Translations!$B$756</f>
        <v>GHG imported or exported</v>
      </c>
      <c r="F1609" s="1528"/>
      <c r="G1609" s="1528"/>
      <c r="H1609" s="154" t="str">
        <f>EUconst_tCO2epa</f>
        <v>t CO2e/year</v>
      </c>
      <c r="I1609" s="311"/>
      <c r="J1609" s="311"/>
      <c r="K1609" s="311"/>
      <c r="L1609" s="311"/>
      <c r="M1609" s="311"/>
      <c r="N1609" s="903"/>
      <c r="O1609" s="17"/>
      <c r="P1609" s="63" t="str">
        <f>EUconst_CNTR_CO2Feedstock &amp; I1513</f>
        <v>EmCO2Feedstock_</v>
      </c>
      <c r="R1609" s="460" t="str">
        <f>EUconst_CNTR_AttributedEmissions &amp; I1513</f>
        <v>AttrEmissions_</v>
      </c>
      <c r="S1609" s="389" t="str">
        <f>IF(S1513,SUM(I1609),"")</f>
        <v/>
      </c>
      <c r="T1609" s="389" t="str">
        <f>IF(T1513,SUM(J1609),"")</f>
        <v/>
      </c>
      <c r="U1609" s="389" t="str">
        <f>IF(U1513,SUM(K1609),"")</f>
        <v/>
      </c>
      <c r="V1609" s="389" t="str">
        <f>IF(V1513,SUM(L1609),"")</f>
        <v/>
      </c>
      <c r="W1609" s="390" t="str">
        <f>IF(W1513,SUM(M1609),"")</f>
        <v/>
      </c>
    </row>
    <row r="1610" spans="2:27" ht="12.75" customHeight="1" x14ac:dyDescent="0.25">
      <c r="B1610" s="17"/>
      <c r="C1610" s="900"/>
      <c r="D1610" s="342"/>
      <c r="E1610" s="342"/>
      <c r="F1610" s="342"/>
      <c r="G1610" s="342"/>
      <c r="H1610" s="342"/>
      <c r="I1610" s="342"/>
      <c r="J1610" s="342"/>
      <c r="K1610" s="342"/>
      <c r="L1610" s="342"/>
      <c r="M1610" s="342"/>
      <c r="N1610" s="266"/>
      <c r="O1610" s="17"/>
    </row>
    <row r="1611" spans="2:27" ht="12.75" customHeight="1" x14ac:dyDescent="0.25">
      <c r="B1611" s="17"/>
      <c r="C1611" s="900"/>
      <c r="D1611" s="157" t="s">
        <v>357</v>
      </c>
      <c r="E1611" s="1511" t="str">
        <f>Translations!$B$757</f>
        <v>Measurable heat import to and export from this sub-installation</v>
      </c>
      <c r="F1611" s="1512"/>
      <c r="G1611" s="1512"/>
      <c r="H1611" s="1512"/>
      <c r="I1611" s="1512"/>
      <c r="J1611" s="1512"/>
      <c r="K1611" s="1512"/>
      <c r="L1611" s="1512"/>
      <c r="M1611" s="1512"/>
      <c r="N1611" s="1513"/>
      <c r="O1611" s="17"/>
    </row>
    <row r="1612" spans="2:27" ht="12.75" customHeight="1" thickBot="1" x14ac:dyDescent="0.3">
      <c r="B1612" s="17"/>
      <c r="C1612" s="900"/>
      <c r="D1612" s="342"/>
      <c r="E1612" s="1477" t="str">
        <f>Translations!$B$762</f>
        <v>For attributing emissions from cogeneration (CHP) to production of heat, the "CHP tool" in section D.III. of this template has to be used.</v>
      </c>
      <c r="F1612" s="1477"/>
      <c r="G1612" s="1477"/>
      <c r="H1612" s="1477"/>
      <c r="I1612" s="1477"/>
      <c r="J1612" s="1477"/>
      <c r="K1612" s="1477"/>
      <c r="L1612" s="1477"/>
      <c r="M1612" s="1477"/>
      <c r="N1612" s="903"/>
      <c r="O1612" s="17"/>
    </row>
    <row r="1613" spans="2:27" ht="12.75" customHeight="1" x14ac:dyDescent="0.25">
      <c r="B1613" s="17"/>
      <c r="C1613" s="900"/>
      <c r="D1613" s="342"/>
      <c r="E1613" s="1522" t="str">
        <f>Translations!$B$763</f>
        <v>Total heat imported</v>
      </c>
      <c r="F1613" s="1523"/>
      <c r="G1613" s="1523"/>
      <c r="H1613" s="152" t="str">
        <f>EUconst_Unit</f>
        <v>Unit</v>
      </c>
      <c r="I1613" s="153">
        <f>I$1882</f>
        <v>2019</v>
      </c>
      <c r="J1613" s="153">
        <f>J$1882</f>
        <v>2020</v>
      </c>
      <c r="K1613" s="153">
        <f>K$1882</f>
        <v>2021</v>
      </c>
      <c r="L1613" s="153">
        <f>L$1882</f>
        <v>2022</v>
      </c>
      <c r="M1613" s="153">
        <f>M$1882</f>
        <v>2023</v>
      </c>
      <c r="N1613" s="903"/>
      <c r="O1613" s="17"/>
      <c r="R1613" s="459"/>
      <c r="S1613" s="326">
        <f>I1613</f>
        <v>2019</v>
      </c>
      <c r="T1613" s="326">
        <f>J1613</f>
        <v>2020</v>
      </c>
      <c r="U1613" s="326">
        <f>K1613</f>
        <v>2021</v>
      </c>
      <c r="V1613" s="326">
        <f>L1613</f>
        <v>2022</v>
      </c>
      <c r="W1613" s="327">
        <f>M1613</f>
        <v>2023</v>
      </c>
    </row>
    <row r="1614" spans="2:27" ht="12.75" customHeight="1" x14ac:dyDescent="0.25">
      <c r="B1614" s="17"/>
      <c r="C1614" s="900"/>
      <c r="D1614" s="193" t="s">
        <v>206</v>
      </c>
      <c r="E1614" s="1528" t="str">
        <f>Translations!$B$764</f>
        <v>Net heat imported</v>
      </c>
      <c r="F1614" s="1528"/>
      <c r="G1614" s="1528"/>
      <c r="H1614" s="154" t="str">
        <f>EUconst_TJpa</f>
        <v>TJ / year</v>
      </c>
      <c r="I1614" s="311"/>
      <c r="J1614" s="311"/>
      <c r="K1614" s="311"/>
      <c r="L1614" s="311"/>
      <c r="M1614" s="311"/>
      <c r="N1614" s="277"/>
      <c r="O1614" s="17"/>
      <c r="P1614" s="63" t="str">
        <f>EUconst_CNTR_HeatImport &amp; I1513</f>
        <v>HeatIm_</v>
      </c>
      <c r="R1614" s="464" t="str">
        <f>EUconst_ERR_AttrEmBMapplied &amp; I1513</f>
        <v>ERR_AttrEmBM_</v>
      </c>
      <c r="S1614" s="63">
        <f>IF(AND(I1614&lt;&gt;0,I1615="",EUconst_StatusOfDataCollection=FALSE),1,0)</f>
        <v>0</v>
      </c>
      <c r="T1614" s="63">
        <f>IF(AND(J1614&lt;&gt;0,J1615="",EUconst_StatusOfDataCollection=FALSE),1,0)</f>
        <v>0</v>
      </c>
      <c r="U1614" s="63">
        <f>IF(AND(K1614&lt;&gt;0,K1615="",EUconst_StatusOfDataCollection=FALSE),1,0)</f>
        <v>0</v>
      </c>
      <c r="V1614" s="63">
        <f>IF(AND(L1614&lt;&gt;0,L1615="",EUconst_StatusOfDataCollection=FALSE),1,0)</f>
        <v>0</v>
      </c>
      <c r="W1614" s="803">
        <f>IF(AND(M1614&lt;&gt;0,M1615="",EUconst_StatusOfDataCollection=FALSE),1,0)</f>
        <v>0</v>
      </c>
      <c r="X1614" s="28"/>
    </row>
    <row r="1615" spans="2:27" ht="12.75" customHeight="1" thickBot="1" x14ac:dyDescent="0.3">
      <c r="B1615" s="17"/>
      <c r="C1615" s="900"/>
      <c r="D1615" s="193" t="s">
        <v>208</v>
      </c>
      <c r="E1615" s="1528" t="str">
        <f>Translations!$B$765</f>
        <v>Specific EF (imported heat)</v>
      </c>
      <c r="F1615" s="1528"/>
      <c r="G1615" s="1528"/>
      <c r="H1615" s="154" t="str">
        <f>EUconst_tCO2pTJ</f>
        <v>t CO2 / TJ</v>
      </c>
      <c r="I1615" s="1065"/>
      <c r="J1615" s="1065"/>
      <c r="K1615" s="1065"/>
      <c r="L1615" s="1065"/>
      <c r="M1615" s="1065"/>
      <c r="N1615" s="266"/>
      <c r="O1615" s="17"/>
      <c r="P1615" s="63" t="str">
        <f>EUconst_CNTR_HeatImportEF &amp; I1513</f>
        <v>HeatImEF_</v>
      </c>
      <c r="R1615" s="460" t="str">
        <f>EUconst_CNTR_AttributedEmissions &amp; I1513</f>
        <v>AttrEmissions_</v>
      </c>
      <c r="S1615" s="389" t="str">
        <f>IF(S1513,SUM(I1614)*IF(ISNUMBER(I1615),I1615,EUconst_HeatBMvalueForBM),"")</f>
        <v/>
      </c>
      <c r="T1615" s="389" t="str">
        <f>IF(T1513,SUM(J1614)*IF(ISNUMBER(J1615),J1615,EUconst_HeatBMvalueForBM),"")</f>
        <v/>
      </c>
      <c r="U1615" s="389" t="str">
        <f>IF(U1513,SUM(K1614)*IF(ISNUMBER(K1615),K1615,EUconst_HeatBMvalueForBM),"")</f>
        <v/>
      </c>
      <c r="V1615" s="389" t="str">
        <f>IF(V1513,SUM(L1614)*IF(ISNUMBER(L1615),L1615,EUconst_HeatBMvalueForBM),"")</f>
        <v/>
      </c>
      <c r="W1615" s="390" t="str">
        <f>IF(W1513,SUM(M1614)*IF(ISNUMBER(M1615),M1615,EUconst_HeatBMvalueForBM),"")</f>
        <v/>
      </c>
    </row>
    <row r="1616" spans="2:27" ht="5.0999999999999996" customHeight="1" x14ac:dyDescent="0.25">
      <c r="B1616" s="17"/>
      <c r="C1616" s="900"/>
      <c r="D1616" s="342"/>
      <c r="E1616" s="342"/>
      <c r="F1616" s="342"/>
      <c r="G1616" s="342"/>
      <c r="H1616" s="342"/>
      <c r="I1616" s="342"/>
      <c r="J1616" s="342"/>
      <c r="K1616" s="342"/>
      <c r="L1616" s="342"/>
      <c r="M1616" s="342"/>
      <c r="N1616" s="266"/>
      <c r="O1616" s="17"/>
    </row>
    <row r="1617" spans="2:27" ht="12.75" customHeight="1" x14ac:dyDescent="0.25">
      <c r="B1617" s="17"/>
      <c r="C1617" s="900"/>
      <c r="D1617" s="342"/>
      <c r="E1617" s="1522" t="str">
        <f>Translations!$B$766</f>
        <v>Special heat import</v>
      </c>
      <c r="F1617" s="1522"/>
      <c r="G1617" s="1522"/>
      <c r="H1617" s="152" t="str">
        <f>EUconst_Unit</f>
        <v>Unit</v>
      </c>
      <c r="I1617" s="153">
        <f>I$1882</f>
        <v>2019</v>
      </c>
      <c r="J1617" s="153">
        <f>J$1882</f>
        <v>2020</v>
      </c>
      <c r="K1617" s="153">
        <f>K$1882</f>
        <v>2021</v>
      </c>
      <c r="L1617" s="153">
        <f>L$1882</f>
        <v>2022</v>
      </c>
      <c r="M1617" s="153">
        <f>M$1882</f>
        <v>2023</v>
      </c>
      <c r="N1617" s="903"/>
      <c r="O1617" s="17"/>
    </row>
    <row r="1618" spans="2:27" ht="12.75" customHeight="1" x14ac:dyDescent="0.25">
      <c r="B1618" s="17"/>
      <c r="C1618" s="900"/>
      <c r="D1618" s="193" t="s">
        <v>209</v>
      </c>
      <c r="E1618" s="1528" t="str">
        <f>Translations!$B$820</f>
        <v>Net heat imported from pulp</v>
      </c>
      <c r="F1618" s="1528"/>
      <c r="G1618" s="1528"/>
      <c r="H1618" s="154" t="str">
        <f>EUconst_TJpa</f>
        <v>TJ / year</v>
      </c>
      <c r="I1618" s="948"/>
      <c r="J1618" s="948"/>
      <c r="K1618" s="948"/>
      <c r="L1618" s="948"/>
      <c r="M1618" s="948"/>
      <c r="N1618" s="277"/>
      <c r="O1618" s="17"/>
      <c r="P1618" s="63" t="str">
        <f>EUconst_CNTR_HeatImportPulp &amp; I1513</f>
        <v>HeatImPulp_</v>
      </c>
    </row>
    <row r="1619" spans="2:27" ht="12.75" customHeight="1" x14ac:dyDescent="0.25">
      <c r="B1619" s="17"/>
      <c r="C1619" s="900"/>
      <c r="D1619" s="193" t="s">
        <v>210</v>
      </c>
      <c r="E1619" s="1528" t="str">
        <f>Translations!$B$768</f>
        <v>Net heat imported from nitric acid sub-installation</v>
      </c>
      <c r="F1619" s="1528"/>
      <c r="G1619" s="1528"/>
      <c r="H1619" s="154" t="str">
        <f>EUconst_TJpa</f>
        <v>TJ / year</v>
      </c>
      <c r="I1619" s="311"/>
      <c r="J1619" s="311"/>
      <c r="K1619" s="311"/>
      <c r="L1619" s="311"/>
      <c r="M1619" s="311"/>
      <c r="N1619" s="277"/>
      <c r="O1619" s="17"/>
      <c r="P1619" s="63" t="str">
        <f>EUconst_CNTR_HeatImportNitric &amp; I1513</f>
        <v>HeatImNitric_</v>
      </c>
    </row>
    <row r="1620" spans="2:27" ht="5.0999999999999996" customHeight="1" thickBot="1" x14ac:dyDescent="0.3">
      <c r="B1620" s="17"/>
      <c r="C1620" s="900"/>
      <c r="D1620" s="342"/>
      <c r="E1620" s="342"/>
      <c r="F1620" s="342"/>
      <c r="G1620" s="342"/>
      <c r="H1620" s="342"/>
      <c r="I1620" s="342"/>
      <c r="J1620" s="342"/>
      <c r="K1620" s="342"/>
      <c r="L1620" s="342"/>
      <c r="M1620" s="342"/>
      <c r="N1620" s="266"/>
      <c r="O1620" s="17"/>
    </row>
    <row r="1621" spans="2:27" ht="12.75" customHeight="1" x14ac:dyDescent="0.25">
      <c r="B1621" s="17"/>
      <c r="C1621" s="900"/>
      <c r="D1621" s="342"/>
      <c r="E1621" s="1522" t="str">
        <f>Translations!$B$769</f>
        <v>Total heat exported</v>
      </c>
      <c r="F1621" s="1522"/>
      <c r="G1621" s="1522"/>
      <c r="H1621" s="152" t="str">
        <f>EUconst_Unit</f>
        <v>Unit</v>
      </c>
      <c r="I1621" s="153">
        <f>I$1882</f>
        <v>2019</v>
      </c>
      <c r="J1621" s="153">
        <f>J$1882</f>
        <v>2020</v>
      </c>
      <c r="K1621" s="153">
        <f>K$1882</f>
        <v>2021</v>
      </c>
      <c r="L1621" s="153">
        <f>L$1882</f>
        <v>2022</v>
      </c>
      <c r="M1621" s="153">
        <f>M$1882</f>
        <v>2023</v>
      </c>
      <c r="N1621" s="903"/>
      <c r="O1621" s="17"/>
      <c r="R1621" s="459"/>
      <c r="S1621" s="326">
        <f>I1621</f>
        <v>2019</v>
      </c>
      <c r="T1621" s="326">
        <f>J1621</f>
        <v>2020</v>
      </c>
      <c r="U1621" s="326">
        <f>K1621</f>
        <v>2021</v>
      </c>
      <c r="V1621" s="326">
        <f>L1621</f>
        <v>2022</v>
      </c>
      <c r="W1621" s="327">
        <f>M1621</f>
        <v>2023</v>
      </c>
    </row>
    <row r="1622" spans="2:27" ht="12.75" customHeight="1" x14ac:dyDescent="0.25">
      <c r="B1622" s="17"/>
      <c r="C1622" s="900"/>
      <c r="D1622" s="193" t="s">
        <v>220</v>
      </c>
      <c r="E1622" s="1528" t="str">
        <f>Translations!$B$770</f>
        <v>Net heat exported</v>
      </c>
      <c r="F1622" s="1528"/>
      <c r="G1622" s="1528"/>
      <c r="H1622" s="154" t="str">
        <f>EUconst_TJpa</f>
        <v>TJ / year</v>
      </c>
      <c r="I1622" s="311"/>
      <c r="J1622" s="311"/>
      <c r="K1622" s="311"/>
      <c r="L1622" s="311"/>
      <c r="M1622" s="311"/>
      <c r="N1622" s="277"/>
      <c r="O1622" s="17"/>
      <c r="P1622" s="63" t="str">
        <f>EUconst_CNTR_HeatExport &amp; I1513</f>
        <v>HeatEx_</v>
      </c>
      <c r="R1622" s="464" t="str">
        <f>EUconst_ERR_AttrEmBMapplied &amp; I1513</f>
        <v>ERR_AttrEmBM_</v>
      </c>
      <c r="S1622" s="63">
        <f>IF(AND(I1622&lt;&gt;0,I1623="",EUconst_StatusOfDataCollection=FALSE),1,0)</f>
        <v>0</v>
      </c>
      <c r="T1622" s="63">
        <f>IF(AND(J1622&lt;&gt;0,J1623="",EUconst_StatusOfDataCollection=FALSE),1,0)</f>
        <v>0</v>
      </c>
      <c r="U1622" s="63">
        <f>IF(AND(K1622&lt;&gt;0,K1623="",EUconst_StatusOfDataCollection=FALSE),1,0)</f>
        <v>0</v>
      </c>
      <c r="V1622" s="63">
        <f>IF(AND(L1622&lt;&gt;0,L1623="",EUconst_StatusOfDataCollection=FALSE),1,0)</f>
        <v>0</v>
      </c>
      <c r="W1622" s="803">
        <f>IF(AND(M1622&lt;&gt;0,M1623="",EUconst_StatusOfDataCollection=FALSE),1,0)</f>
        <v>0</v>
      </c>
    </row>
    <row r="1623" spans="2:27" ht="12.75" customHeight="1" thickBot="1" x14ac:dyDescent="0.3">
      <c r="B1623" s="17"/>
      <c r="C1623" s="900"/>
      <c r="D1623" s="193" t="s">
        <v>221</v>
      </c>
      <c r="E1623" s="1528" t="str">
        <f>Translations!$B$771</f>
        <v>Specific EF (exported heat)</v>
      </c>
      <c r="F1623" s="1528"/>
      <c r="G1623" s="1528"/>
      <c r="H1623" s="154" t="str">
        <f>EUconst_tCO2pTJ</f>
        <v>t CO2 / TJ</v>
      </c>
      <c r="I1623" s="1065"/>
      <c r="J1623" s="1065"/>
      <c r="K1623" s="1065"/>
      <c r="L1623" s="1065"/>
      <c r="M1623" s="1065"/>
      <c r="N1623" s="266"/>
      <c r="O1623" s="17"/>
      <c r="P1623" s="63" t="str">
        <f>EUconst_CNTR_HeatExportEF &amp; I1513</f>
        <v>HeatExEF_</v>
      </c>
      <c r="R1623" s="460" t="str">
        <f>EUconst_CNTR_AttributedEmissions &amp; I1513</f>
        <v>AttrEmissions_</v>
      </c>
      <c r="S1623" s="389" t="str">
        <f>IF(S1513,-SUM(I1622)*IF(INDEX(EUconst_BMlistNumberOfBM,MATCH($I1513,EUconst_BMlistNames,0))=39,0,IF(ISNUMBER(I1623),I1623,EUconst_HeatBMvalueForBM)),"")</f>
        <v/>
      </c>
      <c r="T1623" s="389" t="str">
        <f>IF(T1513,-SUM(J1622)*IF(INDEX(EUconst_BMlistNumberOfBM,MATCH($I1513,EUconst_BMlistNames,0))=39,0,IF(ISNUMBER(J1623),J1623,EUconst_HeatBMvalueForBM)),"")</f>
        <v/>
      </c>
      <c r="U1623" s="389" t="str">
        <f>IF(U1513,-SUM(K1622)*IF(INDEX(EUconst_BMlistNumberOfBM,MATCH($I1513,EUconst_BMlistNames,0))=39,0,IF(ISNUMBER(K1623),K1623,EUconst_HeatBMvalueForBM)),"")</f>
        <v/>
      </c>
      <c r="V1623" s="389" t="str">
        <f>IF(V1513,-SUM(L1622)*IF(INDEX(EUconst_BMlistNumberOfBM,MATCH($I1513,EUconst_BMlistNames,0))=39,0,IF(ISNUMBER(L1623),L1623,EUconst_HeatBMvalueForBM)),"")</f>
        <v/>
      </c>
      <c r="W1623" s="390" t="str">
        <f>IF(W1513,-SUM(M1622)*IF(INDEX(EUconst_BMlistNumberOfBM,MATCH($I1513,EUconst_BMlistNames,0))=39,0,IF(ISNUMBER(M1623),M1623,EUconst_HeatBMvalueForBM)),"")</f>
        <v/>
      </c>
    </row>
    <row r="1624" spans="2:27" ht="12.75" customHeight="1" x14ac:dyDescent="0.25">
      <c r="B1624" s="17"/>
      <c r="C1624" s="900"/>
      <c r="D1624" s="342"/>
      <c r="E1624" s="342"/>
      <c r="F1624" s="342"/>
      <c r="G1624" s="342"/>
      <c r="H1624" s="342"/>
      <c r="I1624" s="342"/>
      <c r="J1624" s="342"/>
      <c r="K1624" s="342"/>
      <c r="L1624" s="342"/>
      <c r="M1624" s="342"/>
      <c r="N1624" s="266"/>
      <c r="O1624" s="17"/>
    </row>
    <row r="1625" spans="2:27" ht="12.75" customHeight="1" x14ac:dyDescent="0.25">
      <c r="B1625" s="17"/>
      <c r="C1625" s="900"/>
      <c r="D1625" s="157" t="s">
        <v>358</v>
      </c>
      <c r="E1625" s="1511" t="str">
        <f>Translations!$B$772</f>
        <v>Waste gas balance for this sub-installation</v>
      </c>
      <c r="F1625" s="1512"/>
      <c r="G1625" s="1512"/>
      <c r="H1625" s="1512"/>
      <c r="I1625" s="1512"/>
      <c r="J1625" s="1512"/>
      <c r="K1625" s="1512"/>
      <c r="L1625" s="1512"/>
      <c r="M1625" s="1512"/>
      <c r="N1625" s="1513"/>
      <c r="O1625" s="17"/>
    </row>
    <row r="1626" spans="2:27" ht="5.0999999999999996" customHeight="1" thickBot="1" x14ac:dyDescent="0.3">
      <c r="B1626" s="17"/>
      <c r="C1626" s="900"/>
      <c r="D1626" s="342"/>
      <c r="E1626" s="1533"/>
      <c r="F1626" s="1533"/>
      <c r="G1626" s="1533"/>
      <c r="H1626" s="1533"/>
      <c r="I1626" s="1533"/>
      <c r="J1626" s="1533"/>
      <c r="K1626" s="1533"/>
      <c r="L1626" s="1533"/>
      <c r="M1626" s="1533"/>
      <c r="N1626" s="1537"/>
      <c r="O1626" s="17"/>
    </row>
    <row r="1627" spans="2:27" ht="12.75" customHeight="1" thickBot="1" x14ac:dyDescent="0.3">
      <c r="B1627" s="17"/>
      <c r="C1627" s="900"/>
      <c r="D1627" s="193" t="s">
        <v>206</v>
      </c>
      <c r="E1627" s="1538" t="str">
        <f>Translations!$B$773</f>
        <v>Are waste gases relevant for this sub-installation?</v>
      </c>
      <c r="F1627" s="1538"/>
      <c r="G1627" s="1538"/>
      <c r="H1627" s="1538"/>
      <c r="I1627" s="1538"/>
      <c r="J1627" s="1538"/>
      <c r="K1627" s="1539"/>
      <c r="L1627" s="194"/>
      <c r="M1627" s="762"/>
      <c r="N1627" s="763"/>
      <c r="O1627" s="17"/>
      <c r="W1627" s="288" t="s">
        <v>418</v>
      </c>
      <c r="X1627" s="215" t="b">
        <f>IF(AND(I1513&lt;&gt;"",ISBLANK(L1627)),EUconst_Error&amp;"BM"&amp;C1513,FALSE)</f>
        <v>0</v>
      </c>
    </row>
    <row r="1628" spans="2:27" ht="5.0999999999999996" customHeight="1" thickBot="1" x14ac:dyDescent="0.3">
      <c r="B1628" s="17"/>
      <c r="C1628" s="900"/>
      <c r="D1628" s="342"/>
      <c r="E1628" s="1533"/>
      <c r="F1628" s="1512"/>
      <c r="G1628" s="1512"/>
      <c r="H1628" s="1512"/>
      <c r="I1628" s="1512"/>
      <c r="J1628" s="1512"/>
      <c r="K1628" s="1512"/>
      <c r="L1628" s="1512"/>
      <c r="M1628" s="1512"/>
      <c r="N1628" s="1513"/>
      <c r="O1628" s="17"/>
      <c r="AA1628" s="145" t="s">
        <v>396</v>
      </c>
    </row>
    <row r="1629" spans="2:27" ht="12.75" customHeight="1" x14ac:dyDescent="0.25">
      <c r="B1629" s="17"/>
      <c r="C1629" s="900"/>
      <c r="D1629" s="193" t="s">
        <v>208</v>
      </c>
      <c r="E1629" s="1529" t="str">
        <f>Translations!$B$775</f>
        <v>Types of waste gases produced:</v>
      </c>
      <c r="F1629" s="1529"/>
      <c r="G1629" s="1529"/>
      <c r="H1629" s="1529"/>
      <c r="I1629" s="1530"/>
      <c r="J1629" s="1531"/>
      <c r="K1629" s="1531"/>
      <c r="L1629" s="1531"/>
      <c r="M1629" s="1532"/>
      <c r="N1629" s="763"/>
      <c r="O1629" s="17"/>
      <c r="AA1629" s="316" t="b">
        <f>IF(I1513&lt;&gt;"",AND(L1627&lt;&gt;"",L1627=FALSE),FALSE)</f>
        <v>0</v>
      </c>
    </row>
    <row r="1630" spans="2:27" ht="5.0999999999999996" customHeight="1" x14ac:dyDescent="0.25">
      <c r="B1630" s="17"/>
      <c r="C1630" s="900"/>
      <c r="D1630" s="342"/>
      <c r="E1630" s="1533"/>
      <c r="F1630" s="1512"/>
      <c r="G1630" s="1512"/>
      <c r="H1630" s="1512"/>
      <c r="I1630" s="1512"/>
      <c r="J1630" s="1512"/>
      <c r="K1630" s="1512"/>
      <c r="L1630" s="1512"/>
      <c r="M1630" s="1512"/>
      <c r="N1630" s="1513"/>
      <c r="O1630" s="17"/>
      <c r="AA1630" s="815"/>
    </row>
    <row r="1631" spans="2:27" ht="12.75" customHeight="1" x14ac:dyDescent="0.25">
      <c r="B1631" s="17"/>
      <c r="C1631" s="900"/>
      <c r="D1631" s="342"/>
      <c r="E1631" s="1522"/>
      <c r="F1631" s="1523"/>
      <c r="G1631" s="1523"/>
      <c r="H1631" s="152" t="str">
        <f>EUconst_Unit</f>
        <v>Unit</v>
      </c>
      <c r="I1631" s="153">
        <f>I$1882</f>
        <v>2019</v>
      </c>
      <c r="J1631" s="153">
        <f>J$1882</f>
        <v>2020</v>
      </c>
      <c r="K1631" s="153">
        <f>K$1882</f>
        <v>2021</v>
      </c>
      <c r="L1631" s="153">
        <f>L$1882</f>
        <v>2022</v>
      </c>
      <c r="M1631" s="153">
        <f>M$1882</f>
        <v>2023</v>
      </c>
      <c r="N1631" s="903"/>
      <c r="O1631" s="17"/>
      <c r="AA1631" s="815"/>
    </row>
    <row r="1632" spans="2:27" ht="12.75" customHeight="1" x14ac:dyDescent="0.25">
      <c r="B1632" s="17"/>
      <c r="C1632" s="900"/>
      <c r="D1632" s="193" t="s">
        <v>209</v>
      </c>
      <c r="E1632" s="1526" t="str">
        <f>Translations!$B$777</f>
        <v>Amounts produced</v>
      </c>
      <c r="F1632" s="1526"/>
      <c r="G1632" s="1526"/>
      <c r="H1632" s="949" t="s">
        <v>427</v>
      </c>
      <c r="I1632" s="889"/>
      <c r="J1632" s="889"/>
      <c r="K1632" s="889"/>
      <c r="L1632" s="889"/>
      <c r="M1632" s="889"/>
      <c r="N1632" s="903"/>
      <c r="O1632" s="17"/>
      <c r="AA1632" s="285" t="b">
        <f>AA1629</f>
        <v>0</v>
      </c>
    </row>
    <row r="1633" spans="2:27" ht="12.75" customHeight="1" x14ac:dyDescent="0.25">
      <c r="B1633" s="17"/>
      <c r="C1633" s="900"/>
      <c r="D1633" s="193" t="s">
        <v>210</v>
      </c>
      <c r="E1633" s="1527" t="str">
        <f>Translations!$B$470</f>
        <v>Net calorific value</v>
      </c>
      <c r="F1633" s="1527"/>
      <c r="G1633" s="1527"/>
      <c r="H1633" s="950" t="str">
        <f>IF(ISBLANK(H1632),EUconst_GJperUnit,INDEX(EUconst_GJperTorKNm3,MATCH(H1632,EUconst_TonnesOrkNm3pa,0)))</f>
        <v>GJ/1000Nm3</v>
      </c>
      <c r="I1633" s="895"/>
      <c r="J1633" s="895"/>
      <c r="K1633" s="895"/>
      <c r="L1633" s="895"/>
      <c r="M1633" s="895"/>
      <c r="N1633" s="903"/>
      <c r="O1633" s="17"/>
      <c r="AA1633" s="285" t="b">
        <f>AA1632</f>
        <v>0</v>
      </c>
    </row>
    <row r="1634" spans="2:27" ht="12.75" customHeight="1" x14ac:dyDescent="0.25">
      <c r="B1634" s="17"/>
      <c r="C1634" s="900"/>
      <c r="D1634" s="193" t="s">
        <v>220</v>
      </c>
      <c r="E1634" s="1528" t="str">
        <f>Translations!$B$778</f>
        <v>Waste gas produced</v>
      </c>
      <c r="F1634" s="1528"/>
      <c r="G1634" s="1528"/>
      <c r="H1634" s="154" t="str">
        <f>EUconst_TJpa</f>
        <v>TJ / year</v>
      </c>
      <c r="I1634" s="951" t="str">
        <f>IF(COUNT(I1632:I1633)=2,I1632*I1633/1000,"")</f>
        <v/>
      </c>
      <c r="J1634" s="951" t="str">
        <f>IF(COUNT(J1632:J1633)=2,J1632*J1633/1000,"")</f>
        <v/>
      </c>
      <c r="K1634" s="951" t="str">
        <f>IF(COUNT(K1632:K1633)=2,K1632*K1633/1000,"")</f>
        <v/>
      </c>
      <c r="L1634" s="951" t="str">
        <f>IF(COUNT(L1632:L1633)=2,L1632*L1633/1000,"")</f>
        <v/>
      </c>
      <c r="M1634" s="951" t="str">
        <f>IF(COUNT(M1632:M1633)=2,M1632*M1633/1000,"")</f>
        <v/>
      </c>
      <c r="N1634" s="903"/>
      <c r="O1634" s="17"/>
      <c r="P1634" s="63" t="str">
        <f>EUconst_CNTR_WGProduced &amp; I1513</f>
        <v>WasteGasProd_</v>
      </c>
      <c r="AA1634" s="815"/>
    </row>
    <row r="1635" spans="2:27" ht="12.75" customHeight="1" x14ac:dyDescent="0.25">
      <c r="B1635" s="17"/>
      <c r="C1635" s="900"/>
      <c r="D1635" s="193" t="s">
        <v>221</v>
      </c>
      <c r="E1635" s="1528" t="str">
        <f>Translations!$B$779</f>
        <v>Specific EF (produced waste gas)</v>
      </c>
      <c r="F1635" s="1528"/>
      <c r="G1635" s="1528"/>
      <c r="H1635" s="154" t="str">
        <f>EUconst_tCO2pTJ</f>
        <v>t CO2 / TJ</v>
      </c>
      <c r="I1635" s="311"/>
      <c r="J1635" s="311"/>
      <c r="K1635" s="311"/>
      <c r="L1635" s="311"/>
      <c r="M1635" s="311"/>
      <c r="N1635" s="266"/>
      <c r="O1635" s="17"/>
      <c r="P1635" s="63" t="str">
        <f>EUconst_CNTR_WGProducedEF &amp; I1513</f>
        <v>WasteGasProdEF_</v>
      </c>
      <c r="AA1635" s="285" t="b">
        <f>AA1633</f>
        <v>0</v>
      </c>
    </row>
    <row r="1636" spans="2:27" ht="12.75" customHeight="1" x14ac:dyDescent="0.25">
      <c r="B1636" s="17"/>
      <c r="C1636" s="900"/>
      <c r="D1636" s="342"/>
      <c r="E1636" s="342"/>
      <c r="F1636" s="342"/>
      <c r="G1636" s="342"/>
      <c r="H1636" s="342"/>
      <c r="I1636" s="342"/>
      <c r="J1636" s="342"/>
      <c r="K1636" s="342"/>
      <c r="L1636" s="342"/>
      <c r="M1636" s="342"/>
      <c r="N1636" s="266"/>
      <c r="O1636" s="17"/>
      <c r="AA1636" s="815"/>
    </row>
    <row r="1637" spans="2:27" ht="12.75" customHeight="1" x14ac:dyDescent="0.25">
      <c r="B1637" s="17"/>
      <c r="C1637" s="900"/>
      <c r="D1637" s="193" t="s">
        <v>222</v>
      </c>
      <c r="E1637" s="1529" t="str">
        <f>Translations!$B$780</f>
        <v>Types of waste gases consumed:</v>
      </c>
      <c r="F1637" s="1529"/>
      <c r="G1637" s="1529"/>
      <c r="H1637" s="1529"/>
      <c r="I1637" s="1530"/>
      <c r="J1637" s="1531"/>
      <c r="K1637" s="1531"/>
      <c r="L1637" s="1531"/>
      <c r="M1637" s="1532"/>
      <c r="N1637" s="763"/>
      <c r="O1637" s="17"/>
      <c r="AA1637" s="285" t="b">
        <f>AA1635</f>
        <v>0</v>
      </c>
    </row>
    <row r="1638" spans="2:27" ht="5.0999999999999996" customHeight="1" x14ac:dyDescent="0.25">
      <c r="B1638" s="17"/>
      <c r="C1638" s="900"/>
      <c r="D1638" s="193"/>
      <c r="E1638" s="1533"/>
      <c r="F1638" s="1512"/>
      <c r="G1638" s="1512"/>
      <c r="H1638" s="1512"/>
      <c r="I1638" s="1512"/>
      <c r="J1638" s="1512"/>
      <c r="K1638" s="1512"/>
      <c r="L1638" s="1512"/>
      <c r="M1638" s="1512"/>
      <c r="N1638" s="1513"/>
      <c r="O1638" s="17"/>
      <c r="AA1638" s="815"/>
    </row>
    <row r="1639" spans="2:27" ht="12.75" customHeight="1" x14ac:dyDescent="0.25">
      <c r="B1639" s="17"/>
      <c r="C1639" s="900"/>
      <c r="D1639" s="342"/>
      <c r="E1639" s="1522"/>
      <c r="F1639" s="1523"/>
      <c r="G1639" s="1523"/>
      <c r="H1639" s="152" t="str">
        <f>EUconst_Unit</f>
        <v>Unit</v>
      </c>
      <c r="I1639" s="153">
        <f>I$1882</f>
        <v>2019</v>
      </c>
      <c r="J1639" s="153">
        <f>J$1882</f>
        <v>2020</v>
      </c>
      <c r="K1639" s="153">
        <f>K$1882</f>
        <v>2021</v>
      </c>
      <c r="L1639" s="153">
        <f>L$1882</f>
        <v>2022</v>
      </c>
      <c r="M1639" s="153">
        <f>M$1882</f>
        <v>2023</v>
      </c>
      <c r="N1639" s="903"/>
      <c r="O1639" s="17"/>
      <c r="AA1639" s="815"/>
    </row>
    <row r="1640" spans="2:27" ht="12.75" customHeight="1" x14ac:dyDescent="0.25">
      <c r="B1640" s="17"/>
      <c r="C1640" s="900"/>
      <c r="D1640" s="193" t="s">
        <v>223</v>
      </c>
      <c r="E1640" s="1526" t="str">
        <f>Translations!$B$782</f>
        <v>Amounts consumed</v>
      </c>
      <c r="F1640" s="1526"/>
      <c r="G1640" s="1526"/>
      <c r="H1640" s="949" t="s">
        <v>427</v>
      </c>
      <c r="I1640" s="889"/>
      <c r="J1640" s="889"/>
      <c r="K1640" s="889"/>
      <c r="L1640" s="889"/>
      <c r="M1640" s="889"/>
      <c r="N1640" s="903"/>
      <c r="O1640" s="17"/>
      <c r="AA1640" s="285" t="b">
        <f>AA1637</f>
        <v>0</v>
      </c>
    </row>
    <row r="1641" spans="2:27" ht="12.75" customHeight="1" x14ac:dyDescent="0.25">
      <c r="B1641" s="17"/>
      <c r="C1641" s="900"/>
      <c r="D1641" s="193" t="s">
        <v>224</v>
      </c>
      <c r="E1641" s="1527" t="str">
        <f>Translations!$B$470</f>
        <v>Net calorific value</v>
      </c>
      <c r="F1641" s="1527"/>
      <c r="G1641" s="1527"/>
      <c r="H1641" s="950" t="str">
        <f>IF(ISBLANK(H1640),EUconst_GJperUnit,INDEX(EUconst_GJperTorKNm3,MATCH(H1640,EUconst_TonnesOrkNm3pa,0)))</f>
        <v>GJ/1000Nm3</v>
      </c>
      <c r="I1641" s="895"/>
      <c r="J1641" s="895"/>
      <c r="K1641" s="895"/>
      <c r="L1641" s="895"/>
      <c r="M1641" s="895"/>
      <c r="N1641" s="903"/>
      <c r="O1641" s="17"/>
      <c r="AA1641" s="285" t="b">
        <f>AA1640</f>
        <v>0</v>
      </c>
    </row>
    <row r="1642" spans="2:27" ht="12.75" customHeight="1" x14ac:dyDescent="0.25">
      <c r="B1642" s="17"/>
      <c r="C1642" s="900"/>
      <c r="D1642" s="193" t="s">
        <v>345</v>
      </c>
      <c r="E1642" s="1528" t="str">
        <f>Translations!$B$783</f>
        <v>Waste gas consumed</v>
      </c>
      <c r="F1642" s="1528"/>
      <c r="G1642" s="1528"/>
      <c r="H1642" s="154" t="str">
        <f>EUconst_TJpa</f>
        <v>TJ / year</v>
      </c>
      <c r="I1642" s="951" t="str">
        <f>IF(COUNT(I1640:I1641)=2,I1640*I1641/1000,"")</f>
        <v/>
      </c>
      <c r="J1642" s="951" t="str">
        <f>IF(COUNT(J1640:J1641)=2,J1640*J1641/1000,"")</f>
        <v/>
      </c>
      <c r="K1642" s="951" t="str">
        <f>IF(COUNT(K1640:K1641)=2,K1640*K1641/1000,"")</f>
        <v/>
      </c>
      <c r="L1642" s="951" t="str">
        <f>IF(COUNT(L1640:L1641)=2,L1640*L1641/1000,"")</f>
        <v/>
      </c>
      <c r="M1642" s="951" t="str">
        <f>IF(COUNT(M1640:M1641)=2,M1640*M1641/1000,"")</f>
        <v/>
      </c>
      <c r="N1642" s="903"/>
      <c r="O1642" s="17"/>
      <c r="P1642" s="63" t="str">
        <f>EUconst_CNTR_WGConsumed &amp; I1513</f>
        <v>WasteGasCons_</v>
      </c>
      <c r="AA1642" s="815"/>
    </row>
    <row r="1643" spans="2:27" ht="12.75" customHeight="1" x14ac:dyDescent="0.25">
      <c r="B1643" s="17"/>
      <c r="C1643" s="900"/>
      <c r="D1643" s="193" t="s">
        <v>346</v>
      </c>
      <c r="E1643" s="1528" t="str">
        <f>Translations!$B$784</f>
        <v>Specific EF (consumed waste gas)</v>
      </c>
      <c r="F1643" s="1528"/>
      <c r="G1643" s="1528"/>
      <c r="H1643" s="154" t="str">
        <f>EUconst_tCO2pTJ</f>
        <v>t CO2 / TJ</v>
      </c>
      <c r="I1643" s="311"/>
      <c r="J1643" s="311"/>
      <c r="K1643" s="311"/>
      <c r="L1643" s="311"/>
      <c r="M1643" s="311"/>
      <c r="N1643" s="266"/>
      <c r="O1643" s="17"/>
      <c r="P1643" s="63" t="str">
        <f>EUconst_CNTR_WGConsumedEF &amp; I1513</f>
        <v>WasteGasConsEF_</v>
      </c>
      <c r="AA1643" s="285" t="b">
        <f>AA1641</f>
        <v>0</v>
      </c>
    </row>
    <row r="1644" spans="2:27" ht="12.75" customHeight="1" x14ac:dyDescent="0.25">
      <c r="B1644" s="17"/>
      <c r="C1644" s="900"/>
      <c r="D1644" s="342"/>
      <c r="E1644" s="342"/>
      <c r="F1644" s="342"/>
      <c r="G1644" s="342"/>
      <c r="H1644" s="342"/>
      <c r="I1644" s="342"/>
      <c r="J1644" s="342"/>
      <c r="K1644" s="342"/>
      <c r="L1644" s="342"/>
      <c r="M1644" s="342"/>
      <c r="N1644" s="266"/>
      <c r="O1644" s="17"/>
      <c r="AA1644" s="815"/>
    </row>
    <row r="1645" spans="2:27" ht="12.75" customHeight="1" x14ac:dyDescent="0.25">
      <c r="B1645" s="17"/>
      <c r="C1645" s="900"/>
      <c r="D1645" s="193" t="s">
        <v>347</v>
      </c>
      <c r="E1645" s="1529" t="str">
        <f>Translations!$B$785</f>
        <v>Types of waste gases flared:</v>
      </c>
      <c r="F1645" s="1529"/>
      <c r="G1645" s="1529"/>
      <c r="H1645" s="1529"/>
      <c r="I1645" s="1530"/>
      <c r="J1645" s="1531"/>
      <c r="K1645" s="1531"/>
      <c r="L1645" s="1531"/>
      <c r="M1645" s="1532"/>
      <c r="N1645" s="763"/>
      <c r="O1645" s="17"/>
      <c r="AA1645" s="285" t="b">
        <f>AA1635</f>
        <v>0</v>
      </c>
    </row>
    <row r="1646" spans="2:27" ht="5.0999999999999996" customHeight="1" x14ac:dyDescent="0.25">
      <c r="B1646" s="17"/>
      <c r="C1646" s="900"/>
      <c r="D1646" s="193"/>
      <c r="E1646" s="1533"/>
      <c r="F1646" s="1512"/>
      <c r="G1646" s="1512"/>
      <c r="H1646" s="1512"/>
      <c r="I1646" s="1512"/>
      <c r="J1646" s="1512"/>
      <c r="K1646" s="1512"/>
      <c r="L1646" s="1512"/>
      <c r="M1646" s="1512"/>
      <c r="N1646" s="1513"/>
      <c r="O1646" s="17"/>
      <c r="AA1646" s="815"/>
    </row>
    <row r="1647" spans="2:27" ht="12.75" customHeight="1" x14ac:dyDescent="0.25">
      <c r="B1647" s="17"/>
      <c r="C1647" s="900"/>
      <c r="D1647" s="342"/>
      <c r="E1647" s="1522"/>
      <c r="F1647" s="1523"/>
      <c r="G1647" s="1523"/>
      <c r="H1647" s="152" t="str">
        <f>EUconst_Unit</f>
        <v>Unit</v>
      </c>
      <c r="I1647" s="153">
        <f>I$1882</f>
        <v>2019</v>
      </c>
      <c r="J1647" s="153">
        <f>J$1882</f>
        <v>2020</v>
      </c>
      <c r="K1647" s="153">
        <f>K$1882</f>
        <v>2021</v>
      </c>
      <c r="L1647" s="153">
        <f>L$1882</f>
        <v>2022</v>
      </c>
      <c r="M1647" s="153">
        <f>M$1882</f>
        <v>2023</v>
      </c>
      <c r="N1647" s="903"/>
      <c r="O1647" s="17"/>
      <c r="AA1647" s="815"/>
    </row>
    <row r="1648" spans="2:27" ht="12.75" customHeight="1" thickBot="1" x14ac:dyDescent="0.3">
      <c r="B1648" s="17"/>
      <c r="C1648" s="900"/>
      <c r="D1648" s="193" t="s">
        <v>355</v>
      </c>
      <c r="E1648" s="1526" t="str">
        <f>Translations!$B$789</f>
        <v>Amounts flared</v>
      </c>
      <c r="F1648" s="1526"/>
      <c r="G1648" s="1526"/>
      <c r="H1648" s="949" t="s">
        <v>427</v>
      </c>
      <c r="I1648" s="889"/>
      <c r="J1648" s="889"/>
      <c r="K1648" s="889"/>
      <c r="L1648" s="889"/>
      <c r="M1648" s="889"/>
      <c r="N1648" s="903"/>
      <c r="O1648" s="17"/>
      <c r="R1648" s="145" t="s">
        <v>428</v>
      </c>
      <c r="AA1648" s="285" t="b">
        <f>AA1645</f>
        <v>0</v>
      </c>
    </row>
    <row r="1649" spans="2:27" ht="12.75" customHeight="1" thickBot="1" x14ac:dyDescent="0.3">
      <c r="B1649" s="17"/>
      <c r="C1649" s="900"/>
      <c r="D1649" s="193" t="s">
        <v>356</v>
      </c>
      <c r="E1649" s="1527" t="str">
        <f>Translations!$B$470</f>
        <v>Net calorific value</v>
      </c>
      <c r="F1649" s="1527"/>
      <c r="G1649" s="1527"/>
      <c r="H1649" s="950" t="str">
        <f>IF(ISBLANK(H1648),EUconst_GJperUnit,INDEX(EUconst_GJperTorKNm3,MATCH(H1648,EUconst_TonnesOrkNm3pa,0)))</f>
        <v>GJ/1000Nm3</v>
      </c>
      <c r="I1649" s="895"/>
      <c r="J1649" s="895"/>
      <c r="K1649" s="895"/>
      <c r="L1649" s="895"/>
      <c r="M1649" s="895"/>
      <c r="N1649" s="903"/>
      <c r="O1649" s="17"/>
      <c r="R1649" s="283" t="s">
        <v>399</v>
      </c>
      <c r="S1649" s="280">
        <f>I1647</f>
        <v>2019</v>
      </c>
      <c r="T1649" s="281">
        <f>J1647</f>
        <v>2020</v>
      </c>
      <c r="U1649" s="281">
        <f>K1647</f>
        <v>2021</v>
      </c>
      <c r="V1649" s="281">
        <f>L1647</f>
        <v>2022</v>
      </c>
      <c r="W1649" s="282">
        <f>M1647</f>
        <v>2023</v>
      </c>
      <c r="AA1649" s="285" t="b">
        <f>AA1648</f>
        <v>0</v>
      </c>
    </row>
    <row r="1650" spans="2:27" ht="12.75" customHeight="1" thickBot="1" x14ac:dyDescent="0.3">
      <c r="B1650" s="17"/>
      <c r="C1650" s="900"/>
      <c r="D1650" s="193" t="s">
        <v>420</v>
      </c>
      <c r="E1650" s="1528" t="str">
        <f>Translations!$B$790</f>
        <v>Waste gas flared</v>
      </c>
      <c r="F1650" s="1528"/>
      <c r="G1650" s="1528"/>
      <c r="H1650" s="154" t="str">
        <f>EUconst_TJpa</f>
        <v>TJ / year</v>
      </c>
      <c r="I1650" s="951" t="str">
        <f>IF(COUNT(I1648:I1649)=2,I1648*I1649/1000,"")</f>
        <v/>
      </c>
      <c r="J1650" s="951" t="str">
        <f>IF(COUNT(J1648:J1649)=2,J1648*J1649/1000,"")</f>
        <v/>
      </c>
      <c r="K1650" s="951" t="str">
        <f>IF(COUNT(K1648:K1649)=2,K1648*K1649/1000,"")</f>
        <v/>
      </c>
      <c r="L1650" s="951" t="str">
        <f>IF(COUNT(L1648:L1649)=2,L1648*L1649/1000,"")</f>
        <v/>
      </c>
      <c r="M1650" s="951" t="str">
        <f>IF(COUNT(M1648:M1649)=2,M1648*M1649/1000,"")</f>
        <v/>
      </c>
      <c r="N1650" s="903"/>
      <c r="O1650" s="17"/>
      <c r="P1650" s="63" t="str">
        <f>EUconst_CNTR_WGFlared &amp; I1513</f>
        <v>WasteGasFlare_</v>
      </c>
      <c r="R1650" s="918" t="str">
        <f>IF(COUNT(S1650:W1650)&gt;0,AVERAGE(S1650:W1650),"")</f>
        <v/>
      </c>
      <c r="S1650" s="808" t="str">
        <f>IF(S1513,IF(ISNUMBER(I1650),I1650,0),"")</f>
        <v/>
      </c>
      <c r="T1650" s="809" t="str">
        <f>IF(T1513,IF(ISNUMBER(J1650),J1650,0),"")</f>
        <v/>
      </c>
      <c r="U1650" s="809" t="str">
        <f>IF(U1513,IF(ISNUMBER(K1650),K1650,0),"")</f>
        <v/>
      </c>
      <c r="V1650" s="809" t="str">
        <f>IF(V1513,IF(ISNUMBER(L1650),L1650,0),"")</f>
        <v/>
      </c>
      <c r="W1650" s="810" t="str">
        <f>IF(W1513,IF(ISNUMBER(M1650),M1650,0),"")</f>
        <v/>
      </c>
      <c r="AA1650" s="815"/>
    </row>
    <row r="1651" spans="2:27" ht="12.75" customHeight="1" thickBot="1" x14ac:dyDescent="0.3">
      <c r="B1651" s="17"/>
      <c r="C1651" s="900"/>
      <c r="D1651" s="193" t="s">
        <v>421</v>
      </c>
      <c r="E1651" s="1528" t="str">
        <f>Translations!$B$791</f>
        <v>Specific EF (flared waste gas)</v>
      </c>
      <c r="F1651" s="1528"/>
      <c r="G1651" s="1528"/>
      <c r="H1651" s="154" t="str">
        <f>EUconst_tCO2pTJ</f>
        <v>t CO2 / TJ</v>
      </c>
      <c r="I1651" s="311"/>
      <c r="J1651" s="311"/>
      <c r="K1651" s="311"/>
      <c r="L1651" s="311"/>
      <c r="M1651" s="311"/>
      <c r="N1651" s="266"/>
      <c r="O1651" s="17"/>
      <c r="P1651" s="63" t="str">
        <f>EUconst_CNTR_WGFlaredEF &amp; I1513</f>
        <v>WasteGasFlareEF_</v>
      </c>
      <c r="R1651" s="952" t="str">
        <f>IF(COUNT(S1651:W1651)&gt;0,AVERAGE(S1651:W1651),"")</f>
        <v/>
      </c>
      <c r="S1651" s="808" t="str">
        <f>IF(S1513,SUM(I1650)*SUM(I1651),"")</f>
        <v/>
      </c>
      <c r="T1651" s="809" t="str">
        <f>IF(T1513,SUM(J1650)*SUM(J1651),"")</f>
        <v/>
      </c>
      <c r="U1651" s="809" t="str">
        <f>IF(U1513,SUM(K1650)*SUM(K1651),"")</f>
        <v/>
      </c>
      <c r="V1651" s="809" t="str">
        <f>IF(V1513,SUM(L1650)*SUM(L1651),"")</f>
        <v/>
      </c>
      <c r="W1651" s="810" t="str">
        <f>IF(W1513,SUM(M1650)*SUM(M1651),"")</f>
        <v/>
      </c>
      <c r="AA1651" s="285" t="b">
        <f>AA1649</f>
        <v>0</v>
      </c>
    </row>
    <row r="1652" spans="2:27" ht="12.75" customHeight="1" x14ac:dyDescent="0.25">
      <c r="B1652" s="17"/>
      <c r="C1652" s="900"/>
      <c r="D1652" s="342"/>
      <c r="E1652" s="342"/>
      <c r="F1652" s="342"/>
      <c r="G1652" s="342"/>
      <c r="H1652" s="342"/>
      <c r="I1652" s="342"/>
      <c r="J1652" s="342"/>
      <c r="K1652" s="342"/>
      <c r="L1652" s="342"/>
      <c r="M1652" s="342"/>
      <c r="N1652" s="266"/>
      <c r="O1652" s="17"/>
      <c r="AA1652" s="815"/>
    </row>
    <row r="1653" spans="2:27" ht="12.75" customHeight="1" x14ac:dyDescent="0.25">
      <c r="B1653" s="17"/>
      <c r="C1653" s="900"/>
      <c r="D1653" s="193" t="s">
        <v>422</v>
      </c>
      <c r="E1653" s="1529" t="str">
        <f>Translations!$B$792</f>
        <v>Types of waste gases imported:</v>
      </c>
      <c r="F1653" s="1529"/>
      <c r="G1653" s="1529"/>
      <c r="H1653" s="1529"/>
      <c r="I1653" s="1530"/>
      <c r="J1653" s="1531"/>
      <c r="K1653" s="1531"/>
      <c r="L1653" s="1531"/>
      <c r="M1653" s="1532"/>
      <c r="N1653" s="266"/>
      <c r="O1653" s="17"/>
      <c r="AA1653" s="285" t="b">
        <f>AA1633</f>
        <v>0</v>
      </c>
    </row>
    <row r="1654" spans="2:27" ht="5.0999999999999996" customHeight="1" x14ac:dyDescent="0.25">
      <c r="B1654" s="17"/>
      <c r="C1654" s="900"/>
      <c r="D1654" s="193"/>
      <c r="E1654" s="1535"/>
      <c r="F1654" s="1511"/>
      <c r="G1654" s="1511"/>
      <c r="H1654" s="1511"/>
      <c r="I1654" s="1511"/>
      <c r="J1654" s="1511"/>
      <c r="K1654" s="1511"/>
      <c r="L1654" s="1511"/>
      <c r="M1654" s="1511"/>
      <c r="N1654" s="1536"/>
      <c r="O1654" s="17"/>
      <c r="AA1654" s="815"/>
    </row>
    <row r="1655" spans="2:27" ht="12.75" customHeight="1" x14ac:dyDescent="0.25">
      <c r="B1655" s="17"/>
      <c r="C1655" s="900"/>
      <c r="D1655" s="342"/>
      <c r="E1655" s="1522"/>
      <c r="F1655" s="1523"/>
      <c r="G1655" s="1523"/>
      <c r="H1655" s="152" t="str">
        <f>EUconst_Unit</f>
        <v>Unit</v>
      </c>
      <c r="I1655" s="153">
        <f>I$1882</f>
        <v>2019</v>
      </c>
      <c r="J1655" s="153">
        <f>J$1882</f>
        <v>2020</v>
      </c>
      <c r="K1655" s="153">
        <f>K$1882</f>
        <v>2021</v>
      </c>
      <c r="L1655" s="153">
        <f>L$1882</f>
        <v>2022</v>
      </c>
      <c r="M1655" s="153">
        <f>M$1882</f>
        <v>2023</v>
      </c>
      <c r="N1655" s="903"/>
      <c r="O1655" s="17"/>
      <c r="AA1655" s="815"/>
    </row>
    <row r="1656" spans="2:27" ht="12.75" customHeight="1" thickBot="1" x14ac:dyDescent="0.3">
      <c r="B1656" s="17"/>
      <c r="C1656" s="900"/>
      <c r="D1656" s="193" t="s">
        <v>423</v>
      </c>
      <c r="E1656" s="1526" t="str">
        <f>Translations!$B$795</f>
        <v>Amounts imported</v>
      </c>
      <c r="F1656" s="1526"/>
      <c r="G1656" s="1526"/>
      <c r="H1656" s="949" t="s">
        <v>427</v>
      </c>
      <c r="I1656" s="889"/>
      <c r="J1656" s="889"/>
      <c r="K1656" s="889"/>
      <c r="L1656" s="889"/>
      <c r="M1656" s="889"/>
      <c r="N1656" s="903"/>
      <c r="O1656" s="17"/>
      <c r="AA1656" s="285" t="b">
        <f>AA1653</f>
        <v>0</v>
      </c>
    </row>
    <row r="1657" spans="2:27" ht="12.75" customHeight="1" x14ac:dyDescent="0.25">
      <c r="B1657" s="17"/>
      <c r="C1657" s="900"/>
      <c r="D1657" s="193" t="s">
        <v>430</v>
      </c>
      <c r="E1657" s="1527" t="str">
        <f>Translations!$B$470</f>
        <v>Net calorific value</v>
      </c>
      <c r="F1657" s="1527"/>
      <c r="G1657" s="1527"/>
      <c r="H1657" s="950" t="str">
        <f>IF(ISBLANK(H1656),EUconst_GJperUnit,INDEX(EUconst_GJperTorKNm3,MATCH(H1656,EUconst_TonnesOrkNm3pa,0)))</f>
        <v>GJ/1000Nm3</v>
      </c>
      <c r="I1657" s="895"/>
      <c r="J1657" s="895"/>
      <c r="K1657" s="895"/>
      <c r="L1657" s="895"/>
      <c r="M1657" s="895"/>
      <c r="N1657" s="903"/>
      <c r="O1657" s="17"/>
      <c r="R1657" s="459"/>
      <c r="S1657" s="326">
        <f>I1655</f>
        <v>2019</v>
      </c>
      <c r="T1657" s="326">
        <f>J1655</f>
        <v>2020</v>
      </c>
      <c r="U1657" s="326">
        <f>K1655</f>
        <v>2021</v>
      </c>
      <c r="V1657" s="326">
        <f>L1655</f>
        <v>2022</v>
      </c>
      <c r="W1657" s="327">
        <f>M1655</f>
        <v>2023</v>
      </c>
      <c r="AA1657" s="285" t="b">
        <f>AA1656</f>
        <v>0</v>
      </c>
    </row>
    <row r="1658" spans="2:27" ht="12.75" customHeight="1" x14ac:dyDescent="0.25">
      <c r="B1658" s="17"/>
      <c r="C1658" s="900"/>
      <c r="D1658" s="193" t="s">
        <v>431</v>
      </c>
      <c r="E1658" s="1528" t="str">
        <f>Translations!$B$796</f>
        <v>Waste gas imported</v>
      </c>
      <c r="F1658" s="1528"/>
      <c r="G1658" s="1528"/>
      <c r="H1658" s="154" t="str">
        <f>EUconst_TJpa</f>
        <v>TJ / year</v>
      </c>
      <c r="I1658" s="163" t="str">
        <f>IF(COUNT(I1656:I1657)=2,I1656*I1657/1000,"")</f>
        <v/>
      </c>
      <c r="J1658" s="163" t="str">
        <f>IF(COUNT(J1656:J1657)=2,J1656*J1657/1000,"")</f>
        <v/>
      </c>
      <c r="K1658" s="163" t="str">
        <f>IF(COUNT(K1656:K1657)=2,K1656*K1657/1000,"")</f>
        <v/>
      </c>
      <c r="L1658" s="163" t="str">
        <f>IF(COUNT(L1656:L1657)=2,L1656*L1657/1000,"")</f>
        <v/>
      </c>
      <c r="M1658" s="163" t="str">
        <f>IF(COUNT(M1656:M1657)=2,M1656*M1657/1000,"")</f>
        <v/>
      </c>
      <c r="N1658" s="903"/>
      <c r="O1658" s="17"/>
      <c r="P1658" s="63" t="str">
        <f>EUconst_CNTR_WGImport &amp; I1513</f>
        <v>WasteGasIm_</v>
      </c>
      <c r="R1658" s="464" t="str">
        <f>EUconst_ERR_AttrEmBMapplied &amp; I1513</f>
        <v>ERR_AttrEmBM_</v>
      </c>
      <c r="S1658" s="63">
        <f>IF(AND(I1658&lt;&gt;"",EUconst_StatusOfDataCollection=FALSE),1,0)</f>
        <v>0</v>
      </c>
      <c r="T1658" s="63">
        <f>IF(AND(J1658&lt;&gt;"",EUconst_StatusOfDataCollection=FALSE),1,0)</f>
        <v>0</v>
      </c>
      <c r="U1658" s="63">
        <f>IF(AND(K1658&lt;&gt;"",EUconst_StatusOfDataCollection=FALSE),1,0)</f>
        <v>0</v>
      </c>
      <c r="V1658" s="63">
        <f>IF(AND(L1658&lt;&gt;"",EUconst_StatusOfDataCollection=FALSE),1,0)</f>
        <v>0</v>
      </c>
      <c r="W1658" s="803">
        <f>IF(AND(M1658&lt;&gt;"",EUconst_StatusOfDataCollection=FALSE),1,0)</f>
        <v>0</v>
      </c>
      <c r="AA1658" s="815"/>
    </row>
    <row r="1659" spans="2:27" ht="12.75" customHeight="1" thickBot="1" x14ac:dyDescent="0.3">
      <c r="B1659" s="17"/>
      <c r="C1659" s="900"/>
      <c r="D1659" s="193" t="s">
        <v>432</v>
      </c>
      <c r="E1659" s="1528" t="str">
        <f>Translations!$B$797</f>
        <v>Specific EF (imported waste gas)</v>
      </c>
      <c r="F1659" s="1528"/>
      <c r="G1659" s="1528"/>
      <c r="H1659" s="154" t="str">
        <f>EUconst_tCO2pTJ</f>
        <v>t CO2 / TJ</v>
      </c>
      <c r="I1659" s="311"/>
      <c r="J1659" s="311"/>
      <c r="K1659" s="311"/>
      <c r="L1659" s="311"/>
      <c r="M1659" s="311"/>
      <c r="N1659" s="266"/>
      <c r="O1659" s="17"/>
      <c r="P1659" s="63" t="str">
        <f>EUconst_CNTR_WGImportEF &amp; I1513</f>
        <v>WasteGasImEF_</v>
      </c>
      <c r="R1659" s="460" t="str">
        <f>EUconst_CNTR_AttributedEmissions &amp; I1513</f>
        <v>AttrEmissions_</v>
      </c>
      <c r="S1659" s="389" t="str">
        <f>IF(S1513,SUM(I1658)*EUconst_FuelBMvalue,"")</f>
        <v/>
      </c>
      <c r="T1659" s="389" t="str">
        <f>IF(T1513,SUM(J1658)*EUconst_FuelBMvalue,"")</f>
        <v/>
      </c>
      <c r="U1659" s="389" t="str">
        <f>IF(U1513,SUM(K1658)*EUconst_FuelBMvalue,"")</f>
        <v/>
      </c>
      <c r="V1659" s="389" t="str">
        <f>IF(V1513,SUM(L1658)*EUconst_FuelBMvalue,"")</f>
        <v/>
      </c>
      <c r="W1659" s="390" t="str">
        <f>IF(W1513,SUM(M1658)*EUconst_FuelBMvalue,"")</f>
        <v/>
      </c>
      <c r="AA1659" s="285" t="b">
        <f>AA1657</f>
        <v>0</v>
      </c>
    </row>
    <row r="1660" spans="2:27" ht="12.75" customHeight="1" x14ac:dyDescent="0.25">
      <c r="B1660" s="17"/>
      <c r="C1660" s="900"/>
      <c r="D1660" s="342"/>
      <c r="E1660" s="342"/>
      <c r="F1660" s="342"/>
      <c r="G1660" s="342"/>
      <c r="H1660" s="342"/>
      <c r="I1660" s="342"/>
      <c r="J1660" s="342"/>
      <c r="K1660" s="342"/>
      <c r="L1660" s="342"/>
      <c r="M1660" s="342"/>
      <c r="N1660" s="266"/>
      <c r="O1660" s="17"/>
      <c r="AA1660" s="815"/>
    </row>
    <row r="1661" spans="2:27" ht="12.75" customHeight="1" x14ac:dyDescent="0.25">
      <c r="B1661" s="17"/>
      <c r="C1661" s="900"/>
      <c r="D1661" s="193" t="s">
        <v>433</v>
      </c>
      <c r="E1661" s="1529" t="str">
        <f>Translations!$B$798</f>
        <v>Types of waste gases exported:</v>
      </c>
      <c r="F1661" s="1529"/>
      <c r="G1661" s="1529"/>
      <c r="H1661" s="1529"/>
      <c r="I1661" s="1530"/>
      <c r="J1661" s="1531"/>
      <c r="K1661" s="1531"/>
      <c r="L1661" s="1531"/>
      <c r="M1661" s="1532"/>
      <c r="N1661" s="763"/>
      <c r="O1661" s="17"/>
      <c r="AA1661" s="285" t="b">
        <f>AA1656</f>
        <v>0</v>
      </c>
    </row>
    <row r="1662" spans="2:27" ht="5.0999999999999996" customHeight="1" x14ac:dyDescent="0.25">
      <c r="B1662" s="17"/>
      <c r="C1662" s="900"/>
      <c r="D1662" s="193"/>
      <c r="E1662" s="1533"/>
      <c r="F1662" s="1512"/>
      <c r="G1662" s="1512"/>
      <c r="H1662" s="1512"/>
      <c r="I1662" s="1512"/>
      <c r="J1662" s="1512"/>
      <c r="K1662" s="1512"/>
      <c r="L1662" s="1512"/>
      <c r="M1662" s="1512"/>
      <c r="N1662" s="1513"/>
      <c r="O1662" s="17"/>
      <c r="AA1662" s="815"/>
    </row>
    <row r="1663" spans="2:27" ht="12.75" customHeight="1" x14ac:dyDescent="0.25">
      <c r="B1663" s="17"/>
      <c r="C1663" s="900"/>
      <c r="D1663" s="342"/>
      <c r="E1663" s="1522"/>
      <c r="F1663" s="1523"/>
      <c r="G1663" s="1523"/>
      <c r="H1663" s="152" t="str">
        <f>EUconst_Unit</f>
        <v>Unit</v>
      </c>
      <c r="I1663" s="153">
        <f>I$1882</f>
        <v>2019</v>
      </c>
      <c r="J1663" s="153">
        <f>J$1882</f>
        <v>2020</v>
      </c>
      <c r="K1663" s="153">
        <f>K$1882</f>
        <v>2021</v>
      </c>
      <c r="L1663" s="153">
        <f>L$1882</f>
        <v>2022</v>
      </c>
      <c r="M1663" s="153">
        <f>M$1882</f>
        <v>2023</v>
      </c>
      <c r="N1663" s="903"/>
      <c r="O1663" s="17"/>
      <c r="AA1663" s="815"/>
    </row>
    <row r="1664" spans="2:27" ht="12.75" customHeight="1" x14ac:dyDescent="0.25">
      <c r="B1664" s="17"/>
      <c r="C1664" s="900"/>
      <c r="D1664" s="193" t="s">
        <v>434</v>
      </c>
      <c r="E1664" s="1526" t="str">
        <f>Translations!$B$800</f>
        <v>Amounts exported</v>
      </c>
      <c r="F1664" s="1526"/>
      <c r="G1664" s="1526"/>
      <c r="H1664" s="949" t="s">
        <v>427</v>
      </c>
      <c r="I1664" s="889"/>
      <c r="J1664" s="889"/>
      <c r="K1664" s="889"/>
      <c r="L1664" s="889"/>
      <c r="M1664" s="889"/>
      <c r="N1664" s="903"/>
      <c r="O1664" s="17"/>
      <c r="AA1664" s="285" t="b">
        <f>AA1661</f>
        <v>0</v>
      </c>
    </row>
    <row r="1665" spans="2:27" ht="12.75" customHeight="1" thickBot="1" x14ac:dyDescent="0.3">
      <c r="B1665" s="17"/>
      <c r="C1665" s="900"/>
      <c r="D1665" s="193" t="s">
        <v>435</v>
      </c>
      <c r="E1665" s="1527" t="str">
        <f>Translations!$B$470</f>
        <v>Net calorific value</v>
      </c>
      <c r="F1665" s="1527"/>
      <c r="G1665" s="1527"/>
      <c r="H1665" s="950" t="str">
        <f>IF(ISBLANK(H1664),EUconst_GJperUnit,INDEX(EUconst_GJperTorKNm3,MATCH(H1664,EUconst_TonnesOrkNm3pa,0)))</f>
        <v>GJ/1000Nm3</v>
      </c>
      <c r="I1665" s="895"/>
      <c r="J1665" s="895"/>
      <c r="K1665" s="895"/>
      <c r="L1665" s="895"/>
      <c r="M1665" s="895"/>
      <c r="N1665" s="903"/>
      <c r="O1665" s="17"/>
      <c r="AA1665" s="285" t="b">
        <f>AA1664</f>
        <v>0</v>
      </c>
    </row>
    <row r="1666" spans="2:27" ht="12.75" customHeight="1" x14ac:dyDescent="0.25">
      <c r="B1666" s="17"/>
      <c r="C1666" s="900"/>
      <c r="D1666" s="193" t="s">
        <v>436</v>
      </c>
      <c r="E1666" s="1528" t="str">
        <f>Translations!$B$801</f>
        <v>Waste gas exported</v>
      </c>
      <c r="F1666" s="1528"/>
      <c r="G1666" s="1528"/>
      <c r="H1666" s="154" t="str">
        <f>EUconst_TJpa</f>
        <v>TJ / year</v>
      </c>
      <c r="I1666" s="163" t="str">
        <f>IF(COUNT(I1664:I1665)=2,I1664*I1665/1000,"")</f>
        <v/>
      </c>
      <c r="J1666" s="163" t="str">
        <f>IF(COUNT(J1664:J1665)=2,J1664*J1665/1000,"")</f>
        <v/>
      </c>
      <c r="K1666" s="163" t="str">
        <f>IF(COUNT(K1664:K1665)=2,K1664*K1665/1000,"")</f>
        <v/>
      </c>
      <c r="L1666" s="163" t="str">
        <f>IF(COUNT(L1664:L1665)=2,L1664*L1665/1000,"")</f>
        <v/>
      </c>
      <c r="M1666" s="163" t="str">
        <f>IF(COUNT(M1664:M1665)=2,M1664*M1665/1000,"")</f>
        <v/>
      </c>
      <c r="N1666" s="277"/>
      <c r="O1666" s="17"/>
      <c r="P1666" s="63" t="str">
        <f>EUconst_CNTR_WGExport &amp; I1513</f>
        <v>WasteGasEx_</v>
      </c>
      <c r="R1666" s="459"/>
      <c r="S1666" s="326">
        <f>I1663</f>
        <v>2019</v>
      </c>
      <c r="T1666" s="326">
        <f>J1663</f>
        <v>2020</v>
      </c>
      <c r="U1666" s="326">
        <f>K1663</f>
        <v>2021</v>
      </c>
      <c r="V1666" s="326">
        <f>L1663</f>
        <v>2022</v>
      </c>
      <c r="W1666" s="327">
        <f>M1663</f>
        <v>2023</v>
      </c>
      <c r="AA1666" s="815"/>
    </row>
    <row r="1667" spans="2:27" ht="12.75" customHeight="1" thickBot="1" x14ac:dyDescent="0.3">
      <c r="B1667" s="17"/>
      <c r="C1667" s="900"/>
      <c r="D1667" s="193" t="s">
        <v>437</v>
      </c>
      <c r="E1667" s="1528" t="str">
        <f>Translations!$B$802</f>
        <v>Specific EF (exported waste gas)</v>
      </c>
      <c r="F1667" s="1528"/>
      <c r="G1667" s="1528"/>
      <c r="H1667" s="154" t="str">
        <f>EUconst_tCO2pTJ</f>
        <v>t CO2 / TJ</v>
      </c>
      <c r="I1667" s="311"/>
      <c r="J1667" s="311"/>
      <c r="K1667" s="311"/>
      <c r="L1667" s="311"/>
      <c r="M1667" s="311"/>
      <c r="N1667" s="266"/>
      <c r="O1667" s="17"/>
      <c r="P1667" s="63" t="str">
        <f>EUconst_CNTR_WGExportEF &amp; I1513</f>
        <v>WasteGasExEF_</v>
      </c>
      <c r="R1667" s="460" t="str">
        <f>EUconst_CNTR_AttributedEmissions &amp; I1513</f>
        <v>AttrEmissions_</v>
      </c>
      <c r="S1667" s="389" t="str">
        <f>IF(S1513,-SUM(I1666)*EUconst_NGEFvalue*EUconst_WasteGasCorrFactor,"")</f>
        <v/>
      </c>
      <c r="T1667" s="389" t="str">
        <f>IF(T1513,-SUM(J1666)*EUconst_NGEFvalue*EUconst_WasteGasCorrFactor,"")</f>
        <v/>
      </c>
      <c r="U1667" s="389" t="str">
        <f>IF(U1513,-SUM(K1666)*EUconst_NGEFvalue*EUconst_WasteGasCorrFactor,"")</f>
        <v/>
      </c>
      <c r="V1667" s="389" t="str">
        <f>IF(V1513,-SUM(L1666)*EUconst_NGEFvalue*EUconst_WasteGasCorrFactor,"")</f>
        <v/>
      </c>
      <c r="W1667" s="390" t="str">
        <f>IF(W1513,-SUM(M1666)*EUconst_NGEFvalue*EUconst_WasteGasCorrFactor,"")</f>
        <v/>
      </c>
      <c r="AA1667" s="286" t="b">
        <f>AA1665</f>
        <v>0</v>
      </c>
    </row>
    <row r="1668" spans="2:27" ht="12.75" customHeight="1" x14ac:dyDescent="0.25">
      <c r="B1668" s="17"/>
      <c r="C1668" s="900"/>
      <c r="D1668" s="342"/>
      <c r="E1668" s="342"/>
      <c r="F1668" s="342"/>
      <c r="G1668" s="342"/>
      <c r="H1668" s="342"/>
      <c r="I1668" s="342"/>
      <c r="J1668" s="342"/>
      <c r="K1668" s="342"/>
      <c r="L1668" s="342"/>
      <c r="M1668" s="342"/>
      <c r="N1668" s="266"/>
      <c r="O1668" s="17"/>
    </row>
    <row r="1669" spans="2:27" ht="12.75" customHeight="1" thickBot="1" x14ac:dyDescent="0.3">
      <c r="B1669" s="17"/>
      <c r="C1669" s="900"/>
      <c r="D1669" s="157" t="s">
        <v>359</v>
      </c>
      <c r="E1669" s="1511" t="str">
        <f>Translations!$B$420</f>
        <v>Electricity production</v>
      </c>
      <c r="F1669" s="1512"/>
      <c r="G1669" s="1512"/>
      <c r="H1669" s="1512"/>
      <c r="I1669" s="1512"/>
      <c r="J1669" s="1512"/>
      <c r="K1669" s="1512"/>
      <c r="L1669" s="1512"/>
      <c r="M1669" s="1512"/>
      <c r="N1669" s="1513"/>
      <c r="O1669" s="17"/>
    </row>
    <row r="1670" spans="2:27" ht="12.75" customHeight="1" x14ac:dyDescent="0.25">
      <c r="B1670" s="17"/>
      <c r="C1670" s="900"/>
      <c r="D1670" s="157"/>
      <c r="E1670" s="1522"/>
      <c r="F1670" s="1523"/>
      <c r="G1670" s="1523"/>
      <c r="H1670" s="152" t="str">
        <f>EUconst_Unit</f>
        <v>Unit</v>
      </c>
      <c r="I1670" s="153">
        <f>I$1882</f>
        <v>2019</v>
      </c>
      <c r="J1670" s="153">
        <f>J$1882</f>
        <v>2020</v>
      </c>
      <c r="K1670" s="153">
        <f>K$1882</f>
        <v>2021</v>
      </c>
      <c r="L1670" s="153">
        <f>L$1882</f>
        <v>2022</v>
      </c>
      <c r="M1670" s="153">
        <f>M$1882</f>
        <v>2023</v>
      </c>
      <c r="N1670" s="266"/>
      <c r="O1670" s="17"/>
      <c r="R1670" s="459"/>
      <c r="S1670" s="326">
        <f>I1670</f>
        <v>2019</v>
      </c>
      <c r="T1670" s="326">
        <f>J1670</f>
        <v>2020</v>
      </c>
      <c r="U1670" s="326">
        <f>K1670</f>
        <v>2021</v>
      </c>
      <c r="V1670" s="326">
        <f>L1670</f>
        <v>2022</v>
      </c>
      <c r="W1670" s="327">
        <f>M1670</f>
        <v>2023</v>
      </c>
    </row>
    <row r="1671" spans="2:27" ht="12.75" customHeight="1" thickBot="1" x14ac:dyDescent="0.3">
      <c r="B1671" s="17"/>
      <c r="C1671" s="900"/>
      <c r="D1671" s="193"/>
      <c r="E1671" s="1528" t="str">
        <f>Translations!$B$805</f>
        <v>Electricity produced</v>
      </c>
      <c r="F1671" s="1528"/>
      <c r="G1671" s="1528"/>
      <c r="H1671" s="154" t="str">
        <f>EUconst_MWhpa</f>
        <v>MWh / year</v>
      </c>
      <c r="I1671" s="311"/>
      <c r="J1671" s="311"/>
      <c r="K1671" s="311"/>
      <c r="L1671" s="311"/>
      <c r="M1671" s="311"/>
      <c r="N1671" s="903"/>
      <c r="O1671" s="17"/>
      <c r="P1671" s="63" t="str">
        <f>EUconst_CNTR_ElectricityExported &amp; I1513</f>
        <v>ElecEx_</v>
      </c>
      <c r="R1671" s="460" t="str">
        <f>EUconst_CNTR_AttributedEmissions &amp; I1513</f>
        <v>AttrEmissions_</v>
      </c>
      <c r="S1671" s="389" t="str">
        <f>IF(S1513,-SUM(I1671)*EUconst_ElBM,"")</f>
        <v/>
      </c>
      <c r="T1671" s="389" t="str">
        <f>IF(T1513,-SUM(J1671)*EUconst_ElBM,"")</f>
        <v/>
      </c>
      <c r="U1671" s="389" t="str">
        <f>IF(U1513,-SUM(K1671)*EUconst_ElBM,"")</f>
        <v/>
      </c>
      <c r="V1671" s="389" t="str">
        <f>IF(V1513,-SUM(L1671)*EUconst_ElBM,"")</f>
        <v/>
      </c>
      <c r="W1671" s="390" t="str">
        <f>IF(W1513,-SUM(M1671)*EUconst_ElBM,"")</f>
        <v/>
      </c>
    </row>
    <row r="1672" spans="2:27" ht="12.75" customHeight="1" x14ac:dyDescent="0.25">
      <c r="B1672" s="17"/>
      <c r="C1672" s="900"/>
      <c r="D1672" s="342"/>
      <c r="E1672" s="342"/>
      <c r="F1672" s="342"/>
      <c r="G1672" s="342"/>
      <c r="H1672" s="342"/>
      <c r="I1672" s="342"/>
      <c r="J1672" s="342"/>
      <c r="K1672" s="342"/>
      <c r="L1672" s="342"/>
      <c r="M1672" s="342"/>
      <c r="N1672" s="266"/>
      <c r="O1672" s="17"/>
    </row>
    <row r="1673" spans="2:27" ht="12.75" customHeight="1" thickBot="1" x14ac:dyDescent="0.3">
      <c r="B1673" s="17"/>
      <c r="C1673" s="900"/>
      <c r="D1673" s="157" t="s">
        <v>361</v>
      </c>
      <c r="E1673" s="1529" t="str">
        <f>Translations!$B$806</f>
        <v>Total amount of pulp produced</v>
      </c>
      <c r="F1673" s="1529"/>
      <c r="G1673" s="1529"/>
      <c r="H1673" s="1529"/>
      <c r="I1673" s="1529"/>
      <c r="J1673" s="1529"/>
      <c r="K1673" s="1529"/>
      <c r="L1673" s="1529"/>
      <c r="M1673" s="1529"/>
      <c r="N1673" s="1534"/>
      <c r="O1673" s="17"/>
    </row>
    <row r="1674" spans="2:27" ht="12.75" customHeight="1" thickBot="1" x14ac:dyDescent="0.3">
      <c r="B1674" s="17"/>
      <c r="C1674" s="900"/>
      <c r="D1674" s="193"/>
      <c r="E1674" s="1510" t="str">
        <f>IF(I1513="","",IF(INDEX(EUconst_BMlistPulp,MATCH(I1513,EUconst_BMlistNames,0)),I1513,""))</f>
        <v/>
      </c>
      <c r="F1674" s="1510"/>
      <c r="G1674" s="1510"/>
      <c r="H1674" s="154" t="str">
        <f>EUconst_Tons</f>
        <v>tonnes</v>
      </c>
      <c r="I1674" s="311"/>
      <c r="J1674" s="311"/>
      <c r="K1674" s="311"/>
      <c r="L1674" s="311"/>
      <c r="M1674" s="311"/>
      <c r="N1674" s="903"/>
      <c r="O1674" s="17"/>
      <c r="P1674" s="63" t="str">
        <f>EUconst_CNTR_HALPulpTotal &amp; I1513</f>
        <v>HALPulpTotal_</v>
      </c>
      <c r="AA1674" s="410" t="b">
        <f>IF(I1513&lt;&gt;"",IF(INDEX(EUconst_BMlistPulp,MATCH(I1513,EUconst_BMlistNames,0))=TRUE,FALSE,TRUE),FALSE)</f>
        <v>0</v>
      </c>
    </row>
    <row r="1675" spans="2:27" ht="12.75" customHeight="1" x14ac:dyDescent="0.25">
      <c r="B1675" s="17"/>
      <c r="C1675" s="900"/>
      <c r="D1675" s="193"/>
      <c r="E1675" s="193"/>
      <c r="F1675" s="193"/>
      <c r="G1675" s="193"/>
      <c r="H1675" s="193"/>
      <c r="I1675" s="193"/>
      <c r="J1675" s="193"/>
      <c r="K1675" s="193"/>
      <c r="L1675" s="193"/>
      <c r="M1675" s="193"/>
      <c r="N1675" s="903"/>
      <c r="O1675" s="17"/>
    </row>
    <row r="1676" spans="2:27" ht="12.75" customHeight="1" thickBot="1" x14ac:dyDescent="0.3">
      <c r="B1676" s="17"/>
      <c r="C1676" s="900"/>
      <c r="D1676" s="157" t="s">
        <v>362</v>
      </c>
      <c r="E1676" s="1511" t="str">
        <f>Translations!$B$810</f>
        <v>Import or export of intermediate products covered by product benchmarks</v>
      </c>
      <c r="F1676" s="1512"/>
      <c r="G1676" s="1512"/>
      <c r="H1676" s="1512"/>
      <c r="I1676" s="1512"/>
      <c r="J1676" s="1512"/>
      <c r="K1676" s="1512"/>
      <c r="L1676" s="1512"/>
      <c r="M1676" s="1512"/>
      <c r="N1676" s="1513"/>
      <c r="O1676" s="17"/>
    </row>
    <row r="1677" spans="2:27" ht="12.75" customHeight="1" thickBot="1" x14ac:dyDescent="0.3">
      <c r="B1677" s="17"/>
      <c r="C1677" s="900"/>
      <c r="D1677" s="193" t="s">
        <v>206</v>
      </c>
      <c r="E1677" s="1514" t="str">
        <f>Translations!$B$813</f>
        <v>Is there any import or export of intermediate products covered by product benchmarks?</v>
      </c>
      <c r="F1677" s="1514"/>
      <c r="G1677" s="1514"/>
      <c r="H1677" s="1514"/>
      <c r="I1677" s="1514"/>
      <c r="J1677" s="1514"/>
      <c r="K1677" s="1515"/>
      <c r="L1677" s="194"/>
      <c r="M1677" s="342"/>
      <c r="N1677" s="277"/>
      <c r="O1677" s="17"/>
      <c r="W1677" s="288" t="s">
        <v>418</v>
      </c>
      <c r="X1677" s="215" t="b">
        <f>IF(AND(I1513&lt;&gt;"",ISBLANK(L1677)),EUconst_Error&amp;"BM"&amp;C1513,FALSE)</f>
        <v>0</v>
      </c>
    </row>
    <row r="1678" spans="2:27" ht="5.0999999999999996" customHeight="1" x14ac:dyDescent="0.25">
      <c r="B1678" s="17"/>
      <c r="C1678" s="900"/>
      <c r="D1678" s="193"/>
      <c r="E1678" s="193"/>
      <c r="F1678" s="193"/>
      <c r="G1678" s="193"/>
      <c r="H1678" s="193"/>
      <c r="I1678" s="193"/>
      <c r="J1678" s="193"/>
      <c r="K1678" s="193"/>
      <c r="L1678" s="193"/>
      <c r="M1678" s="193"/>
      <c r="N1678" s="903"/>
      <c r="O1678" s="17"/>
    </row>
    <row r="1679" spans="2:27" ht="12.75" customHeight="1" thickBot="1" x14ac:dyDescent="0.3">
      <c r="B1679" s="17"/>
      <c r="C1679" s="900"/>
      <c r="D1679" s="157"/>
      <c r="E1679" s="1522" t="str">
        <f>Translations!$B$814</f>
        <v>Imported amounts:</v>
      </c>
      <c r="F1679" s="1523"/>
      <c r="G1679" s="1523"/>
      <c r="H1679" s="192" t="str">
        <f>EUconst_Unit</f>
        <v>Unit</v>
      </c>
      <c r="I1679" s="153">
        <f>I$1882</f>
        <v>2019</v>
      </c>
      <c r="J1679" s="153">
        <f>J$1882</f>
        <v>2020</v>
      </c>
      <c r="K1679" s="153">
        <f>K$1882</f>
        <v>2021</v>
      </c>
      <c r="L1679" s="153">
        <f>L$1882</f>
        <v>2022</v>
      </c>
      <c r="M1679" s="153">
        <f>M$1882</f>
        <v>2023</v>
      </c>
      <c r="N1679" s="903"/>
      <c r="O1679" s="17"/>
      <c r="AA1679" s="145" t="s">
        <v>396</v>
      </c>
    </row>
    <row r="1680" spans="2:27" ht="12.75" customHeight="1" x14ac:dyDescent="0.25">
      <c r="B1680" s="17"/>
      <c r="C1680" s="900"/>
      <c r="D1680" s="193" t="s">
        <v>208</v>
      </c>
      <c r="E1680" s="1524"/>
      <c r="F1680" s="1524"/>
      <c r="G1680" s="1524"/>
      <c r="H1680" s="853" t="str">
        <f>IF(E1680&lt;&gt;"",INDEX(EUconst_BMlistUnits,MATCH(E1680,EUconst_BMlistNames,0)),EUconst_Tons)</f>
        <v>tonnes</v>
      </c>
      <c r="I1680" s="953"/>
      <c r="J1680" s="953"/>
      <c r="K1680" s="953"/>
      <c r="L1680" s="953"/>
      <c r="M1680" s="953"/>
      <c r="N1680" s="903"/>
      <c r="O1680" s="17"/>
      <c r="P1680" s="63" t="str">
        <f>EUconst_CNTR_IntermediateImport &amp; R1680 &amp; "_" &amp; I1513</f>
        <v>IntImp_1_</v>
      </c>
      <c r="R1680" s="63">
        <v>1</v>
      </c>
      <c r="AA1680" s="316" t="b">
        <f>AND(NOT(ISBLANK(L1677)),L1677=FALSE)</f>
        <v>0</v>
      </c>
    </row>
    <row r="1681" spans="2:27" ht="12.75" customHeight="1" x14ac:dyDescent="0.25">
      <c r="B1681" s="17"/>
      <c r="C1681" s="900"/>
      <c r="D1681" s="193" t="s">
        <v>209</v>
      </c>
      <c r="E1681" s="1525"/>
      <c r="F1681" s="1525"/>
      <c r="G1681" s="1525"/>
      <c r="H1681" s="950" t="str">
        <f>IF(E1681&lt;&gt;"",INDEX(EUconst_BMlistUnits,MATCH(E1681,EUconst_BMlistNames,0)),EUconst_Tons)</f>
        <v>tonnes</v>
      </c>
      <c r="I1681" s="954"/>
      <c r="J1681" s="954"/>
      <c r="K1681" s="954"/>
      <c r="L1681" s="954"/>
      <c r="M1681" s="954"/>
      <c r="N1681" s="903"/>
      <c r="O1681" s="17"/>
      <c r="P1681" s="63" t="str">
        <f>EUconst_CNTR_IntermediateImport &amp; R1681 &amp; "_" &amp; I1513</f>
        <v>IntImp_2_</v>
      </c>
      <c r="R1681" s="63">
        <v>2</v>
      </c>
      <c r="AA1681" s="285" t="b">
        <f>AA1680</f>
        <v>0</v>
      </c>
    </row>
    <row r="1682" spans="2:27" ht="5.0999999999999996" customHeight="1" x14ac:dyDescent="0.25">
      <c r="B1682" s="17"/>
      <c r="C1682" s="900"/>
      <c r="D1682" s="193"/>
      <c r="E1682" s="193"/>
      <c r="F1682" s="193"/>
      <c r="G1682" s="193"/>
      <c r="H1682" s="193"/>
      <c r="I1682" s="193"/>
      <c r="J1682" s="193"/>
      <c r="K1682" s="193"/>
      <c r="L1682" s="193"/>
      <c r="M1682" s="193"/>
      <c r="N1682" s="903"/>
      <c r="O1682" s="17"/>
      <c r="AA1682" s="815"/>
    </row>
    <row r="1683" spans="2:27" ht="12.75" customHeight="1" x14ac:dyDescent="0.25">
      <c r="B1683" s="17"/>
      <c r="C1683" s="900"/>
      <c r="D1683" s="157"/>
      <c r="E1683" s="1522" t="str">
        <f>Translations!$B$815</f>
        <v>Exported amounts:</v>
      </c>
      <c r="F1683" s="1523"/>
      <c r="G1683" s="1523"/>
      <c r="H1683" s="192" t="str">
        <f>EUconst_Unit</f>
        <v>Unit</v>
      </c>
      <c r="I1683" s="153">
        <f>I$1882</f>
        <v>2019</v>
      </c>
      <c r="J1683" s="153">
        <f>J$1882</f>
        <v>2020</v>
      </c>
      <c r="K1683" s="153">
        <f>K$1882</f>
        <v>2021</v>
      </c>
      <c r="L1683" s="153">
        <f>L$1882</f>
        <v>2022</v>
      </c>
      <c r="M1683" s="153">
        <f>M$1882</f>
        <v>2023</v>
      </c>
      <c r="N1683" s="903"/>
      <c r="O1683" s="17"/>
      <c r="AA1683" s="815"/>
    </row>
    <row r="1684" spans="2:27" ht="12.75" customHeight="1" x14ac:dyDescent="0.25">
      <c r="B1684" s="17"/>
      <c r="C1684" s="900"/>
      <c r="D1684" s="193" t="s">
        <v>210</v>
      </c>
      <c r="E1684" s="1524"/>
      <c r="F1684" s="1524"/>
      <c r="G1684" s="1524"/>
      <c r="H1684" s="853" t="str">
        <f>IF(E1684&lt;&gt;"",INDEX(EUconst_BMlistUnits,MATCH(E1684,EUconst_BMlistNames,0)),EUconst_Tons)</f>
        <v>tonnes</v>
      </c>
      <c r="I1684" s="953"/>
      <c r="J1684" s="953"/>
      <c r="K1684" s="953"/>
      <c r="L1684" s="953"/>
      <c r="M1684" s="953"/>
      <c r="N1684" s="903"/>
      <c r="O1684" s="17"/>
      <c r="P1684" s="63" t="str">
        <f>EUconst_CNTR_IntermediateExport &amp; R1680 &amp; "_" &amp; I1513</f>
        <v>IntExp_1_</v>
      </c>
      <c r="R1684" s="63">
        <v>1</v>
      </c>
      <c r="U1684" s="955"/>
      <c r="V1684" s="955"/>
      <c r="AA1684" s="285" t="b">
        <f>AA1680</f>
        <v>0</v>
      </c>
    </row>
    <row r="1685" spans="2:27" ht="12.75" customHeight="1" x14ac:dyDescent="0.25">
      <c r="B1685" s="17"/>
      <c r="C1685" s="900"/>
      <c r="D1685" s="193" t="s">
        <v>220</v>
      </c>
      <c r="E1685" s="1525"/>
      <c r="F1685" s="1525"/>
      <c r="G1685" s="1525"/>
      <c r="H1685" s="950" t="str">
        <f>IF(E1685&lt;&gt;"",INDEX(EUconst_BMlistUnits,MATCH(E1685,EUconst_BMlistNames,0)),EUconst_Tons)</f>
        <v>tonnes</v>
      </c>
      <c r="I1685" s="954"/>
      <c r="J1685" s="954"/>
      <c r="K1685" s="954"/>
      <c r="L1685" s="954"/>
      <c r="M1685" s="954"/>
      <c r="N1685" s="903"/>
      <c r="O1685" s="17"/>
      <c r="P1685" s="63" t="str">
        <f>EUconst_CNTR_IntermediateExport &amp; R1685 &amp; "_" &amp; I1513</f>
        <v>IntExp_2_</v>
      </c>
      <c r="R1685" s="63">
        <v>2</v>
      </c>
      <c r="U1685" s="955"/>
      <c r="V1685" s="955"/>
      <c r="AA1685" s="285" t="b">
        <f>AA1680</f>
        <v>0</v>
      </c>
    </row>
    <row r="1686" spans="2:27" ht="5.0999999999999996" customHeight="1" x14ac:dyDescent="0.25">
      <c r="B1686" s="17"/>
      <c r="C1686" s="900"/>
      <c r="D1686" s="193"/>
      <c r="E1686" s="193"/>
      <c r="F1686" s="193"/>
      <c r="G1686" s="193"/>
      <c r="H1686" s="193"/>
      <c r="I1686" s="193"/>
      <c r="J1686" s="193"/>
      <c r="K1686" s="193"/>
      <c r="L1686" s="193"/>
      <c r="M1686" s="193"/>
      <c r="N1686" s="903"/>
      <c r="O1686" s="17"/>
      <c r="U1686" s="955"/>
      <c r="V1686" s="955"/>
      <c r="AA1686" s="815"/>
    </row>
    <row r="1687" spans="2:27" ht="12.75" customHeight="1" x14ac:dyDescent="0.25">
      <c r="B1687" s="17"/>
      <c r="C1687" s="900"/>
      <c r="D1687" s="193" t="s">
        <v>221</v>
      </c>
      <c r="E1687" s="1514" t="str">
        <f>Translations!$B$816</f>
        <v>Description of the intermediate products imported or exported</v>
      </c>
      <c r="F1687" s="1514"/>
      <c r="G1687" s="1514"/>
      <c r="H1687" s="1514"/>
      <c r="I1687" s="1514"/>
      <c r="J1687" s="1514"/>
      <c r="K1687" s="1514"/>
      <c r="L1687" s="1514"/>
      <c r="M1687" s="1514"/>
      <c r="N1687" s="903"/>
      <c r="O1687" s="17"/>
      <c r="U1687" s="955"/>
      <c r="V1687" s="955"/>
      <c r="AA1687" s="815"/>
    </row>
    <row r="1688" spans="2:27" ht="12.75" customHeight="1" x14ac:dyDescent="0.25">
      <c r="B1688" s="17"/>
      <c r="C1688" s="900"/>
      <c r="D1688" s="193"/>
      <c r="E1688" s="1516"/>
      <c r="F1688" s="1517"/>
      <c r="G1688" s="1517"/>
      <c r="H1688" s="1517"/>
      <c r="I1688" s="1517"/>
      <c r="J1688" s="1517"/>
      <c r="K1688" s="1517"/>
      <c r="L1688" s="1517"/>
      <c r="M1688" s="1518"/>
      <c r="N1688" s="903"/>
      <c r="O1688" s="17"/>
      <c r="U1688" s="955"/>
      <c r="V1688" s="955"/>
      <c r="AA1688" s="285" t="b">
        <f>AA1680</f>
        <v>0</v>
      </c>
    </row>
    <row r="1689" spans="2:27" ht="12.75" customHeight="1" thickBot="1" x14ac:dyDescent="0.3">
      <c r="B1689" s="17"/>
      <c r="C1689" s="900"/>
      <c r="D1689" s="193"/>
      <c r="E1689" s="1519"/>
      <c r="F1689" s="1520"/>
      <c r="G1689" s="1520"/>
      <c r="H1689" s="1520"/>
      <c r="I1689" s="1520"/>
      <c r="J1689" s="1520"/>
      <c r="K1689" s="1520"/>
      <c r="L1689" s="1520"/>
      <c r="M1689" s="1521"/>
      <c r="N1689" s="903"/>
      <c r="O1689" s="17"/>
      <c r="U1689" s="955"/>
      <c r="V1689" s="955"/>
      <c r="AA1689" s="286" t="b">
        <f>AA1680</f>
        <v>0</v>
      </c>
    </row>
    <row r="1690" spans="2:27" ht="12.75" customHeight="1" thickBot="1" x14ac:dyDescent="0.3">
      <c r="B1690" s="17"/>
      <c r="C1690" s="956"/>
      <c r="D1690" s="465"/>
      <c r="E1690" s="465"/>
      <c r="F1690" s="465"/>
      <c r="G1690" s="465"/>
      <c r="H1690" s="465"/>
      <c r="I1690" s="465"/>
      <c r="J1690" s="465"/>
      <c r="K1690" s="465"/>
      <c r="L1690" s="465"/>
      <c r="M1690" s="465"/>
      <c r="N1690" s="466"/>
      <c r="O1690" s="17"/>
    </row>
    <row r="1691" spans="2:27" ht="13.8" thickBot="1" x14ac:dyDescent="0.3">
      <c r="B1691" s="17"/>
      <c r="C1691" s="17"/>
      <c r="D1691" s="17"/>
      <c r="E1691" s="17"/>
      <c r="F1691" s="17"/>
      <c r="G1691" s="17"/>
      <c r="H1691" s="17"/>
      <c r="I1691" s="17"/>
      <c r="J1691" s="17"/>
      <c r="K1691" s="17"/>
      <c r="L1691" s="17"/>
      <c r="M1691" s="17"/>
      <c r="N1691" s="17"/>
      <c r="O1691" s="17"/>
      <c r="P1691" s="372" t="str">
        <f>IF(OR(AND(CNTR_ExistProductSubEntries=FALSE,P1513=1),AND(I1513&lt;&gt;"",COUNTIF(P1692:$P$1876,"PRINT")=0)),"PRINT","")</f>
        <v/>
      </c>
      <c r="Q1691" s="145" t="s">
        <v>442</v>
      </c>
    </row>
    <row r="1692" spans="2:27" ht="5.0999999999999996" customHeight="1" thickBot="1" x14ac:dyDescent="0.3">
      <c r="B1692" s="17"/>
      <c r="C1692" s="957"/>
      <c r="D1692" s="957"/>
      <c r="E1692" s="957"/>
      <c r="F1692" s="957"/>
      <c r="G1692" s="957"/>
      <c r="H1692" s="957"/>
      <c r="I1692" s="957"/>
      <c r="J1692" s="957"/>
      <c r="K1692" s="957"/>
      <c r="L1692" s="957"/>
      <c r="M1692" s="957"/>
      <c r="N1692" s="957"/>
      <c r="O1692" s="17"/>
    </row>
    <row r="1693" spans="2:27" ht="14.4" thickBot="1" x14ac:dyDescent="0.3">
      <c r="B1693" s="17"/>
      <c r="C1693" s="456">
        <f>C1513+1</f>
        <v>10</v>
      </c>
      <c r="D1693" s="1234" t="str">
        <f>EUconst_BMSubinst &amp; ":"</f>
        <v>Sub-installation with product benchmark:</v>
      </c>
      <c r="E1693" s="1176"/>
      <c r="F1693" s="1176"/>
      <c r="G1693" s="1176"/>
      <c r="H1693" s="1260"/>
      <c r="I1693" s="1550" t="str">
        <f>IF(INDEX(CNTR_SubInstListIsProdBM,$C1693),INDEX(CNTR_SubInstListNames,$C1693),"")</f>
        <v/>
      </c>
      <c r="J1693" s="1509"/>
      <c r="K1693" s="1509"/>
      <c r="L1693" s="1509"/>
      <c r="M1693" s="1509"/>
      <c r="N1693" s="1189"/>
      <c r="O1693" s="17"/>
      <c r="P1693" s="372">
        <f>C1693</f>
        <v>10</v>
      </c>
      <c r="Q1693" s="288" t="s">
        <v>296</v>
      </c>
      <c r="R1693" s="457" t="str">
        <f>IF(I1693="","",INDEX(CNTR_SubInstStartDate,MATCH($I1693,CNTR_SubInstListNames,0)))</f>
        <v/>
      </c>
      <c r="S1693" s="458" t="b">
        <f>IF($I1693="",FALSE,AND(I$1885, IF($R1693&lt;DATE($L$1882,1,1),YEAR($R1693)&lt;=I$1882,YEAR($R1693-1)&lt;I$1882) ) )</f>
        <v>0</v>
      </c>
      <c r="T1693" s="458" t="b">
        <f>IF($I1693="",FALSE,AND(J$1885, IF($R1693&lt;DATE($L$1882,1,1),YEAR($R1693)&lt;=J$1882,YEAR($R1693-1)&lt;J$1882) ) )</f>
        <v>0</v>
      </c>
      <c r="U1693" s="458" t="b">
        <f>IF($I1693="",FALSE,AND(K$1885, IF($R1693&lt;DATE($L$1882,1,1),YEAR($R1693)&lt;=K$1882,YEAR($R1693-1)&lt;K$1882) ) )</f>
        <v>0</v>
      </c>
      <c r="V1693" s="458" t="b">
        <f>IF($I1693="",FALSE,AND(L$1885, IF($R1693&lt;DATE($L$1882,1,1),YEAR($R1693)&lt;=L$1882,YEAR($R1693-1)&lt;L$1882) ) )</f>
        <v>0</v>
      </c>
      <c r="W1693" s="458" t="b">
        <f>IF($I1693="",FALSE,AND(M$1885, IF($R1693&lt;DATE($L$1882,1,1),YEAR($R1693)&lt;=M$1882,YEAR($R1693-1)&lt;M$1882) ) )</f>
        <v>0</v>
      </c>
      <c r="Z1693" s="288" t="s">
        <v>390</v>
      </c>
      <c r="AA1693" s="410" t="b">
        <f>AND(CNTR_ExistSubInstEntries,I1693="")</f>
        <v>0</v>
      </c>
    </row>
    <row r="1694" spans="2:27" ht="5.0999999999999996" customHeight="1" x14ac:dyDescent="0.25">
      <c r="B1694" s="17"/>
      <c r="C1694" s="17"/>
      <c r="D1694" s="17"/>
      <c r="E1694" s="17"/>
      <c r="F1694" s="17"/>
      <c r="G1694" s="17"/>
      <c r="H1694" s="17"/>
      <c r="I1694" s="17"/>
      <c r="J1694" s="17"/>
      <c r="K1694" s="17"/>
      <c r="L1694" s="17"/>
      <c r="M1694" s="17"/>
      <c r="N1694" s="17"/>
      <c r="O1694" s="17"/>
    </row>
    <row r="1695" spans="2:27" ht="12.75" customHeight="1" x14ac:dyDescent="0.25">
      <c r="B1695" s="17"/>
      <c r="C1695" s="17"/>
      <c r="D1695" s="17"/>
      <c r="E1695" s="1413" t="str">
        <f>CONCATENATE(EUconst_MsgSeeFirst," (F.I.1)")</f>
        <v>Detailed instructions for data entries in this tool can be found at the first copy of this tool.  (F.I.1)</v>
      </c>
      <c r="F1695" s="1413"/>
      <c r="G1695" s="1413"/>
      <c r="H1695" s="1413"/>
      <c r="I1695" s="1413"/>
      <c r="J1695" s="1413"/>
      <c r="K1695" s="1413"/>
      <c r="L1695" s="1413"/>
      <c r="M1695" s="1413"/>
      <c r="N1695" s="1413"/>
      <c r="O1695" s="17"/>
    </row>
    <row r="1696" spans="2:27" ht="5.0999999999999996" customHeight="1" x14ac:dyDescent="0.25">
      <c r="B1696" s="17"/>
      <c r="C1696" s="17"/>
      <c r="D1696" s="17"/>
      <c r="E1696" s="17"/>
      <c r="F1696" s="17"/>
      <c r="G1696" s="17"/>
      <c r="H1696" s="17"/>
      <c r="I1696" s="17"/>
      <c r="J1696" s="17"/>
      <c r="K1696" s="17"/>
      <c r="L1696" s="17"/>
      <c r="M1696" s="17"/>
      <c r="N1696" s="17"/>
      <c r="O1696" s="17"/>
    </row>
    <row r="1697" spans="2:27" ht="13.8" thickBot="1" x14ac:dyDescent="0.3">
      <c r="B1697" s="17"/>
      <c r="C1697" s="17"/>
      <c r="D1697" s="15" t="s">
        <v>190</v>
      </c>
      <c r="E1697" s="1165" t="str">
        <f>Translations!$B$670</f>
        <v>Historic activity levels</v>
      </c>
      <c r="F1697" s="1176"/>
      <c r="G1697" s="1176"/>
      <c r="H1697" s="1176"/>
      <c r="I1697" s="1176"/>
      <c r="J1697" s="1176"/>
      <c r="K1697" s="1176"/>
      <c r="L1697" s="1176"/>
      <c r="M1697" s="1176"/>
      <c r="N1697" s="1176"/>
      <c r="O1697" s="17"/>
    </row>
    <row r="1698" spans="2:27" ht="13.5" customHeight="1" thickBot="1" x14ac:dyDescent="0.3">
      <c r="B1698" s="17"/>
      <c r="C1698" s="17"/>
      <c r="D1698" s="15"/>
      <c r="E1698" s="1259" t="str">
        <f>Translations!$B$676</f>
        <v>Annual activity levels:</v>
      </c>
      <c r="F1698" s="1259"/>
      <c r="G1698" s="1259"/>
      <c r="H1698" s="23" t="str">
        <f>EUconst_Unit</f>
        <v>Unit</v>
      </c>
      <c r="I1698" s="128">
        <f>I$1882</f>
        <v>2019</v>
      </c>
      <c r="J1698" s="128">
        <f>J$1882</f>
        <v>2020</v>
      </c>
      <c r="K1698" s="128">
        <f>K$1882</f>
        <v>2021</v>
      </c>
      <c r="L1698" s="128">
        <f>L$1882</f>
        <v>2022</v>
      </c>
      <c r="M1698" s="144">
        <f>M$1882</f>
        <v>2023</v>
      </c>
      <c r="N1698" s="376" t="str">
        <f>IF(I1693="","",IF(S1703,YEAR(R1693)+1,""))</f>
        <v/>
      </c>
      <c r="O1698" s="17"/>
      <c r="Q1698" s="147" t="s">
        <v>395</v>
      </c>
      <c r="R1698" s="920"/>
      <c r="S1698" s="920"/>
      <c r="T1698" s="920"/>
      <c r="U1698" s="920"/>
      <c r="V1698" s="920"/>
      <c r="W1698" s="921"/>
      <c r="Y1698" s="316" t="b">
        <f>IF(CNTR_ExistSubInstEntries,IF(I1693&lt;&gt;"",NOT(S1703),TRUE),FALSE)</f>
        <v>0</v>
      </c>
      <c r="AA1698" s="145" t="s">
        <v>396</v>
      </c>
    </row>
    <row r="1699" spans="2:27" ht="13.8" thickBot="1" x14ac:dyDescent="0.3">
      <c r="B1699" s="17"/>
      <c r="C1699" s="17"/>
      <c r="D1699" s="113" t="s">
        <v>206</v>
      </c>
      <c r="E1699" s="1560" t="str">
        <f>I1693</f>
        <v/>
      </c>
      <c r="F1699" s="1560"/>
      <c r="G1699" s="1560"/>
      <c r="H1699" s="820" t="str">
        <f>IF(INDEX(CNTR_SubInstListIsProdBM,$C1693),INDEX(CNTR_SubInstListHALUnit,$C1693),EUconst_Tons)</f>
        <v>tonnes</v>
      </c>
      <c r="I1699" s="231"/>
      <c r="J1699" s="231"/>
      <c r="K1699" s="231"/>
      <c r="L1699" s="231"/>
      <c r="M1699" s="375"/>
      <c r="N1699" s="922"/>
      <c r="O1699" s="17"/>
      <c r="P1699" s="392" t="s">
        <v>397</v>
      </c>
      <c r="Q1699" s="581" t="s">
        <v>398</v>
      </c>
      <c r="R1699" s="65" t="s">
        <v>399</v>
      </c>
      <c r="S1699" s="808">
        <f>I1698</f>
        <v>2019</v>
      </c>
      <c r="T1699" s="809">
        <f>J1698</f>
        <v>2020</v>
      </c>
      <c r="U1699" s="809">
        <f>K1698</f>
        <v>2021</v>
      </c>
      <c r="V1699" s="809">
        <f>L1698</f>
        <v>2022</v>
      </c>
      <c r="W1699" s="810">
        <f>M1698</f>
        <v>2023</v>
      </c>
      <c r="Y1699" s="406" t="b">
        <f>IF(CNTR_ExistSubInstEntries,IF(AND(I1693&lt;&gt;"",N1700=""),NOT(S1703),TRUE),FALSE)</f>
        <v>0</v>
      </c>
      <c r="AA1699" s="316" t="b">
        <f>IF(CNTR_ExistSubInstEntries,AND(I1693&lt;&gt;"",Q1703),FALSE)</f>
        <v>0</v>
      </c>
    </row>
    <row r="1700" spans="2:27" ht="13.8" thickBot="1" x14ac:dyDescent="0.3">
      <c r="B1700" s="17"/>
      <c r="C1700" s="17"/>
      <c r="D1700" s="113" t="s">
        <v>208</v>
      </c>
      <c r="E1700" s="1560" t="str">
        <f>Translations!$B$677</f>
        <v>From sheet "H_SpecialBM":</v>
      </c>
      <c r="F1700" s="1560"/>
      <c r="G1700" s="1560"/>
      <c r="H1700" s="820" t="str">
        <f>H1699</f>
        <v>tonnes</v>
      </c>
      <c r="I1700" s="148" t="str">
        <f>IF($I1693="","",IF($Q1703,SUMIF(H_SpecialBM!$P$9:$P$384,$P1700,H_SpecialBM!I$9:I$384),""))</f>
        <v/>
      </c>
      <c r="J1700" s="148" t="str">
        <f>IF($I1693="","",IF($Q1703,SUMIF(H_SpecialBM!$P$9:$P$384,$P1700,H_SpecialBM!J$9:J$384),""))</f>
        <v/>
      </c>
      <c r="K1700" s="148" t="str">
        <f>IF($I1693="","",IF($Q1703,SUMIF(H_SpecialBM!$P$9:$P$384,$P1700,H_SpecialBM!K$9:K$384),""))</f>
        <v/>
      </c>
      <c r="L1700" s="148" t="str">
        <f>IF($I1693="","",IF($Q1703,SUMIF(H_SpecialBM!$P$9:$P$384,$P1700,H_SpecialBM!L$9:L$384),""))</f>
        <v/>
      </c>
      <c r="M1700" s="923" t="str">
        <f>IF($I1693="","",IF($Q1703,SUMIF(H_SpecialBM!$P$9:$P$384,$P1700,H_SpecialBM!M$9:M$384),""))</f>
        <v/>
      </c>
      <c r="N1700" s="924" t="str">
        <f>IF($I1693="","",IF(AND($Q1703,$S1703),SUMIF(H_SpecialBM!$P$9:$P$384,$P1700,H_SpecialBM!N$9:N$384),""))</f>
        <v/>
      </c>
      <c r="O1700" s="17"/>
      <c r="P1700" s="392" t="str">
        <f>EUconst_CNTR_HALspecial&amp;I1693</f>
        <v>HALspecial_</v>
      </c>
      <c r="Q1700" s="391" t="str">
        <f>IF(COUNT($U1700:$V1700)&gt;0,SUM($U1700:$V1700),"")</f>
        <v/>
      </c>
      <c r="R1700" s="925" t="str">
        <f>IF(COUNT(S1700:W1700)&gt;0,AVERAGE(S1700:W1700),"")</f>
        <v/>
      </c>
      <c r="S1700" s="385" t="str">
        <f>IF(S1693,IF(ISNUMBER(I1700),I1700,""),"")</f>
        <v/>
      </c>
      <c r="T1700" s="926" t="str">
        <f>IF(T1693,IF(ISNUMBER(J1700),J1700,""),"")</f>
        <v/>
      </c>
      <c r="U1700" s="926" t="str">
        <f>IF(U1693,IF(ISNUMBER(K1700),K1700,""),"")</f>
        <v/>
      </c>
      <c r="V1700" s="926" t="str">
        <f>IF(V1693,IF(ISNUMBER(L1700),L1700,""),"")</f>
        <v/>
      </c>
      <c r="W1700" s="925" t="str">
        <f>IF(W1693,IF(ISNUMBER(M1700),M1700,""),"")</f>
        <v/>
      </c>
      <c r="Y1700" s="406" t="b">
        <f>OR(Y1698,AA1700)</f>
        <v>0</v>
      </c>
      <c r="AA1700" s="317" t="b">
        <f>Q1703=FALSE</f>
        <v>0</v>
      </c>
    </row>
    <row r="1701" spans="2:27" ht="13.8" thickBot="1" x14ac:dyDescent="0.3">
      <c r="B1701" s="17"/>
      <c r="C1701" s="17"/>
      <c r="D1701" s="113" t="s">
        <v>209</v>
      </c>
      <c r="E1701" s="1560" t="str">
        <f>Translations!$B$678</f>
        <v>Values used for calculation:</v>
      </c>
      <c r="F1701" s="1560"/>
      <c r="G1701" s="1560"/>
      <c r="H1701" s="820" t="str">
        <f>H1700</f>
        <v>tonnes</v>
      </c>
      <c r="I1701" s="148" t="str">
        <f>IF($I1693="","",IF($Q1703=TRUE,IF(ISNUMBER(I1700),I1700,0),IF(ISNUMBER(I1699),I1699,0)))</f>
        <v/>
      </c>
      <c r="J1701" s="148" t="str">
        <f>IF($I1693="","",IF($Q1703=TRUE,IF(ISNUMBER(J1700),J1700,0),IF(ISNUMBER(J1699),J1699,0)))</f>
        <v/>
      </c>
      <c r="K1701" s="148" t="str">
        <f>IF($I1693="","",IF($Q1703=TRUE,IF(ISNUMBER(K1700),K1700,0),IF(ISNUMBER(K1699),K1699,0)))</f>
        <v/>
      </c>
      <c r="L1701" s="148" t="str">
        <f>IF($I1693="","",IF($Q1703=TRUE,IF(ISNUMBER(L1700),L1700,0),IF(ISNUMBER(L1699),L1699,0)))</f>
        <v/>
      </c>
      <c r="M1701" s="923" t="str">
        <f>IF($I1693="","",IF($Q1703=TRUE,IF(ISNUMBER(M1700),M1700,0),IF(ISNUMBER(M1699),M1699,0)))</f>
        <v/>
      </c>
      <c r="N1701" s="924" t="str">
        <f>IF($I1693="","",IF(S1703,IF($Q1703=TRUE,IF(ISNUMBER(N1700),N1700,0),IF(ISNUMBER(N1699),N1699,0)),""))</f>
        <v/>
      </c>
      <c r="O1701" s="17"/>
      <c r="P1701" s="392" t="str">
        <f>EUconst_CNTR_HAL&amp;I1693</f>
        <v>HAL_</v>
      </c>
      <c r="Q1701" s="286" t="str">
        <f>IF(COUNT($U1701:$V1701)&gt;0,SUM($U1701:$V1701),"")</f>
        <v/>
      </c>
      <c r="R1701" s="390" t="str">
        <f>IF(COUNT(S1701:W1701)&gt;0,AVERAGE(S1701:W1701),"")</f>
        <v/>
      </c>
      <c r="S1701" s="388" t="str">
        <f>IF(S1693,IF(ISNUMBER(I1701),I1701,""),"")</f>
        <v/>
      </c>
      <c r="T1701" s="389" t="str">
        <f>IF(T1693,IF(ISNUMBER(J1701),J1701,""),"")</f>
        <v/>
      </c>
      <c r="U1701" s="389" t="str">
        <f>IF(U1693,IF(ISNUMBER(K1701),K1701,""),"")</f>
        <v/>
      </c>
      <c r="V1701" s="389" t="str">
        <f>IF(V1693,IF(ISNUMBER(L1701),L1701,""),"")</f>
        <v/>
      </c>
      <c r="W1701" s="390" t="str">
        <f>IF(W1693,IF(ISNUMBER(M1701),M1701,""),"")</f>
        <v/>
      </c>
      <c r="Y1701" s="286" t="b">
        <f>Y1698</f>
        <v>0</v>
      </c>
    </row>
    <row r="1702" spans="2:27" ht="5.0999999999999996" customHeight="1" x14ac:dyDescent="0.25">
      <c r="B1702" s="17"/>
      <c r="C1702" s="17"/>
      <c r="D1702" s="17"/>
      <c r="E1702" s="17"/>
      <c r="F1702" s="17"/>
      <c r="G1702" s="17"/>
      <c r="H1702" s="17"/>
      <c r="I1702" s="17"/>
      <c r="J1702" s="17"/>
      <c r="K1702" s="17"/>
      <c r="L1702" s="17"/>
      <c r="M1702" s="17"/>
      <c r="N1702" s="17"/>
      <c r="O1702" s="17"/>
    </row>
    <row r="1703" spans="2:27" x14ac:dyDescent="0.25">
      <c r="B1703" s="17"/>
      <c r="C1703" s="17"/>
      <c r="D1703" s="15" t="s">
        <v>192</v>
      </c>
      <c r="E1703" s="1165" t="str">
        <f>Translations!$B$679</f>
        <v>Special reporting requirements:</v>
      </c>
      <c r="F1703" s="1165"/>
      <c r="G1703" s="1425"/>
      <c r="H1703" s="1561" t="str">
        <f>IF(I1693="","",HYPERLINK(INDEX(EUconst_BMlistSpecialJumpTable,MATCH(I1693,EUconst_BMlistNames,0)),INDEX(EUconst_BMlistSpecialReporting,MATCH(I1693,EUconst_BMlistNames,0))))</f>
        <v/>
      </c>
      <c r="I1703" s="1562"/>
      <c r="J1703" s="1562"/>
      <c r="K1703" s="1562"/>
      <c r="L1703" s="1562"/>
      <c r="M1703" s="1562"/>
      <c r="N1703" s="1563"/>
      <c r="O1703" s="17"/>
      <c r="P1703" s="288" t="s">
        <v>400</v>
      </c>
      <c r="Q1703" s="63" t="str">
        <f>IF(I1693="","",IF(AND(INDEX(EUconst_BMlistSpecialJumpTable,MATCH(I1693,EUconst_BMlistNames,0))&lt;&gt;"",MATCH(I1693,EUconst_BMlistNames,0)&lt;&gt;47),TRUE,FALSE))</f>
        <v/>
      </c>
      <c r="R1703" s="288" t="s">
        <v>304</v>
      </c>
      <c r="S1703" s="63" t="b">
        <f>IF(I1693="",FALSE,INDEX(CNTR_SubInstLess1Year,MATCH(I1693,CNTR_SubInstListNames,0)))</f>
        <v>0</v>
      </c>
    </row>
    <row r="1704" spans="2:27" ht="12.75" customHeight="1" x14ac:dyDescent="0.25">
      <c r="B1704" s="17"/>
      <c r="C1704" s="17"/>
      <c r="D1704" s="17"/>
      <c r="E1704" s="17"/>
      <c r="F1704" s="17"/>
      <c r="G1704" s="17"/>
      <c r="H1704" s="17"/>
      <c r="I1704" s="17"/>
      <c r="J1704" s="17"/>
      <c r="K1704" s="17"/>
      <c r="L1704" s="17"/>
      <c r="M1704" s="17"/>
      <c r="N1704" s="17"/>
      <c r="O1704" s="17"/>
    </row>
    <row r="1705" spans="2:27" ht="15" customHeight="1" x14ac:dyDescent="0.25">
      <c r="B1705" s="17"/>
      <c r="C1705" s="17"/>
      <c r="D1705" s="1234" t="str">
        <f>Translations!$B$681</f>
        <v>Further correction factors</v>
      </c>
      <c r="E1705" s="1176"/>
      <c r="F1705" s="1176"/>
      <c r="G1705" s="1176"/>
      <c r="H1705" s="1176"/>
      <c r="I1705" s="1176"/>
      <c r="J1705" s="1176"/>
      <c r="K1705" s="1176"/>
      <c r="L1705" s="1176"/>
      <c r="M1705" s="1176"/>
      <c r="N1705" s="1176"/>
      <c r="O1705" s="17"/>
    </row>
    <row r="1706" spans="2:27" ht="5.0999999999999996" customHeight="1" x14ac:dyDescent="0.25">
      <c r="B1706" s="17"/>
      <c r="C1706" s="17"/>
      <c r="D1706" s="17"/>
      <c r="E1706" s="17"/>
      <c r="F1706" s="17"/>
      <c r="G1706" s="17"/>
      <c r="H1706" s="17"/>
      <c r="I1706" s="17"/>
      <c r="J1706" s="17"/>
      <c r="K1706" s="17"/>
      <c r="L1706" s="17"/>
      <c r="M1706" s="17"/>
      <c r="N1706" s="17"/>
      <c r="O1706" s="17"/>
    </row>
    <row r="1707" spans="2:27" ht="13.8" thickBot="1" x14ac:dyDescent="0.3">
      <c r="B1707" s="17"/>
      <c r="C1707" s="17"/>
      <c r="D1707" s="15" t="s">
        <v>195</v>
      </c>
      <c r="E1707" s="1165" t="str">
        <f>Translations!$B$682</f>
        <v>Exchangeability of fuel and electricity:</v>
      </c>
      <c r="F1707" s="1176"/>
      <c r="G1707" s="1176"/>
      <c r="H1707" s="1176"/>
      <c r="I1707" s="1260"/>
      <c r="J1707" s="1561" t="str">
        <f>IF(I1693="","",IF(INDEX(EUconst_BMlistElExchangability,MATCH(I1693,EUconst_BMlistNames,0))=TRUE,"",HYPERLINK(Q1707,EUconst_MsgGoOn)))</f>
        <v/>
      </c>
      <c r="K1707" s="1564"/>
      <c r="L1707" s="1564"/>
      <c r="M1707" s="1564"/>
      <c r="N1707" s="1205"/>
      <c r="O1707" s="17"/>
      <c r="P1707" s="145" t="s">
        <v>334</v>
      </c>
      <c r="Q1707" s="372" t="str">
        <f>"#"&amp;ADDRESS(ROW(D1715),COLUMN(D1715))</f>
        <v>#$D$1715</v>
      </c>
    </row>
    <row r="1708" spans="2:27" ht="13.8" thickBot="1" x14ac:dyDescent="0.3">
      <c r="B1708" s="17"/>
      <c r="C1708" s="17"/>
      <c r="D1708" s="15"/>
      <c r="E1708" s="1259" t="str">
        <f>Translations!$B$686</f>
        <v>Parameter</v>
      </c>
      <c r="F1708" s="1212"/>
      <c r="G1708" s="1212"/>
      <c r="H1708" s="23" t="str">
        <f>EUconst_Unit</f>
        <v>Unit</v>
      </c>
      <c r="I1708" s="128">
        <f>I$66</f>
        <v>2019</v>
      </c>
      <c r="J1708" s="128">
        <f>J$66</f>
        <v>2020</v>
      </c>
      <c r="K1708" s="128">
        <f>K$66</f>
        <v>2021</v>
      </c>
      <c r="L1708" s="128">
        <f>L$66</f>
        <v>2022</v>
      </c>
      <c r="M1708" s="144">
        <f>M$66</f>
        <v>2023</v>
      </c>
      <c r="N1708" s="376" t="str">
        <f>IF(AA1709=FALSE,N1698,"")</f>
        <v/>
      </c>
      <c r="O1708" s="17"/>
      <c r="Y1708" s="316" t="b">
        <f>OR(Y1698,AA1709)</f>
        <v>0</v>
      </c>
      <c r="AA1708" s="145" t="s">
        <v>402</v>
      </c>
    </row>
    <row r="1709" spans="2:27" ht="13.8" thickBot="1" x14ac:dyDescent="0.3">
      <c r="B1709" s="17"/>
      <c r="C1709" s="17"/>
      <c r="D1709" s="113" t="s">
        <v>206</v>
      </c>
      <c r="E1709" s="1248" t="str">
        <f>Translations!$B$687</f>
        <v>Direct emissions</v>
      </c>
      <c r="F1709" s="1248"/>
      <c r="G1709" s="1248"/>
      <c r="H1709" s="222" t="str">
        <f>EUconst_tCO2pa</f>
        <v>t CO2 / year</v>
      </c>
      <c r="I1709" s="331"/>
      <c r="J1709" s="331"/>
      <c r="K1709" s="332"/>
      <c r="L1709" s="331"/>
      <c r="M1709" s="377"/>
      <c r="N1709" s="383"/>
      <c r="O1709" s="17"/>
      <c r="Y1709" s="285" t="b">
        <f>Y1708</f>
        <v>0</v>
      </c>
      <c r="AA1709" s="316" t="b">
        <f>IF(CNTR_ExistSubInstEntries,IF(I1693&lt;&gt;"",IF(INDEX(EUconst_BMlistElExchangability,MATCH(I1693,EUconst_BMlistNames,0)),FALSE,TRUE),TRUE),FALSE)</f>
        <v>0</v>
      </c>
    </row>
    <row r="1710" spans="2:27" x14ac:dyDescent="0.25">
      <c r="B1710" s="17"/>
      <c r="C1710" s="17"/>
      <c r="D1710" s="113" t="s">
        <v>208</v>
      </c>
      <c r="E1710" s="1251" t="str">
        <f>Translations!$B$688</f>
        <v>Net imported heat</v>
      </c>
      <c r="F1710" s="1251"/>
      <c r="G1710" s="1251"/>
      <c r="H1710" s="225" t="str">
        <f>EUconst_TJpa</f>
        <v>TJ / year</v>
      </c>
      <c r="I1710" s="226" t="str">
        <f>IF($I1693&lt;&gt;"",IF(INDEX(EUconst_BMlistElExchangability,MATCH($I1693,EUconst_BMlistNames,0)),SUM(I1794),""),"")</f>
        <v/>
      </c>
      <c r="J1710" s="226" t="str">
        <f>IF($I1693&lt;&gt;"",IF(INDEX(EUconst_BMlistElExchangability,MATCH($I1693,EUconst_BMlistNames,0)),SUM(J1794),""),"")</f>
        <v/>
      </c>
      <c r="K1710" s="226" t="str">
        <f>IF($I1693&lt;&gt;"",IF(INDEX(EUconst_BMlistElExchangability,MATCH($I1693,EUconst_BMlistNames,0)),SUM(K1794),""),"")</f>
        <v/>
      </c>
      <c r="L1710" s="226" t="str">
        <f>IF($I1693&lt;&gt;"",IF(INDEX(EUconst_BMlistElExchangability,MATCH($I1693,EUconst_BMlistNames,0)),SUM(L1794),""),"")</f>
        <v/>
      </c>
      <c r="M1710" s="378" t="str">
        <f>IF($I1693&lt;&gt;"",IF(INDEX(EUconst_BMlistElExchangability,MATCH($I1693,EUconst_BMlistNames,0)),SUM(M1794),""),"")</f>
        <v/>
      </c>
      <c r="N1710" s="384"/>
      <c r="O1710" s="17"/>
      <c r="R1710" s="459"/>
      <c r="S1710" s="326">
        <f>I1708</f>
        <v>2019</v>
      </c>
      <c r="T1710" s="326">
        <f>J1708</f>
        <v>2020</v>
      </c>
      <c r="U1710" s="326">
        <f>K1708</f>
        <v>2021</v>
      </c>
      <c r="V1710" s="326">
        <f>L1708</f>
        <v>2022</v>
      </c>
      <c r="W1710" s="327">
        <f>M1708</f>
        <v>2023</v>
      </c>
      <c r="Y1710" s="285" t="b">
        <f>Y1709</f>
        <v>0</v>
      </c>
      <c r="AA1710" s="285" t="b">
        <f>AA1709</f>
        <v>0</v>
      </c>
    </row>
    <row r="1711" spans="2:27" ht="12.75" customHeight="1" thickBot="1" x14ac:dyDescent="0.3">
      <c r="B1711" s="17"/>
      <c r="C1711" s="17"/>
      <c r="D1711" s="113" t="s">
        <v>209</v>
      </c>
      <c r="E1711" s="1565" t="str">
        <f>Translations!$B$689</f>
        <v>Relevant electricity consumption</v>
      </c>
      <c r="F1711" s="1565"/>
      <c r="G1711" s="1565"/>
      <c r="H1711" s="927" t="str">
        <f>EUconst_MWhpa</f>
        <v>MWh / year</v>
      </c>
      <c r="I1711" s="928"/>
      <c r="J1711" s="928"/>
      <c r="K1711" s="928"/>
      <c r="L1711" s="928"/>
      <c r="M1711" s="929"/>
      <c r="N1711" s="930"/>
      <c r="O1711" s="17"/>
      <c r="P1711" s="63" t="str">
        <f>EUconst_CNTR_HAL&amp;EUconst_CNTR_ELEXCH</f>
        <v>HAL_ELEXCH_</v>
      </c>
      <c r="Q1711" s="63" t="str">
        <f>EUconst_CNTR_HAL&amp;EUconst_CNTR_ELEXCH &amp; I1693</f>
        <v>HAL_ELEXCH_</v>
      </c>
      <c r="R1711" s="460" t="str">
        <f>EUconst_CNTR_AttributedEmissions &amp; I1693</f>
        <v>AttrEmissions_</v>
      </c>
      <c r="S1711" s="389" t="str">
        <f>IF(S1693,SUM(I1711)*EUconst_ElBM,"")</f>
        <v/>
      </c>
      <c r="T1711" s="389" t="str">
        <f>IF(T1693,SUM(J1711)*EUconst_ElBM,"")</f>
        <v/>
      </c>
      <c r="U1711" s="389" t="str">
        <f>IF(U1693,SUM(K1711)*EUconst_ElBM,"")</f>
        <v/>
      </c>
      <c r="V1711" s="389" t="str">
        <f>IF(V1693,SUM(L1711)*EUconst_ElBM,"")</f>
        <v/>
      </c>
      <c r="W1711" s="390" t="str">
        <f>IF(W1693,SUM(M1711)*EUconst_ElBM,"")</f>
        <v/>
      </c>
      <c r="X1711" s="145" t="str">
        <f>N1708</f>
        <v/>
      </c>
      <c r="Y1711" s="285" t="b">
        <f>Y1710</f>
        <v>0</v>
      </c>
      <c r="AA1711" s="285" t="b">
        <f>AA1710</f>
        <v>0</v>
      </c>
    </row>
    <row r="1712" spans="2:27" ht="13.8" thickBot="1" x14ac:dyDescent="0.3">
      <c r="B1712" s="17"/>
      <c r="C1712" s="17"/>
      <c r="D1712" s="113" t="s">
        <v>210</v>
      </c>
      <c r="E1712" s="1248" t="str">
        <f>Translations!$B$690</f>
        <v>Total direct emissions</v>
      </c>
      <c r="F1712" s="1248"/>
      <c r="G1712" s="1248"/>
      <c r="H1712" s="222" t="str">
        <f>EUconst_tCO2pa</f>
        <v>t CO2 / year</v>
      </c>
      <c r="I1712" s="223" t="str">
        <f>IF(ISNUMBER(I1709),I1709+SUM(I1710)*EUconst_HeatBMvalue,"")</f>
        <v/>
      </c>
      <c r="J1712" s="223" t="str">
        <f>IF(ISNUMBER(J1709),J1709+SUM(J1710)*EUconst_HeatBMvalue,"")</f>
        <v/>
      </c>
      <c r="K1712" s="224" t="str">
        <f>IF(ISNUMBER(K1709),K1709+SUM(K1710)*EUconst_HeatBMvalue,"")</f>
        <v/>
      </c>
      <c r="L1712" s="223" t="str">
        <f>IF(ISNUMBER(L1709),L1709+SUM(L1710)*EUconst_HeatBMvalue,"")</f>
        <v/>
      </c>
      <c r="M1712" s="379" t="str">
        <f>IF(ISNUMBER(M1709),M1709+SUM(M1710)*EUconst_HeatBMvalue,"")</f>
        <v/>
      </c>
      <c r="N1712" s="381" t="str">
        <f>IF(AND(S1703,ISNUMBER(N1709)),N1709+SUM(N1710)*EUconst_HeatBMvalue,"")</f>
        <v/>
      </c>
      <c r="O1712" s="17"/>
      <c r="R1712" s="288" t="s">
        <v>403</v>
      </c>
      <c r="S1712" s="385" t="str">
        <f>IF(S1693,IF(ISNUMBER(I1712),I1712,0),"")</f>
        <v/>
      </c>
      <c r="T1712" s="386" t="str">
        <f>IF(T1693,IF(ISNUMBER(J1712),J1712,0),"")</f>
        <v/>
      </c>
      <c r="U1712" s="386" t="str">
        <f>IF(U1693,IF(ISNUMBER(K1712),K1712,0),"")</f>
        <v/>
      </c>
      <c r="V1712" s="386" t="str">
        <f>IF(V1693,IF(ISNUMBER(L1712),L1712,0),"")</f>
        <v/>
      </c>
      <c r="W1712" s="387" t="str">
        <f>IF(W1693,IF(ISNUMBER(M1712),M1712,0),"")</f>
        <v/>
      </c>
      <c r="X1712" s="391" t="str">
        <f>IF(S1703,IF(ISNUMBER(N1712),N1712,0),"")</f>
        <v/>
      </c>
      <c r="Y1712" s="285" t="b">
        <f>Y1711</f>
        <v>0</v>
      </c>
      <c r="AA1712" s="285" t="b">
        <f>AA1711</f>
        <v>0</v>
      </c>
    </row>
    <row r="1713" spans="2:27" ht="13.8" thickBot="1" x14ac:dyDescent="0.3">
      <c r="B1713" s="17"/>
      <c r="C1713" s="17"/>
      <c r="D1713" s="113" t="s">
        <v>220</v>
      </c>
      <c r="E1713" s="1254" t="str">
        <f>Translations!$B$691</f>
        <v>Indirect emissions</v>
      </c>
      <c r="F1713" s="1254"/>
      <c r="G1713" s="1254"/>
      <c r="H1713" s="227" t="str">
        <f>EUconst_tCO2pa</f>
        <v>t CO2 / year</v>
      </c>
      <c r="I1713" s="228" t="str">
        <f t="shared" ref="I1713:N1713" si="36">IF(ISNUMBER(I1711),I1711*EUconst_ElBM,"")</f>
        <v/>
      </c>
      <c r="J1713" s="228" t="str">
        <f t="shared" si="36"/>
        <v/>
      </c>
      <c r="K1713" s="229" t="str">
        <f t="shared" si="36"/>
        <v/>
      </c>
      <c r="L1713" s="228" t="str">
        <f t="shared" si="36"/>
        <v/>
      </c>
      <c r="M1713" s="380" t="str">
        <f t="shared" si="36"/>
        <v/>
      </c>
      <c r="N1713" s="382" t="str">
        <f t="shared" si="36"/>
        <v/>
      </c>
      <c r="O1713" s="17"/>
      <c r="P1713" s="392" t="str">
        <f>EUconst_CNTR_ELEXCH &amp; I1693</f>
        <v>ELEXCH_</v>
      </c>
      <c r="Q1713" s="393" t="str">
        <f>IF(SUM(S1713:X1713)&lt;&gt;0,SUM(S1712:X1712)/SUM(S1713:X1713),EUconst_NA)</f>
        <v>N.A.</v>
      </c>
      <c r="R1713" s="288" t="s">
        <v>323</v>
      </c>
      <c r="S1713" s="388" t="str">
        <f>IF(S1693,IF(COUNT(I1712:I1713)&gt;0,SUM(I1712:I1713),0),"")</f>
        <v/>
      </c>
      <c r="T1713" s="389" t="str">
        <f>IF(T1693,IF(COUNT(J1712:J1713)&gt;0,SUM(J1712:J1713),0),"")</f>
        <v/>
      </c>
      <c r="U1713" s="389" t="str">
        <f>IF(U1693,IF(COUNT(K1712:K1713)&gt;0,SUM(K1712:K1713),0),"")</f>
        <v/>
      </c>
      <c r="V1713" s="389" t="str">
        <f>IF(V1693,IF(COUNT(L1712:L1713)&gt;0,SUM(L1712:L1713),0),"")</f>
        <v/>
      </c>
      <c r="W1713" s="390" t="str">
        <f>IF(W1693,IF(COUNT(M1712:M1713)&gt;0,SUM(M1712:M1713),0),"")</f>
        <v/>
      </c>
      <c r="X1713" s="286" t="str">
        <f>IF(S1703,IF(COUNT(N1712:N1713)&gt;0,SUM(N1712:N1713),0),"")</f>
        <v/>
      </c>
      <c r="Y1713" s="286" t="b">
        <f>Y1712</f>
        <v>0</v>
      </c>
      <c r="AA1713" s="286" t="b">
        <f>AA1712</f>
        <v>0</v>
      </c>
    </row>
    <row r="1714" spans="2:27" ht="5.0999999999999996" customHeight="1" x14ac:dyDescent="0.25">
      <c r="B1714" s="17"/>
      <c r="C1714" s="17"/>
      <c r="D1714" s="17"/>
      <c r="E1714" s="17"/>
      <c r="F1714" s="17"/>
      <c r="G1714" s="17"/>
      <c r="H1714" s="17"/>
      <c r="I1714" s="17"/>
      <c r="J1714" s="17"/>
      <c r="K1714" s="17"/>
      <c r="L1714" s="17"/>
      <c r="M1714" s="17"/>
      <c r="N1714" s="17"/>
      <c r="O1714" s="17"/>
    </row>
    <row r="1715" spans="2:27" x14ac:dyDescent="0.25">
      <c r="B1715" s="17"/>
      <c r="C1715" s="17"/>
      <c r="D1715" s="15" t="s">
        <v>197</v>
      </c>
      <c r="E1715" s="1165" t="str">
        <f>Translations!$B$692</f>
        <v>Heat imported from non-ETS installations or entities:</v>
      </c>
      <c r="F1715" s="1165"/>
      <c r="G1715" s="1165"/>
      <c r="H1715" s="1165"/>
      <c r="I1715" s="1425"/>
      <c r="J1715" s="1561" t="str">
        <f>IF(I1693="","",HYPERLINK(Q1715,EUconst_MsgGoOnIfNotRelevant))</f>
        <v/>
      </c>
      <c r="K1715" s="1564"/>
      <c r="L1715" s="1564"/>
      <c r="M1715" s="1564"/>
      <c r="N1715" s="1205"/>
      <c r="O1715" s="17"/>
      <c r="P1715" s="145" t="s">
        <v>334</v>
      </c>
      <c r="Q1715" s="372" t="str">
        <f>"#"&amp;ADDRESS(ROW(D1722),COLUMN(D1722))</f>
        <v>#$D$1722</v>
      </c>
    </row>
    <row r="1716" spans="2:27" ht="13.5" customHeight="1" thickBot="1" x14ac:dyDescent="0.3">
      <c r="B1716" s="17"/>
      <c r="C1716" s="17"/>
      <c r="D1716" s="17"/>
      <c r="E1716" s="1223"/>
      <c r="F1716" s="1223"/>
      <c r="G1716" s="1223"/>
      <c r="H1716" s="1223"/>
      <c r="I1716" s="1223"/>
      <c r="J1716" s="1223"/>
      <c r="K1716" s="1223"/>
      <c r="L1716" s="1223"/>
      <c r="M1716" s="1223"/>
      <c r="N1716" s="1223"/>
      <c r="O1716" s="17"/>
      <c r="Y1716" s="145" t="s">
        <v>394</v>
      </c>
    </row>
    <row r="1717" spans="2:27" ht="13.8" thickBot="1" x14ac:dyDescent="0.3">
      <c r="B1717" s="17"/>
      <c r="C1717" s="17"/>
      <c r="D1717" s="15"/>
      <c r="E1717" s="1259" t="str">
        <f>Translations!$B$686</f>
        <v>Parameter</v>
      </c>
      <c r="F1717" s="1212"/>
      <c r="G1717" s="1212"/>
      <c r="H1717" s="23" t="str">
        <f>EUconst_Unit</f>
        <v>Unit</v>
      </c>
      <c r="I1717" s="128">
        <f>I$66</f>
        <v>2019</v>
      </c>
      <c r="J1717" s="128">
        <f>J$66</f>
        <v>2020</v>
      </c>
      <c r="K1717" s="128">
        <f>K$66</f>
        <v>2021</v>
      </c>
      <c r="L1717" s="128">
        <f>L$66</f>
        <v>2022</v>
      </c>
      <c r="M1717" s="144">
        <f>M$66</f>
        <v>2023</v>
      </c>
      <c r="N1717" s="376" t="str">
        <f>N1708</f>
        <v/>
      </c>
      <c r="O1717" s="17"/>
      <c r="Q1717" s="28"/>
      <c r="S1717" s="28">
        <f t="shared" ref="S1717:X1717" si="37">I1717</f>
        <v>2019</v>
      </c>
      <c r="T1717" s="28">
        <f t="shared" si="37"/>
        <v>2020</v>
      </c>
      <c r="U1717" s="28">
        <f t="shared" si="37"/>
        <v>2021</v>
      </c>
      <c r="V1717" s="28">
        <f t="shared" si="37"/>
        <v>2022</v>
      </c>
      <c r="W1717" s="28">
        <f t="shared" si="37"/>
        <v>2023</v>
      </c>
      <c r="X1717" s="145" t="str">
        <f t="shared" si="37"/>
        <v/>
      </c>
      <c r="Y1717" s="295" t="b">
        <f>Y1698</f>
        <v>0</v>
      </c>
      <c r="Z1717" s="28"/>
      <c r="AA1717" s="145" t="s">
        <v>396</v>
      </c>
    </row>
    <row r="1718" spans="2:27" ht="13.8" thickBot="1" x14ac:dyDescent="0.3">
      <c r="B1718" s="17"/>
      <c r="C1718" s="17"/>
      <c r="D1718" s="113" t="s">
        <v>206</v>
      </c>
      <c r="E1718" s="1412" t="str">
        <f>Translations!$B$697</f>
        <v>Measurable heat imported from non-ETS:</v>
      </c>
      <c r="F1718" s="1412"/>
      <c r="G1718" s="1412"/>
      <c r="H1718" s="43" t="str">
        <f>EUconst_TJpa</f>
        <v>TJ / year</v>
      </c>
      <c r="I1718" s="293"/>
      <c r="J1718" s="293"/>
      <c r="K1718" s="293"/>
      <c r="L1718" s="293"/>
      <c r="M1718" s="931"/>
      <c r="N1718" s="397"/>
      <c r="O1718" s="17"/>
      <c r="P1718" s="63" t="str">
        <f>EUconst_CNTR_HAL&amp;EUconst_CNTR_nonETSMeasHeat</f>
        <v>HAL_non-ETS measurable heat</v>
      </c>
      <c r="S1718" s="808" t="str">
        <f>IF(S1693,IF(ISNUMBER(I1718),I1718,0),"")</f>
        <v/>
      </c>
      <c r="T1718" s="809" t="str">
        <f>IF(T1693,IF(ISNUMBER(J1718),J1718,0),"")</f>
        <v/>
      </c>
      <c r="U1718" s="809" t="str">
        <f>IF(U1693,IF(ISNUMBER(K1718),K1718,0),"")</f>
        <v/>
      </c>
      <c r="V1718" s="809" t="str">
        <f>IF(V1693,IF(ISNUMBER(L1718),L1718,0),"")</f>
        <v/>
      </c>
      <c r="W1718" s="810" t="str">
        <f>IF(W1693,IF(ISNUMBER(M1718),M1718,0),"")</f>
        <v/>
      </c>
      <c r="X1718" s="215" t="str">
        <f>IF(S1703,IF(ISNUMBER(N1718),N1718,0),"")</f>
        <v/>
      </c>
      <c r="Y1718" s="286" t="b">
        <f>Y1717</f>
        <v>0</v>
      </c>
      <c r="AA1718" s="316" t="b">
        <f>AND(CNTR_ExistSubInstEntries,I1693="")</f>
        <v>0</v>
      </c>
    </row>
    <row r="1719" spans="2:27" ht="25.5" customHeight="1" thickBot="1" x14ac:dyDescent="0.3">
      <c r="B1719" s="17"/>
      <c r="C1719" s="17"/>
      <c r="D1719" s="113" t="s">
        <v>208</v>
      </c>
      <c r="E1719" s="1248" t="str">
        <f>Translations!$B$698</f>
        <v>Consistency check with sheet "E_Energy flows":</v>
      </c>
      <c r="F1719" s="1248"/>
      <c r="G1719" s="1248"/>
      <c r="H1719" s="856" t="s">
        <v>354</v>
      </c>
      <c r="I1719" s="932" t="str">
        <f>IF(AND(ISNUMBER(I1718),ISNUMBER(E_EnergyFlows!I$102)), I1718/E_EnergyFlows!I$102*100,"")</f>
        <v/>
      </c>
      <c r="J1719" s="932" t="str">
        <f>IF(AND(ISNUMBER(J1718),ISNUMBER(E_EnergyFlows!J$102)), J1718/E_EnergyFlows!J$102*100,"")</f>
        <v/>
      </c>
      <c r="K1719" s="932" t="str">
        <f>IF(AND(ISNUMBER(K1718),ISNUMBER(E_EnergyFlows!K$102)), K1718/E_EnergyFlows!K$102*100,"")</f>
        <v/>
      </c>
      <c r="L1719" s="932" t="str">
        <f>IF(AND(ISNUMBER(L1718),ISNUMBER(E_EnergyFlows!L$102)), L1718/E_EnergyFlows!L$102*100,"")</f>
        <v/>
      </c>
      <c r="M1719" s="933" t="str">
        <f>IF(AND(ISNUMBER(M1718),ISNUMBER(E_EnergyFlows!M$102)), M1718/E_EnergyFlows!M$102*100,"")</f>
        <v/>
      </c>
      <c r="N1719" s="646"/>
      <c r="O1719" s="17"/>
      <c r="P1719" s="392" t="str">
        <f>EUconst_CNTR_HEAT &amp; I1693</f>
        <v>HEAT_</v>
      </c>
      <c r="Q1719" s="109" t="str">
        <f>IF(COUNT(S1718:X1718)&gt;0,AVERAGE(S1718:X1718)*EUconst_HeatBMvalue,EUconst_NA)</f>
        <v>N.A.</v>
      </c>
      <c r="AA1719" s="815"/>
    </row>
    <row r="1720" spans="2:27" ht="12.75" customHeight="1" x14ac:dyDescent="0.25">
      <c r="B1720" s="17"/>
      <c r="C1720" s="17"/>
      <c r="D1720" s="113" t="s">
        <v>209</v>
      </c>
      <c r="E1720" s="1254" t="str">
        <f>Translations!$B$699</f>
        <v>Consistency check with point (k)(i):</v>
      </c>
      <c r="F1720" s="1254"/>
      <c r="G1720" s="1254"/>
      <c r="H1720" s="860" t="s">
        <v>354</v>
      </c>
      <c r="I1720" s="934" t="str">
        <f>IF(AND(I1794&gt;0,ISNUMBER(I1718)), I1718/I1794*100,"")</f>
        <v/>
      </c>
      <c r="J1720" s="934" t="str">
        <f>IF(AND(J1794&gt;0,ISNUMBER(J1718)), J1718/J1794*100,"")</f>
        <v/>
      </c>
      <c r="K1720" s="934" t="str">
        <f>IF(AND(K1794&gt;0,ISNUMBER(K1718)), K1718/K1794*100,"")</f>
        <v/>
      </c>
      <c r="L1720" s="934" t="str">
        <f>IF(AND(L1794&gt;0,ISNUMBER(L1718)), L1718/L1794*100,"")</f>
        <v/>
      </c>
      <c r="M1720" s="935" t="str">
        <f>IF(AND(M1794&gt;0,ISNUMBER(M1718)), M1718/M1794*100,"")</f>
        <v/>
      </c>
      <c r="N1720" s="646"/>
      <c r="O1720" s="17"/>
      <c r="AA1720" s="815"/>
    </row>
    <row r="1721" spans="2:27" ht="12.75" customHeight="1" x14ac:dyDescent="0.25">
      <c r="B1721" s="17"/>
      <c r="C1721" s="17"/>
      <c r="D1721" s="17"/>
      <c r="E1721" s="17"/>
      <c r="F1721" s="17"/>
      <c r="G1721" s="17"/>
      <c r="H1721" s="17"/>
      <c r="I1721" s="31"/>
      <c r="J1721" s="17"/>
      <c r="K1721" s="17"/>
      <c r="L1721" s="17"/>
      <c r="M1721" s="17"/>
      <c r="N1721" s="17"/>
      <c r="O1721" s="17"/>
      <c r="P1721" s="44"/>
      <c r="AA1721" s="815"/>
    </row>
    <row r="1722" spans="2:27" ht="13.8" x14ac:dyDescent="0.25">
      <c r="B1722" s="17"/>
      <c r="C1722" s="338"/>
      <c r="D1722" s="1234" t="str">
        <f>Translations!$B$700</f>
        <v>Production details</v>
      </c>
      <c r="E1722" s="1176"/>
      <c r="F1722" s="1176"/>
      <c r="G1722" s="1176"/>
      <c r="H1722" s="1176"/>
      <c r="I1722" s="1176"/>
      <c r="J1722" s="1176"/>
      <c r="K1722" s="1176"/>
      <c r="L1722" s="1176"/>
      <c r="M1722" s="1176"/>
      <c r="N1722" s="1176"/>
      <c r="O1722" s="17"/>
      <c r="AA1722" s="815"/>
    </row>
    <row r="1723" spans="2:27" ht="5.0999999999999996" customHeight="1" x14ac:dyDescent="0.25">
      <c r="B1723" s="17"/>
      <c r="C1723" s="17"/>
      <c r="D1723" s="17"/>
      <c r="E1723" s="17"/>
      <c r="F1723" s="17"/>
      <c r="G1723" s="17"/>
      <c r="H1723" s="17"/>
      <c r="I1723" s="17"/>
      <c r="J1723" s="17"/>
      <c r="K1723" s="17"/>
      <c r="L1723" s="17"/>
      <c r="M1723" s="17"/>
      <c r="N1723" s="17"/>
      <c r="O1723" s="17"/>
      <c r="AA1723" s="815"/>
    </row>
    <row r="1724" spans="2:27" x14ac:dyDescent="0.25">
      <c r="B1724" s="17"/>
      <c r="C1724" s="15"/>
      <c r="D1724" s="15" t="s">
        <v>202</v>
      </c>
      <c r="E1724" s="1165" t="str">
        <f>Translations!$B$701</f>
        <v>Identification of products included in this product benchmark sub-installation</v>
      </c>
      <c r="F1724" s="1176"/>
      <c r="G1724" s="1176"/>
      <c r="H1724" s="1176"/>
      <c r="I1724" s="1176"/>
      <c r="J1724" s="1176"/>
      <c r="K1724" s="1176"/>
      <c r="L1724" s="1176"/>
      <c r="M1724" s="1176"/>
      <c r="N1724" s="1176"/>
      <c r="O1724" s="17"/>
      <c r="AA1724" s="815"/>
    </row>
    <row r="1725" spans="2:27" ht="13.2" customHeight="1" x14ac:dyDescent="0.25">
      <c r="B1725" s="17"/>
      <c r="C1725" s="17"/>
      <c r="D1725" s="17"/>
      <c r="E1725" s="1223" t="s">
        <v>443</v>
      </c>
      <c r="F1725" s="1176"/>
      <c r="G1725" s="1176"/>
      <c r="H1725" s="1176"/>
      <c r="I1725" s="1176"/>
      <c r="J1725" s="1176"/>
      <c r="K1725" s="1176"/>
      <c r="L1725" s="1176"/>
      <c r="M1725" s="1176"/>
      <c r="N1725" s="1176"/>
      <c r="O1725" s="17"/>
      <c r="AA1725" s="815"/>
    </row>
    <row r="1726" spans="2:27" x14ac:dyDescent="0.25">
      <c r="B1726" s="17"/>
      <c r="C1726" s="17"/>
      <c r="D1726" s="17"/>
      <c r="E1726" s="1554" t="s">
        <v>408</v>
      </c>
      <c r="F1726" s="1555"/>
      <c r="G1726" s="1555"/>
      <c r="H1726" s="1555"/>
      <c r="I1726" s="1555"/>
      <c r="J1726" s="1555"/>
      <c r="K1726" s="1555"/>
      <c r="L1726" s="1555"/>
      <c r="M1726" s="1555"/>
      <c r="N1726" s="1555"/>
      <c r="O1726" s="17"/>
      <c r="AA1726" s="815"/>
    </row>
    <row r="1727" spans="2:27" ht="5.0999999999999996" customHeight="1" x14ac:dyDescent="0.25">
      <c r="B1727" s="17"/>
      <c r="C1727" s="17"/>
      <c r="D1727" s="17"/>
      <c r="E1727" s="17"/>
      <c r="F1727" s="17"/>
      <c r="G1727" s="17"/>
      <c r="H1727" s="17"/>
      <c r="I1727" s="17"/>
      <c r="J1727" s="17"/>
      <c r="K1727" s="17"/>
      <c r="L1727" s="17"/>
      <c r="M1727" s="17"/>
      <c r="N1727" s="17"/>
      <c r="O1727" s="17"/>
      <c r="AA1727" s="815"/>
    </row>
    <row r="1728" spans="2:27" x14ac:dyDescent="0.25">
      <c r="B1728" s="17"/>
      <c r="C1728" s="15"/>
      <c r="D1728" s="15" t="s">
        <v>199</v>
      </c>
      <c r="E1728" s="1165" t="str">
        <f>Translations!$B$706</f>
        <v>Individual production levels of products included in this product benchmark sub-installation</v>
      </c>
      <c r="F1728" s="1176"/>
      <c r="G1728" s="1176"/>
      <c r="H1728" s="1176"/>
      <c r="I1728" s="1176"/>
      <c r="J1728" s="1176"/>
      <c r="K1728" s="1176"/>
      <c r="L1728" s="1176"/>
      <c r="M1728" s="1176"/>
      <c r="N1728" s="1176"/>
      <c r="O1728" s="17"/>
      <c r="AA1728" s="815"/>
    </row>
    <row r="1729" spans="2:27" ht="5.0999999999999996" customHeight="1" x14ac:dyDescent="0.25">
      <c r="B1729" s="17"/>
      <c r="C1729" s="17"/>
      <c r="D1729" s="17"/>
      <c r="E1729" s="884"/>
      <c r="F1729" s="884"/>
      <c r="G1729" s="884"/>
      <c r="H1729" s="884"/>
      <c r="I1729" s="884"/>
      <c r="J1729" s="77"/>
      <c r="K1729" s="77"/>
      <c r="L1729" s="77"/>
      <c r="M1729" s="17"/>
      <c r="N1729" s="17"/>
      <c r="O1729" s="17"/>
      <c r="AA1729" s="815"/>
    </row>
    <row r="1730" spans="2:27" ht="25.5" customHeight="1" x14ac:dyDescent="0.25">
      <c r="B1730" s="17"/>
      <c r="C1730" s="17"/>
      <c r="D1730" s="26"/>
      <c r="E1730" s="129" t="s">
        <v>409</v>
      </c>
      <c r="F1730" s="1556" t="str">
        <f>Translations!$B$707</f>
        <v>Name of product or group of products</v>
      </c>
      <c r="G1730" s="1557"/>
      <c r="H1730" s="461" t="str">
        <f>EUconst_Unit</f>
        <v>Unit</v>
      </c>
      <c r="I1730" s="128">
        <f>I$1882</f>
        <v>2019</v>
      </c>
      <c r="J1730" s="128">
        <f>J$1882</f>
        <v>2020</v>
      </c>
      <c r="K1730" s="128">
        <f>K$1882</f>
        <v>2021</v>
      </c>
      <c r="L1730" s="128">
        <f>L$1882</f>
        <v>2022</v>
      </c>
      <c r="M1730" s="128">
        <f>M$1882</f>
        <v>2023</v>
      </c>
      <c r="N1730" s="17"/>
      <c r="O1730" s="17"/>
      <c r="AA1730" s="815"/>
    </row>
    <row r="1731" spans="2:27" x14ac:dyDescent="0.25">
      <c r="B1731" s="17"/>
      <c r="C1731" s="17"/>
      <c r="D1731" s="222">
        <v>1</v>
      </c>
      <c r="E1731" s="602"/>
      <c r="F1731" s="1558"/>
      <c r="G1731" s="1559"/>
      <c r="H1731" s="322"/>
      <c r="I1731" s="889"/>
      <c r="J1731" s="889"/>
      <c r="K1731" s="889"/>
      <c r="L1731" s="889"/>
      <c r="M1731" s="889"/>
      <c r="N1731" s="17"/>
      <c r="O1731" s="17"/>
      <c r="AA1731" s="285" t="b">
        <f>AA1718</f>
        <v>0</v>
      </c>
    </row>
    <row r="1732" spans="2:27" x14ac:dyDescent="0.25">
      <c r="B1732" s="17"/>
      <c r="C1732" s="17"/>
      <c r="D1732" s="225">
        <f>D1731+1</f>
        <v>2</v>
      </c>
      <c r="E1732" s="760"/>
      <c r="F1732" s="1542"/>
      <c r="G1732" s="1543"/>
      <c r="H1732" s="936"/>
      <c r="I1732" s="892"/>
      <c r="J1732" s="892"/>
      <c r="K1732" s="892"/>
      <c r="L1732" s="892"/>
      <c r="M1732" s="892"/>
      <c r="N1732" s="17"/>
      <c r="O1732" s="17"/>
      <c r="AA1732" s="285" t="b">
        <f>AA1731</f>
        <v>0</v>
      </c>
    </row>
    <row r="1733" spans="2:27" x14ac:dyDescent="0.25">
      <c r="B1733" s="17"/>
      <c r="C1733" s="17"/>
      <c r="D1733" s="225">
        <f t="shared" ref="D1733:D1740" si="38">D1732+1</f>
        <v>3</v>
      </c>
      <c r="E1733" s="760"/>
      <c r="F1733" s="1542"/>
      <c r="G1733" s="1543"/>
      <c r="H1733" s="936"/>
      <c r="I1733" s="892"/>
      <c r="J1733" s="892"/>
      <c r="K1733" s="892"/>
      <c r="L1733" s="892"/>
      <c r="M1733" s="892"/>
      <c r="N1733" s="17"/>
      <c r="O1733" s="17"/>
      <c r="AA1733" s="285" t="b">
        <f t="shared" ref="AA1733:AA1741" si="39">AA1732</f>
        <v>0</v>
      </c>
    </row>
    <row r="1734" spans="2:27" x14ac:dyDescent="0.25">
      <c r="B1734" s="17"/>
      <c r="C1734" s="17"/>
      <c r="D1734" s="225">
        <f t="shared" si="38"/>
        <v>4</v>
      </c>
      <c r="E1734" s="760"/>
      <c r="F1734" s="1542"/>
      <c r="G1734" s="1543"/>
      <c r="H1734" s="936"/>
      <c r="I1734" s="892"/>
      <c r="J1734" s="892"/>
      <c r="K1734" s="892"/>
      <c r="L1734" s="892"/>
      <c r="M1734" s="892"/>
      <c r="N1734" s="17"/>
      <c r="O1734" s="17"/>
      <c r="AA1734" s="285" t="b">
        <f t="shared" si="39"/>
        <v>0</v>
      </c>
    </row>
    <row r="1735" spans="2:27" x14ac:dyDescent="0.25">
      <c r="B1735" s="17"/>
      <c r="C1735" s="17"/>
      <c r="D1735" s="225">
        <f t="shared" si="38"/>
        <v>5</v>
      </c>
      <c r="E1735" s="760"/>
      <c r="F1735" s="1542"/>
      <c r="G1735" s="1543"/>
      <c r="H1735" s="936"/>
      <c r="I1735" s="892"/>
      <c r="J1735" s="892"/>
      <c r="K1735" s="892"/>
      <c r="L1735" s="892"/>
      <c r="M1735" s="892"/>
      <c r="N1735" s="17"/>
      <c r="O1735" s="17"/>
      <c r="AA1735" s="285" t="b">
        <f t="shared" si="39"/>
        <v>0</v>
      </c>
    </row>
    <row r="1736" spans="2:27" x14ac:dyDescent="0.25">
      <c r="B1736" s="17"/>
      <c r="C1736" s="17"/>
      <c r="D1736" s="225">
        <f t="shared" si="38"/>
        <v>6</v>
      </c>
      <c r="E1736" s="760"/>
      <c r="F1736" s="1542"/>
      <c r="G1736" s="1543"/>
      <c r="H1736" s="936"/>
      <c r="I1736" s="892"/>
      <c r="J1736" s="892"/>
      <c r="K1736" s="892"/>
      <c r="L1736" s="892"/>
      <c r="M1736" s="892"/>
      <c r="N1736" s="17"/>
      <c r="O1736" s="17"/>
      <c r="AA1736" s="285" t="b">
        <f t="shared" si="39"/>
        <v>0</v>
      </c>
    </row>
    <row r="1737" spans="2:27" x14ac:dyDescent="0.25">
      <c r="B1737" s="17"/>
      <c r="C1737" s="17"/>
      <c r="D1737" s="225">
        <f t="shared" si="38"/>
        <v>7</v>
      </c>
      <c r="E1737" s="760"/>
      <c r="F1737" s="1542"/>
      <c r="G1737" s="1543"/>
      <c r="H1737" s="936"/>
      <c r="I1737" s="892"/>
      <c r="J1737" s="892"/>
      <c r="K1737" s="892"/>
      <c r="L1737" s="892"/>
      <c r="M1737" s="892"/>
      <c r="N1737" s="17"/>
      <c r="O1737" s="17"/>
      <c r="AA1737" s="285" t="b">
        <f t="shared" si="39"/>
        <v>0</v>
      </c>
    </row>
    <row r="1738" spans="2:27" x14ac:dyDescent="0.25">
      <c r="B1738" s="17"/>
      <c r="C1738" s="17"/>
      <c r="D1738" s="225">
        <f t="shared" si="38"/>
        <v>8</v>
      </c>
      <c r="E1738" s="760"/>
      <c r="F1738" s="1542"/>
      <c r="G1738" s="1543"/>
      <c r="H1738" s="936"/>
      <c r="I1738" s="892"/>
      <c r="J1738" s="892"/>
      <c r="K1738" s="892"/>
      <c r="L1738" s="892"/>
      <c r="M1738" s="892"/>
      <c r="N1738" s="17"/>
      <c r="O1738" s="17"/>
      <c r="AA1738" s="285" t="b">
        <f t="shared" si="39"/>
        <v>0</v>
      </c>
    </row>
    <row r="1739" spans="2:27" x14ac:dyDescent="0.25">
      <c r="B1739" s="17"/>
      <c r="C1739" s="17"/>
      <c r="D1739" s="225">
        <f t="shared" si="38"/>
        <v>9</v>
      </c>
      <c r="E1739" s="760"/>
      <c r="F1739" s="1542"/>
      <c r="G1739" s="1543"/>
      <c r="H1739" s="936"/>
      <c r="I1739" s="892"/>
      <c r="J1739" s="892"/>
      <c r="K1739" s="892"/>
      <c r="L1739" s="892"/>
      <c r="M1739" s="892"/>
      <c r="N1739" s="17"/>
      <c r="O1739" s="17"/>
      <c r="AA1739" s="285" t="b">
        <f t="shared" si="39"/>
        <v>0</v>
      </c>
    </row>
    <row r="1740" spans="2:27" x14ac:dyDescent="0.25">
      <c r="B1740" s="17"/>
      <c r="C1740" s="17"/>
      <c r="D1740" s="227">
        <f t="shared" si="38"/>
        <v>10</v>
      </c>
      <c r="E1740" s="761"/>
      <c r="F1740" s="1544"/>
      <c r="G1740" s="1545"/>
      <c r="H1740" s="937"/>
      <c r="I1740" s="895"/>
      <c r="J1740" s="895"/>
      <c r="K1740" s="895"/>
      <c r="L1740" s="895"/>
      <c r="M1740" s="895"/>
      <c r="N1740" s="17"/>
      <c r="O1740" s="17"/>
      <c r="AA1740" s="285" t="b">
        <f t="shared" si="39"/>
        <v>0</v>
      </c>
    </row>
    <row r="1741" spans="2:27" ht="12.75" customHeight="1" thickBot="1" x14ac:dyDescent="0.3">
      <c r="B1741" s="17"/>
      <c r="C1741" s="17"/>
      <c r="D1741" s="262"/>
      <c r="E1741" s="1546" t="str">
        <f>Translations!$B$708</f>
        <v>Sum of production levels</v>
      </c>
      <c r="F1741" s="1546"/>
      <c r="G1741" s="1546"/>
      <c r="H1741" s="1067"/>
      <c r="I1741" s="841" t="str">
        <f>IF(COUNT(I1731:I1740)&gt;0,SUM(I1731:I1740),"")</f>
        <v/>
      </c>
      <c r="J1741" s="841" t="str">
        <f>IF(COUNT(J1731:J1740)&gt;0,SUM(J1731:J1740),"")</f>
        <v/>
      </c>
      <c r="K1741" s="841" t="str">
        <f>IF(COUNT(K1731:K1740)&gt;0,SUM(K1731:K1740),"")</f>
        <v/>
      </c>
      <c r="L1741" s="841" t="str">
        <f>IF(COUNT(L1731:L1740)&gt;0,SUM(L1731:L1740),"")</f>
        <v/>
      </c>
      <c r="M1741" s="841" t="str">
        <f>IF(COUNT(M1731:M1740)&gt;0,SUM(M1731:M1740),"")</f>
        <v/>
      </c>
      <c r="N1741" s="17"/>
      <c r="O1741" s="17"/>
      <c r="AA1741" s="286" t="b">
        <f t="shared" si="39"/>
        <v>0</v>
      </c>
    </row>
    <row r="1742" spans="2:27" ht="12.75" customHeight="1" thickBot="1" x14ac:dyDescent="0.3">
      <c r="B1742" s="17"/>
      <c r="C1742" s="17"/>
      <c r="D1742" s="17"/>
      <c r="E1742" s="17"/>
      <c r="F1742" s="17"/>
      <c r="G1742" s="17"/>
      <c r="H1742" s="17"/>
      <c r="I1742" s="17"/>
      <c r="J1742" s="17"/>
      <c r="K1742" s="17"/>
      <c r="L1742" s="17"/>
      <c r="M1742" s="17"/>
      <c r="N1742" s="17"/>
      <c r="O1742" s="17"/>
    </row>
    <row r="1743" spans="2:27" ht="5.0999999999999996" customHeight="1" x14ac:dyDescent="0.25">
      <c r="B1743" s="17"/>
      <c r="C1743" s="938"/>
      <c r="D1743" s="462"/>
      <c r="E1743" s="462"/>
      <c r="F1743" s="462"/>
      <c r="G1743" s="462"/>
      <c r="H1743" s="462"/>
      <c r="I1743" s="462"/>
      <c r="J1743" s="462"/>
      <c r="K1743" s="462"/>
      <c r="L1743" s="462"/>
      <c r="M1743" s="462"/>
      <c r="N1743" s="463"/>
      <c r="O1743" s="17"/>
    </row>
    <row r="1744" spans="2:27" ht="15" customHeight="1" x14ac:dyDescent="0.25">
      <c r="B1744" s="17"/>
      <c r="C1744" s="900"/>
      <c r="D1744" s="1547" t="s">
        <v>410</v>
      </c>
      <c r="E1744" s="1512"/>
      <c r="F1744" s="1512"/>
      <c r="G1744" s="1512"/>
      <c r="H1744" s="1512"/>
      <c r="I1744" s="1512"/>
      <c r="J1744" s="1512"/>
      <c r="K1744" s="1512"/>
      <c r="L1744" s="1512"/>
      <c r="M1744" s="1512"/>
      <c r="N1744" s="1513"/>
      <c r="O1744" s="17"/>
    </row>
    <row r="1745" spans="2:23" ht="5.0999999999999996" customHeight="1" x14ac:dyDescent="0.25">
      <c r="B1745" s="17"/>
      <c r="C1745" s="900"/>
      <c r="D1745" s="342"/>
      <c r="E1745" s="342"/>
      <c r="F1745" s="342"/>
      <c r="G1745" s="342"/>
      <c r="H1745" s="342"/>
      <c r="I1745" s="342"/>
      <c r="J1745" s="342"/>
      <c r="K1745" s="342"/>
      <c r="L1745" s="342"/>
      <c r="M1745" s="342"/>
      <c r="N1745" s="266"/>
      <c r="O1745" s="17"/>
    </row>
    <row r="1746" spans="2:23" ht="15" customHeight="1" x14ac:dyDescent="0.25">
      <c r="B1746" s="17"/>
      <c r="C1746" s="900"/>
      <c r="D1746" s="1548" t="str">
        <f>EUconst_BMSubinst &amp; ":"</f>
        <v>Sub-installation with product benchmark:</v>
      </c>
      <c r="E1746" s="1512"/>
      <c r="F1746" s="1512"/>
      <c r="G1746" s="1512"/>
      <c r="H1746" s="1549"/>
      <c r="I1746" s="1550" t="str">
        <f>I1693</f>
        <v/>
      </c>
      <c r="J1746" s="1509"/>
      <c r="K1746" s="1509"/>
      <c r="L1746" s="1509"/>
      <c r="M1746" s="1509"/>
      <c r="N1746" s="1551"/>
      <c r="O1746" s="17"/>
    </row>
    <row r="1747" spans="2:23" ht="5.0999999999999996" customHeight="1" x14ac:dyDescent="0.25">
      <c r="B1747" s="17"/>
      <c r="C1747" s="900"/>
      <c r="D1747" s="342"/>
      <c r="E1747" s="342"/>
      <c r="F1747" s="342"/>
      <c r="G1747" s="342"/>
      <c r="H1747" s="342"/>
      <c r="I1747" s="342"/>
      <c r="J1747" s="342"/>
      <c r="K1747" s="342"/>
      <c r="L1747" s="342"/>
      <c r="M1747" s="342"/>
      <c r="N1747" s="266"/>
      <c r="O1747" s="17"/>
    </row>
    <row r="1748" spans="2:23" ht="15" customHeight="1" x14ac:dyDescent="0.25">
      <c r="B1748" s="17"/>
      <c r="C1748" s="900"/>
      <c r="D1748" s="342"/>
      <c r="E1748" s="1439" t="str">
        <f>Translations!$B$714</f>
        <v>Upon entries made below, the attributable emissions are calculated in section K.III.2 of the summary sheet.</v>
      </c>
      <c r="F1748" s="1439"/>
      <c r="G1748" s="1439"/>
      <c r="H1748" s="1439"/>
      <c r="I1748" s="1439"/>
      <c r="J1748" s="1439"/>
      <c r="K1748" s="1439"/>
      <c r="L1748" s="1439"/>
      <c r="M1748" s="1439"/>
      <c r="N1748" s="277"/>
      <c r="O1748" s="17"/>
    </row>
    <row r="1749" spans="2:23" ht="5.0999999999999996" customHeight="1" x14ac:dyDescent="0.25">
      <c r="B1749" s="17"/>
      <c r="C1749" s="900"/>
      <c r="D1749" s="342"/>
      <c r="E1749" s="342"/>
      <c r="F1749" s="342"/>
      <c r="G1749" s="342"/>
      <c r="H1749" s="342"/>
      <c r="I1749" s="342"/>
      <c r="J1749" s="342"/>
      <c r="K1749" s="342"/>
      <c r="L1749" s="342"/>
      <c r="M1749" s="342"/>
      <c r="N1749" s="266"/>
      <c r="O1749" s="17"/>
    </row>
    <row r="1750" spans="2:23" ht="12.75" customHeight="1" x14ac:dyDescent="0.25">
      <c r="B1750" s="17"/>
      <c r="C1750" s="900"/>
      <c r="D1750" s="157" t="s">
        <v>212</v>
      </c>
      <c r="E1750" s="1511" t="str">
        <f>Translations!$B$715</f>
        <v>Directly attributable emissions (DirEm* (MP source streams)) to this sub-installation</v>
      </c>
      <c r="F1750" s="1512"/>
      <c r="G1750" s="1512"/>
      <c r="H1750" s="1512"/>
      <c r="I1750" s="1512"/>
      <c r="J1750" s="1512"/>
      <c r="K1750" s="1512"/>
      <c r="L1750" s="1512"/>
      <c r="M1750" s="1512"/>
      <c r="N1750" s="1513"/>
      <c r="O1750" s="17"/>
    </row>
    <row r="1751" spans="2:23" ht="12.75" customHeight="1" thickBot="1" x14ac:dyDescent="0.3">
      <c r="B1751" s="17"/>
      <c r="C1751" s="900"/>
      <c r="D1751" s="342"/>
      <c r="E1751" s="1552"/>
      <c r="F1751" s="1552"/>
      <c r="G1751" s="1552"/>
      <c r="H1751" s="1552"/>
      <c r="I1751" s="1552"/>
      <c r="J1751" s="1552"/>
      <c r="K1751" s="1552"/>
      <c r="L1751" s="1552"/>
      <c r="M1751" s="1552"/>
      <c r="N1751" s="1553"/>
      <c r="O1751" s="17"/>
    </row>
    <row r="1752" spans="2:23" ht="12.75" customHeight="1" x14ac:dyDescent="0.25">
      <c r="B1752" s="17"/>
      <c r="C1752" s="900"/>
      <c r="D1752" s="157"/>
      <c r="E1752" s="1522" t="str">
        <f>Translations!$B$725</f>
        <v>Directly attributable emissions (DirEm*)</v>
      </c>
      <c r="F1752" s="1523"/>
      <c r="G1752" s="1523"/>
      <c r="H1752" s="152" t="str">
        <f>EUconst_Unit</f>
        <v>Unit</v>
      </c>
      <c r="I1752" s="153">
        <f>I$1882</f>
        <v>2019</v>
      </c>
      <c r="J1752" s="153">
        <f>J$1882</f>
        <v>2020</v>
      </c>
      <c r="K1752" s="153">
        <f>K$1882</f>
        <v>2021</v>
      </c>
      <c r="L1752" s="153">
        <f>L$1882</f>
        <v>2022</v>
      </c>
      <c r="M1752" s="153">
        <f>M$1882</f>
        <v>2023</v>
      </c>
      <c r="N1752" s="266"/>
      <c r="O1752" s="17"/>
      <c r="R1752" s="459"/>
      <c r="S1752" s="326">
        <f>I1752</f>
        <v>2019</v>
      </c>
      <c r="T1752" s="326">
        <f>J1752</f>
        <v>2020</v>
      </c>
      <c r="U1752" s="326">
        <f>K1752</f>
        <v>2021</v>
      </c>
      <c r="V1752" s="326">
        <f>L1752</f>
        <v>2022</v>
      </c>
      <c r="W1752" s="327">
        <f>M1752</f>
        <v>2023</v>
      </c>
    </row>
    <row r="1753" spans="2:23" ht="12.75" customHeight="1" thickBot="1" x14ac:dyDescent="0.3">
      <c r="B1753" s="17"/>
      <c r="C1753" s="900"/>
      <c r="D1753" s="342"/>
      <c r="E1753" s="1510" t="str">
        <f>I1693</f>
        <v/>
      </c>
      <c r="F1753" s="1510"/>
      <c r="G1753" s="1510"/>
      <c r="H1753" s="154" t="str">
        <f>EUconst_tCO2epa</f>
        <v>t CO2e/year</v>
      </c>
      <c r="I1753" s="293"/>
      <c r="J1753" s="293"/>
      <c r="K1753" s="293"/>
      <c r="L1753" s="293"/>
      <c r="M1753" s="293"/>
      <c r="N1753" s="266"/>
      <c r="O1753" s="17"/>
      <c r="P1753" s="63" t="str">
        <f>EUconst_CNTR_Emissions &amp; I1693</f>
        <v>DirEmissions_</v>
      </c>
      <c r="R1753" s="460" t="str">
        <f>EUconst_CNTR_AttributedEmissions &amp; I1693</f>
        <v>AttrEmissions_</v>
      </c>
      <c r="S1753" s="389" t="str">
        <f>IF(S1693,SUM(I1753),"")</f>
        <v/>
      </c>
      <c r="T1753" s="389" t="str">
        <f>IF(T1693,SUM(J1753),"")</f>
        <v/>
      </c>
      <c r="U1753" s="389" t="str">
        <f>IF(U1693,SUM(K1753),"")</f>
        <v/>
      </c>
      <c r="V1753" s="389" t="str">
        <f>IF(V1693,SUM(L1753),"")</f>
        <v/>
      </c>
      <c r="W1753" s="390" t="str">
        <f>IF(W1693,SUM(M1753),"")</f>
        <v/>
      </c>
    </row>
    <row r="1754" spans="2:23" ht="12.75" customHeight="1" x14ac:dyDescent="0.25">
      <c r="B1754" s="17"/>
      <c r="C1754" s="900"/>
      <c r="D1754" s="342"/>
      <c r="E1754" s="342"/>
      <c r="F1754" s="342"/>
      <c r="G1754" s="342"/>
      <c r="H1754" s="342"/>
      <c r="I1754" s="342"/>
      <c r="J1754" s="342"/>
      <c r="K1754" s="342"/>
      <c r="L1754" s="342"/>
      <c r="M1754" s="342"/>
      <c r="N1754" s="266"/>
      <c r="O1754" s="17"/>
    </row>
    <row r="1755" spans="2:23" ht="12.75" customHeight="1" x14ac:dyDescent="0.25">
      <c r="B1755" s="17"/>
      <c r="C1755" s="900"/>
      <c r="D1755" s="157" t="s">
        <v>218</v>
      </c>
      <c r="E1755" s="1529" t="str">
        <f>Translations!$B$726</f>
        <v>Fuel input to this sub-installation and relevant emission factor</v>
      </c>
      <c r="F1755" s="1529"/>
      <c r="G1755" s="1529"/>
      <c r="H1755" s="1529"/>
      <c r="I1755" s="1529"/>
      <c r="J1755" s="1529"/>
      <c r="K1755" s="1529"/>
      <c r="L1755" s="1529"/>
      <c r="M1755" s="1529"/>
      <c r="N1755" s="1534"/>
      <c r="O1755" s="17"/>
    </row>
    <row r="1756" spans="2:23" ht="12.75" customHeight="1" x14ac:dyDescent="0.25">
      <c r="B1756" s="17"/>
      <c r="C1756" s="900"/>
      <c r="D1756" s="157"/>
      <c r="E1756" s="1522"/>
      <c r="F1756" s="1523"/>
      <c r="G1756" s="1523"/>
      <c r="H1756" s="152" t="str">
        <f>EUconst_Unit</f>
        <v>Unit</v>
      </c>
      <c r="I1756" s="153">
        <f>I$1882</f>
        <v>2019</v>
      </c>
      <c r="J1756" s="153">
        <f>J$1882</f>
        <v>2020</v>
      </c>
      <c r="K1756" s="153">
        <f>K$1882</f>
        <v>2021</v>
      </c>
      <c r="L1756" s="153">
        <f>L$1882</f>
        <v>2022</v>
      </c>
      <c r="M1756" s="153">
        <f>M$1882</f>
        <v>2023</v>
      </c>
      <c r="N1756" s="266"/>
      <c r="O1756" s="17"/>
    </row>
    <row r="1757" spans="2:23" ht="12.75" customHeight="1" x14ac:dyDescent="0.25">
      <c r="B1757" s="17"/>
      <c r="C1757" s="900"/>
      <c r="D1757" s="193" t="s">
        <v>206</v>
      </c>
      <c r="E1757" s="1528" t="str">
        <f>Translations!$B$731</f>
        <v>Fuel input</v>
      </c>
      <c r="F1757" s="1528"/>
      <c r="G1757" s="1528"/>
      <c r="H1757" s="154" t="str">
        <f>EUconst_TJpa</f>
        <v>TJ / year</v>
      </c>
      <c r="I1757" s="293"/>
      <c r="J1757" s="293"/>
      <c r="K1757" s="293"/>
      <c r="L1757" s="293"/>
      <c r="M1757" s="293"/>
      <c r="N1757" s="277"/>
      <c r="O1757" s="17"/>
      <c r="P1757" s="63" t="str">
        <f>EUconst_CNTR_FuelInput &amp; I1693</f>
        <v>FuelInput_</v>
      </c>
    </row>
    <row r="1758" spans="2:23" ht="12.75" customHeight="1" x14ac:dyDescent="0.25">
      <c r="B1758" s="17"/>
      <c r="C1758" s="900"/>
      <c r="D1758" s="193" t="s">
        <v>208</v>
      </c>
      <c r="E1758" s="1523" t="str">
        <f>Translations!$B$732</f>
        <v>Weighted emission factor</v>
      </c>
      <c r="F1758" s="1523"/>
      <c r="G1758" s="1523"/>
      <c r="H1758" s="904" t="str">
        <f>EUconst_tCO2pTJ</f>
        <v>t CO2 / TJ</v>
      </c>
      <c r="I1758" s="865"/>
      <c r="J1758" s="865"/>
      <c r="K1758" s="865"/>
      <c r="L1758" s="865"/>
      <c r="M1758" s="865"/>
      <c r="N1758" s="266"/>
      <c r="O1758" s="17"/>
      <c r="P1758" s="63" t="str">
        <f>EUconst_CNTR_FuelEF &amp; I1693</f>
        <v>FuelEF_</v>
      </c>
    </row>
    <row r="1759" spans="2:23" ht="12.75" customHeight="1" x14ac:dyDescent="0.25">
      <c r="B1759" s="17"/>
      <c r="C1759" s="900"/>
      <c r="D1759" s="342"/>
      <c r="E1759" s="342"/>
      <c r="F1759" s="342"/>
      <c r="G1759" s="342"/>
      <c r="H1759" s="342"/>
      <c r="I1759" s="342"/>
      <c r="J1759" s="342"/>
      <c r="K1759" s="342"/>
      <c r="L1759" s="342"/>
      <c r="M1759" s="342"/>
      <c r="N1759" s="266"/>
      <c r="O1759" s="17"/>
    </row>
    <row r="1760" spans="2:23" ht="12.75" customHeight="1" thickBot="1" x14ac:dyDescent="0.3">
      <c r="B1760" s="17"/>
      <c r="C1760" s="900"/>
      <c r="D1760" s="157" t="s">
        <v>225</v>
      </c>
      <c r="E1760" s="1529" t="str">
        <f>Translations!$B$733</f>
        <v>Further internal source streams imported to or exported from this sub-installation</v>
      </c>
      <c r="F1760" s="1529"/>
      <c r="G1760" s="1529"/>
      <c r="H1760" s="1529"/>
      <c r="I1760" s="1529"/>
      <c r="J1760" s="1529"/>
      <c r="K1760" s="1529"/>
      <c r="L1760" s="1529"/>
      <c r="M1760" s="1529"/>
      <c r="N1760" s="1534"/>
      <c r="O1760" s="17"/>
    </row>
    <row r="1761" spans="2:27" ht="12.75" customHeight="1" thickBot="1" x14ac:dyDescent="0.3">
      <c r="B1761" s="17"/>
      <c r="C1761" s="900"/>
      <c r="D1761" s="193" t="s">
        <v>206</v>
      </c>
      <c r="E1761" s="1514" t="str">
        <f>Translations!$B$739</f>
        <v>Are further imported or exported internal source streams relevant for this sub-installation?</v>
      </c>
      <c r="F1761" s="1514"/>
      <c r="G1761" s="1514"/>
      <c r="H1761" s="1514"/>
      <c r="I1761" s="1514"/>
      <c r="J1761" s="1514"/>
      <c r="K1761" s="1515"/>
      <c r="L1761" s="194"/>
      <c r="M1761" s="762"/>
      <c r="N1761" s="763"/>
      <c r="O1761" s="17"/>
      <c r="W1761" s="288" t="s">
        <v>418</v>
      </c>
      <c r="X1761" s="215" t="b">
        <f>IF(AND(I1693&lt;&gt;"",ISBLANK(L1761)),EUconst_Error&amp;"BM"&amp;C1693,FALSE)</f>
        <v>0</v>
      </c>
    </row>
    <row r="1762" spans="2:27" ht="5.0999999999999996" customHeight="1" thickBot="1" x14ac:dyDescent="0.3">
      <c r="B1762" s="17"/>
      <c r="C1762" s="900"/>
      <c r="D1762" s="342"/>
      <c r="E1762" s="1533"/>
      <c r="F1762" s="1512"/>
      <c r="G1762" s="1512"/>
      <c r="H1762" s="1512"/>
      <c r="I1762" s="1512"/>
      <c r="J1762" s="1512"/>
      <c r="K1762" s="1512"/>
      <c r="L1762" s="1512"/>
      <c r="M1762" s="1512"/>
      <c r="N1762" s="1513"/>
      <c r="O1762" s="17"/>
      <c r="AA1762" s="145" t="s">
        <v>396</v>
      </c>
    </row>
    <row r="1763" spans="2:27" ht="12.75" customHeight="1" x14ac:dyDescent="0.25">
      <c r="B1763" s="17"/>
      <c r="C1763" s="900"/>
      <c r="D1763" s="193" t="s">
        <v>208</v>
      </c>
      <c r="E1763" s="1529" t="str">
        <f>Translations!$B$741</f>
        <v>Name of further source streams - 1:</v>
      </c>
      <c r="F1763" s="1529"/>
      <c r="G1763" s="1529"/>
      <c r="H1763" s="1529"/>
      <c r="I1763" s="1530"/>
      <c r="J1763" s="1531"/>
      <c r="K1763" s="1531"/>
      <c r="L1763" s="1531"/>
      <c r="M1763" s="1532"/>
      <c r="N1763" s="266"/>
      <c r="O1763" s="17"/>
      <c r="AA1763" s="316" t="b">
        <f>IF(I1693&lt;&gt;"",AND(L1761&lt;&gt;"",L1761=FALSE),FALSE)</f>
        <v>0</v>
      </c>
    </row>
    <row r="1764" spans="2:27" ht="5.0999999999999996" customHeight="1" x14ac:dyDescent="0.25">
      <c r="B1764" s="17"/>
      <c r="C1764" s="900"/>
      <c r="D1764" s="342"/>
      <c r="E1764" s="902"/>
      <c r="F1764" s="762"/>
      <c r="G1764" s="762"/>
      <c r="H1764" s="762"/>
      <c r="I1764" s="762"/>
      <c r="J1764" s="762"/>
      <c r="K1764" s="762"/>
      <c r="L1764" s="762"/>
      <c r="M1764" s="762"/>
      <c r="N1764" s="763"/>
      <c r="O1764" s="17"/>
      <c r="AA1764" s="815"/>
    </row>
    <row r="1765" spans="2:27" ht="12.75" customHeight="1" x14ac:dyDescent="0.25">
      <c r="B1765" s="17"/>
      <c r="C1765" s="900"/>
      <c r="D1765" s="342"/>
      <c r="E1765" s="1522" t="str">
        <f>Translations!$B$742</f>
        <v>Further source streams - 1</v>
      </c>
      <c r="F1765" s="1523"/>
      <c r="G1765" s="1523"/>
      <c r="H1765" s="152" t="str">
        <f>EUconst_Unit</f>
        <v>Unit</v>
      </c>
      <c r="I1765" s="153">
        <f>I$1882</f>
        <v>2019</v>
      </c>
      <c r="J1765" s="153">
        <f>J$1882</f>
        <v>2020</v>
      </c>
      <c r="K1765" s="153">
        <f>K$1882</f>
        <v>2021</v>
      </c>
      <c r="L1765" s="153">
        <f>L$1882</f>
        <v>2022</v>
      </c>
      <c r="M1765" s="153">
        <f>M$1882</f>
        <v>2023</v>
      </c>
      <c r="N1765" s="266"/>
      <c r="O1765" s="17"/>
      <c r="AA1765" s="815"/>
    </row>
    <row r="1766" spans="2:27" ht="12.75" customHeight="1" x14ac:dyDescent="0.25">
      <c r="B1766" s="17"/>
      <c r="C1766" s="900"/>
      <c r="D1766" s="193" t="s">
        <v>209</v>
      </c>
      <c r="E1766" s="1526" t="str">
        <f>Translations!$B$743</f>
        <v>Amount imported or exported</v>
      </c>
      <c r="F1766" s="1526"/>
      <c r="G1766" s="1526"/>
      <c r="H1766" s="939" t="str">
        <f>EUconst_tpa</f>
        <v>t / year</v>
      </c>
      <c r="I1766" s="825"/>
      <c r="J1766" s="825"/>
      <c r="K1766" s="825"/>
      <c r="L1766" s="825"/>
      <c r="M1766" s="825"/>
      <c r="N1766" s="266"/>
      <c r="O1766" s="17"/>
      <c r="AA1766" s="285" t="b">
        <f>AA1763</f>
        <v>0</v>
      </c>
    </row>
    <row r="1767" spans="2:27" ht="12.75" customHeight="1" x14ac:dyDescent="0.25">
      <c r="B1767" s="17"/>
      <c r="C1767" s="900"/>
      <c r="D1767" s="193" t="s">
        <v>210</v>
      </c>
      <c r="E1767" s="1540" t="str">
        <f>Translations!$B$744</f>
        <v>Net calorific value (NCV), if applicable</v>
      </c>
      <c r="F1767" s="1540"/>
      <c r="G1767" s="1540"/>
      <c r="H1767" s="940" t="str">
        <f>EUconst_GJpt</f>
        <v>GJ / t</v>
      </c>
      <c r="I1767" s="296"/>
      <c r="J1767" s="296"/>
      <c r="K1767" s="296"/>
      <c r="L1767" s="296"/>
      <c r="M1767" s="296"/>
      <c r="N1767" s="266"/>
      <c r="O1767" s="17"/>
      <c r="AA1767" s="285" t="b">
        <f>AA1766</f>
        <v>0</v>
      </c>
    </row>
    <row r="1768" spans="2:27" ht="12.75" customHeight="1" thickBot="1" x14ac:dyDescent="0.3">
      <c r="B1768" s="17"/>
      <c r="C1768" s="900"/>
      <c r="D1768" s="193" t="s">
        <v>220</v>
      </c>
      <c r="E1768" s="1540" t="str">
        <f>Translations!$B$745</f>
        <v>Carbon content (mass %)</v>
      </c>
      <c r="F1768" s="1540"/>
      <c r="G1768" s="1540"/>
      <c r="H1768" s="941" t="s">
        <v>419</v>
      </c>
      <c r="I1768" s="296"/>
      <c r="J1768" s="296"/>
      <c r="K1768" s="296"/>
      <c r="L1768" s="296"/>
      <c r="M1768" s="296"/>
      <c r="N1768" s="266"/>
      <c r="O1768" s="17"/>
      <c r="AA1768" s="285" t="b">
        <f>AA1767</f>
        <v>0</v>
      </c>
    </row>
    <row r="1769" spans="2:27" ht="12.75" customHeight="1" x14ac:dyDescent="0.25">
      <c r="B1769" s="17"/>
      <c r="C1769" s="900"/>
      <c r="D1769" s="193" t="s">
        <v>221</v>
      </c>
      <c r="E1769" s="1527" t="str">
        <f>Translations!$B$746</f>
        <v>Biomass content (as fraction of carbon)</v>
      </c>
      <c r="F1769" s="1527"/>
      <c r="G1769" s="1527"/>
      <c r="H1769" s="343" t="s">
        <v>419</v>
      </c>
      <c r="I1769" s="826"/>
      <c r="J1769" s="826"/>
      <c r="K1769" s="826"/>
      <c r="L1769" s="826"/>
      <c r="M1769" s="826"/>
      <c r="N1769" s="266"/>
      <c r="O1769" s="17"/>
      <c r="R1769" s="459"/>
      <c r="S1769" s="326">
        <f>I1765</f>
        <v>2019</v>
      </c>
      <c r="T1769" s="326">
        <f>J1765</f>
        <v>2020</v>
      </c>
      <c r="U1769" s="326">
        <f>K1765</f>
        <v>2021</v>
      </c>
      <c r="V1769" s="326">
        <f>L1765</f>
        <v>2022</v>
      </c>
      <c r="W1769" s="327">
        <f>M1765</f>
        <v>2023</v>
      </c>
      <c r="AA1769" s="285" t="b">
        <f>AA1768</f>
        <v>0</v>
      </c>
    </row>
    <row r="1770" spans="2:27" ht="12.75" customHeight="1" thickBot="1" x14ac:dyDescent="0.3">
      <c r="B1770" s="17"/>
      <c r="C1770" s="900"/>
      <c r="D1770" s="193" t="s">
        <v>222</v>
      </c>
      <c r="E1770" s="1526" t="str">
        <f>Translations!$B$747</f>
        <v>Emissions (fossil, calculated)</v>
      </c>
      <c r="F1770" s="1526"/>
      <c r="G1770" s="1526"/>
      <c r="H1770" s="942" t="str">
        <f>EUconst_tCO2pa</f>
        <v>t CO2 / year</v>
      </c>
      <c r="I1770" s="943" t="str">
        <f>IF(AND(COUNT(I1766:I1769)&gt;0,I1773=""),3.664*I1766*(I1768/100)*(1-I1769/100),"")</f>
        <v/>
      </c>
      <c r="J1770" s="943" t="str">
        <f>IF(AND(COUNT(J1766:J1769)&gt;0,J1773=""),3.664*J1766*(J1768/100)*(1-J1769/100),"")</f>
        <v/>
      </c>
      <c r="K1770" s="943" t="str">
        <f>IF(AND(COUNT(K1766:K1769)&gt;0,K1773=""),3.664*K1766*(K1768/100)*(1-K1769/100),"")</f>
        <v/>
      </c>
      <c r="L1770" s="943" t="str">
        <f>IF(AND(COUNT(L1766:L1769)&gt;0,L1773=""),3.664*L1766*(L1768/100)*(1-L1769/100),"")</f>
        <v/>
      </c>
      <c r="M1770" s="943" t="str">
        <f>IF(AND(COUNT(M1766:M1769)&gt;0,M1773=""),3.664*M1766*(M1768/100)*(1-M1769/100),"")</f>
        <v/>
      </c>
      <c r="N1770" s="266"/>
      <c r="O1770" s="17"/>
      <c r="P1770" s="63" t="str">
        <f>EUconst_CNTR_EmissionsIntSource1 &amp; I1693</f>
        <v>EmInternalSource1_</v>
      </c>
      <c r="R1770" s="460" t="str">
        <f>EUconst_CNTR_AttributedEmissions &amp; I1693</f>
        <v>AttrEmissions_</v>
      </c>
      <c r="S1770" s="389" t="str">
        <f>IF(S1693,SUM(I1770),"")</f>
        <v/>
      </c>
      <c r="T1770" s="389" t="str">
        <f>IF(T1693,SUM(J1770),"")</f>
        <v/>
      </c>
      <c r="U1770" s="389" t="str">
        <f>IF(U1693,SUM(K1770),"")</f>
        <v/>
      </c>
      <c r="V1770" s="389" t="str">
        <f>IF(V1693,SUM(L1770),"")</f>
        <v/>
      </c>
      <c r="W1770" s="390" t="str">
        <f>IF(W1693,SUM(M1770),"")</f>
        <v/>
      </c>
      <c r="AA1770" s="815"/>
    </row>
    <row r="1771" spans="2:27" ht="12.75" customHeight="1" x14ac:dyDescent="0.25">
      <c r="B1771" s="17"/>
      <c r="C1771" s="900"/>
      <c r="D1771" s="193" t="s">
        <v>223</v>
      </c>
      <c r="E1771" s="1540" t="str">
        <f>Translations!$B$748</f>
        <v>Memo-Item: Biomass emissions</v>
      </c>
      <c r="F1771" s="1540"/>
      <c r="G1771" s="1540"/>
      <c r="H1771" s="944" t="str">
        <f>EUconst_tCO2pa</f>
        <v>t CO2 / year</v>
      </c>
      <c r="I1771" s="945" t="str">
        <f>IF(ISNUMBER(I1770),3.664*I1766*(I1768/100)*(I1769/100),"")</f>
        <v/>
      </c>
      <c r="J1771" s="945" t="str">
        <f>IF(ISNUMBER(J1770),3.664*J1766*(J1768/100)*(J1769/100),"")</f>
        <v/>
      </c>
      <c r="K1771" s="945" t="str">
        <f>IF(ISNUMBER(K1770),3.664*K1766*(K1768/100)*(K1769/100),"")</f>
        <v/>
      </c>
      <c r="L1771" s="945" t="str">
        <f>IF(ISNUMBER(L1770),3.664*L1766*(L1768/100)*(L1769/100),"")</f>
        <v/>
      </c>
      <c r="M1771" s="945" t="str">
        <f>IF(ISNUMBER(M1770),3.664*M1766*(M1768/100)*(M1769/100),"")</f>
        <v/>
      </c>
      <c r="N1771" s="266"/>
      <c r="O1771" s="17"/>
      <c r="AA1771" s="815"/>
    </row>
    <row r="1772" spans="2:27" ht="12.75" customHeight="1" x14ac:dyDescent="0.25">
      <c r="B1772" s="17"/>
      <c r="C1772" s="900"/>
      <c r="D1772" s="193" t="s">
        <v>224</v>
      </c>
      <c r="E1772" s="1527" t="str">
        <f>Translations!$B$749</f>
        <v>Energy content (calculated)</v>
      </c>
      <c r="F1772" s="1527"/>
      <c r="G1772" s="1527"/>
      <c r="H1772" s="946" t="str">
        <f>EUconst_TJpa</f>
        <v>TJ / year</v>
      </c>
      <c r="I1772" s="841" t="str">
        <f>IF(COUNT(I1766:I1767)=2,I1766*I1767/1000,"")</f>
        <v/>
      </c>
      <c r="J1772" s="841" t="str">
        <f>IF(COUNT(J1766:J1767)=2,J1766*J1767/1000,"")</f>
        <v/>
      </c>
      <c r="K1772" s="841" t="str">
        <f>IF(COUNT(K1766:K1767)=2,K1766*K1767/1000,"")</f>
        <v/>
      </c>
      <c r="L1772" s="841" t="str">
        <f>IF(COUNT(L1766:L1767)=2,L1766*L1767/1000,"")</f>
        <v/>
      </c>
      <c r="M1772" s="841" t="str">
        <f>IF(COUNT(M1766:M1767)=2,M1766*M1767/1000,"")</f>
        <v/>
      </c>
      <c r="N1772" s="266"/>
      <c r="O1772" s="17"/>
      <c r="AA1772" s="815"/>
    </row>
    <row r="1773" spans="2:27" ht="12.75" customHeight="1" x14ac:dyDescent="0.25">
      <c r="B1773" s="17"/>
      <c r="C1773" s="900"/>
      <c r="D1773" s="193" t="s">
        <v>345</v>
      </c>
      <c r="E1773" s="1541" t="str">
        <f>Translations!$B$750</f>
        <v>Error messages (emissions)</v>
      </c>
      <c r="F1773" s="1541"/>
      <c r="G1773" s="1541"/>
      <c r="H1773" s="947"/>
      <c r="I1773" s="267" t="str">
        <f>IF(COUNT(I1766,I1768:I1769)&gt;0,IF(COUNTIF(I1767:I1769,"&lt;0")&gt;0,EUconst_Negative,IF(COUNT(I1766,I1768:I1769)&lt;3,EUconst_Incomplete,"")),"")</f>
        <v/>
      </c>
      <c r="J1773" s="267" t="str">
        <f>IF(COUNT(J1766,J1768:J1769)&gt;0,IF(COUNTIF(J1767:J1769,"&lt;0")&gt;0,EUconst_Negative,IF(COUNT(J1766,J1768:J1769)&lt;3,EUconst_Incomplete,"")),"")</f>
        <v/>
      </c>
      <c r="K1773" s="267" t="str">
        <f>IF(COUNT(K1766,K1768:K1769)&gt;0,IF(COUNTIF(K1767:K1769,"&lt;0")&gt;0,EUconst_Negative,IF(COUNT(K1766,K1768:K1769)&lt;3,EUconst_Incomplete,"")),"")</f>
        <v/>
      </c>
      <c r="L1773" s="267" t="str">
        <f>IF(COUNT(L1766,L1768:L1769)&gt;0,IF(COUNTIF(L1767:L1769,"&lt;0")&gt;0,EUconst_Negative,IF(COUNT(L1766,L1768:L1769)&lt;3,EUconst_Incomplete,"")),"")</f>
        <v/>
      </c>
      <c r="M1773" s="267" t="str">
        <f>IF(COUNT(M1766,M1768:M1769)&gt;0,IF(COUNTIF(M1767:M1769,"&lt;0")&gt;0,EUconst_Negative,IF(COUNT(M1766,M1768:M1769)&lt;3,EUconst_Incomplete,"")),"")</f>
        <v/>
      </c>
      <c r="N1773" s="266"/>
      <c r="O1773" s="17"/>
      <c r="AA1773" s="815"/>
    </row>
    <row r="1774" spans="2:27" ht="12.75" customHeight="1" x14ac:dyDescent="0.25">
      <c r="B1774" s="17"/>
      <c r="C1774" s="900"/>
      <c r="D1774" s="193"/>
      <c r="E1774" s="342"/>
      <c r="F1774" s="342"/>
      <c r="G1774" s="342"/>
      <c r="H1774" s="342"/>
      <c r="I1774" s="342"/>
      <c r="J1774" s="342"/>
      <c r="K1774" s="342"/>
      <c r="L1774" s="342"/>
      <c r="M1774" s="342"/>
      <c r="N1774" s="266"/>
      <c r="O1774" s="17"/>
      <c r="AA1774" s="815"/>
    </row>
    <row r="1775" spans="2:27" ht="12.75" customHeight="1" x14ac:dyDescent="0.25">
      <c r="B1775" s="17"/>
      <c r="C1775" s="900"/>
      <c r="D1775" s="193" t="s">
        <v>346</v>
      </c>
      <c r="E1775" s="1529" t="str">
        <f>Translations!$B$751</f>
        <v>Name of further source streams - 2:</v>
      </c>
      <c r="F1775" s="1529"/>
      <c r="G1775" s="1529"/>
      <c r="H1775" s="1529"/>
      <c r="I1775" s="1530"/>
      <c r="J1775" s="1531"/>
      <c r="K1775" s="1531"/>
      <c r="L1775" s="1531"/>
      <c r="M1775" s="1532"/>
      <c r="N1775" s="763"/>
      <c r="O1775" s="17"/>
      <c r="AA1775" s="285" t="b">
        <f>AA1763</f>
        <v>0</v>
      </c>
    </row>
    <row r="1776" spans="2:27" ht="5.0999999999999996" customHeight="1" x14ac:dyDescent="0.25">
      <c r="B1776" s="17"/>
      <c r="C1776" s="900"/>
      <c r="D1776" s="342"/>
      <c r="E1776" s="902"/>
      <c r="F1776" s="762"/>
      <c r="G1776" s="762"/>
      <c r="H1776" s="762"/>
      <c r="I1776" s="762"/>
      <c r="J1776" s="762"/>
      <c r="K1776" s="762"/>
      <c r="L1776" s="762"/>
      <c r="M1776" s="762"/>
      <c r="N1776" s="763"/>
      <c r="O1776" s="17"/>
      <c r="AA1776" s="815"/>
    </row>
    <row r="1777" spans="2:27" ht="12.75" customHeight="1" x14ac:dyDescent="0.25">
      <c r="B1777" s="17"/>
      <c r="C1777" s="900"/>
      <c r="D1777" s="193"/>
      <c r="E1777" s="1522" t="str">
        <f>Translations!$B$752</f>
        <v>Further source streams - 2</v>
      </c>
      <c r="F1777" s="1523"/>
      <c r="G1777" s="1523"/>
      <c r="H1777" s="152" t="str">
        <f>EUconst_Unit</f>
        <v>Unit</v>
      </c>
      <c r="I1777" s="153">
        <f>I$1882</f>
        <v>2019</v>
      </c>
      <c r="J1777" s="153">
        <f>J$1882</f>
        <v>2020</v>
      </c>
      <c r="K1777" s="153">
        <f>K$1882</f>
        <v>2021</v>
      </c>
      <c r="L1777" s="153">
        <f>L$1882</f>
        <v>2022</v>
      </c>
      <c r="M1777" s="153">
        <f>M$1882</f>
        <v>2023</v>
      </c>
      <c r="N1777" s="266"/>
      <c r="O1777" s="17"/>
      <c r="AA1777" s="815"/>
    </row>
    <row r="1778" spans="2:27" ht="12.75" customHeight="1" x14ac:dyDescent="0.25">
      <c r="B1778" s="17"/>
      <c r="C1778" s="900"/>
      <c r="D1778" s="193" t="s">
        <v>347</v>
      </c>
      <c r="E1778" s="1526" t="str">
        <f>Translations!$B$743</f>
        <v>Amount imported or exported</v>
      </c>
      <c r="F1778" s="1526"/>
      <c r="G1778" s="1526"/>
      <c r="H1778" s="939" t="str">
        <f>EUconst_tpa</f>
        <v>t / year</v>
      </c>
      <c r="I1778" s="825"/>
      <c r="J1778" s="825"/>
      <c r="K1778" s="825"/>
      <c r="L1778" s="825"/>
      <c r="M1778" s="825"/>
      <c r="N1778" s="266"/>
      <c r="O1778" s="17"/>
      <c r="AA1778" s="285" t="b">
        <f>AA1775</f>
        <v>0</v>
      </c>
    </row>
    <row r="1779" spans="2:27" ht="12.75" customHeight="1" x14ac:dyDescent="0.25">
      <c r="B1779" s="17"/>
      <c r="C1779" s="900"/>
      <c r="D1779" s="193" t="s">
        <v>355</v>
      </c>
      <c r="E1779" s="1540" t="str">
        <f>Translations!$B$744</f>
        <v>Net calorific value (NCV), if applicable</v>
      </c>
      <c r="F1779" s="1540"/>
      <c r="G1779" s="1540"/>
      <c r="H1779" s="940" t="str">
        <f>EUconst_GJpt</f>
        <v>GJ / t</v>
      </c>
      <c r="I1779" s="296"/>
      <c r="J1779" s="296"/>
      <c r="K1779" s="296"/>
      <c r="L1779" s="296"/>
      <c r="M1779" s="296"/>
      <c r="N1779" s="266"/>
      <c r="O1779" s="17"/>
      <c r="AA1779" s="285" t="b">
        <f>AA1778</f>
        <v>0</v>
      </c>
    </row>
    <row r="1780" spans="2:27" ht="12.75" customHeight="1" thickBot="1" x14ac:dyDescent="0.3">
      <c r="B1780" s="17"/>
      <c r="C1780" s="900"/>
      <c r="D1780" s="193" t="s">
        <v>356</v>
      </c>
      <c r="E1780" s="1540" t="str">
        <f>Translations!$B$745</f>
        <v>Carbon content (mass %)</v>
      </c>
      <c r="F1780" s="1540"/>
      <c r="G1780" s="1540"/>
      <c r="H1780" s="941" t="s">
        <v>419</v>
      </c>
      <c r="I1780" s="296"/>
      <c r="J1780" s="296"/>
      <c r="K1780" s="296"/>
      <c r="L1780" s="296"/>
      <c r="M1780" s="296"/>
      <c r="N1780" s="266"/>
      <c r="O1780" s="17"/>
      <c r="AA1780" s="285" t="b">
        <f>AA1779</f>
        <v>0</v>
      </c>
    </row>
    <row r="1781" spans="2:27" ht="12.75" customHeight="1" thickBot="1" x14ac:dyDescent="0.3">
      <c r="B1781" s="17"/>
      <c r="C1781" s="900"/>
      <c r="D1781" s="193" t="s">
        <v>420</v>
      </c>
      <c r="E1781" s="1527" t="str">
        <f>Translations!$B$746</f>
        <v>Biomass content (as fraction of carbon)</v>
      </c>
      <c r="F1781" s="1527"/>
      <c r="G1781" s="1527"/>
      <c r="H1781" s="343" t="s">
        <v>419</v>
      </c>
      <c r="I1781" s="826"/>
      <c r="J1781" s="826"/>
      <c r="K1781" s="826"/>
      <c r="L1781" s="826"/>
      <c r="M1781" s="826"/>
      <c r="N1781" s="266"/>
      <c r="O1781" s="17"/>
      <c r="R1781" s="459"/>
      <c r="S1781" s="326">
        <f>I1777</f>
        <v>2019</v>
      </c>
      <c r="T1781" s="326">
        <f>J1777</f>
        <v>2020</v>
      </c>
      <c r="U1781" s="326">
        <f>K1777</f>
        <v>2021</v>
      </c>
      <c r="V1781" s="326">
        <f>L1777</f>
        <v>2022</v>
      </c>
      <c r="W1781" s="327">
        <f>M1777</f>
        <v>2023</v>
      </c>
      <c r="AA1781" s="286" t="b">
        <f>AA1780</f>
        <v>0</v>
      </c>
    </row>
    <row r="1782" spans="2:27" ht="12.75" customHeight="1" thickBot="1" x14ac:dyDescent="0.3">
      <c r="B1782" s="17"/>
      <c r="C1782" s="900"/>
      <c r="D1782" s="193" t="s">
        <v>421</v>
      </c>
      <c r="E1782" s="1526" t="str">
        <f>Translations!$B$747</f>
        <v>Emissions (fossil, calculated)</v>
      </c>
      <c r="F1782" s="1526"/>
      <c r="G1782" s="1526"/>
      <c r="H1782" s="942" t="str">
        <f>EUconst_tCO2pa</f>
        <v>t CO2 / year</v>
      </c>
      <c r="I1782" s="943" t="str">
        <f>IF(AND(COUNT(I1778:I1781)&gt;0,I1785=""),3.664*I1778*(I1780/100)*(1-I1781/100),"")</f>
        <v/>
      </c>
      <c r="J1782" s="943" t="str">
        <f>IF(AND(COUNT(J1778:J1781)&gt;0,J1785=""),3.664*J1778*(J1780/100)*(1-J1781/100),"")</f>
        <v/>
      </c>
      <c r="K1782" s="943" t="str">
        <f>IF(AND(COUNT(K1778:K1781)&gt;0,K1785=""),3.664*K1778*(K1780/100)*(1-K1781/100),"")</f>
        <v/>
      </c>
      <c r="L1782" s="943" t="str">
        <f>IF(AND(COUNT(L1778:L1781)&gt;0,L1785=""),3.664*L1778*(L1780/100)*(1-L1781/100),"")</f>
        <v/>
      </c>
      <c r="M1782" s="943" t="str">
        <f>IF(AND(COUNT(M1778:M1781)&gt;0,M1785=""),3.664*M1778*(M1780/100)*(1-M1781/100),"")</f>
        <v/>
      </c>
      <c r="N1782" s="266"/>
      <c r="O1782" s="17"/>
      <c r="P1782" s="63" t="str">
        <f>EUconst_CNTR_EmissionsIntSource2 &amp; I1693</f>
        <v>EmInternalSource2_</v>
      </c>
      <c r="R1782" s="460" t="str">
        <f>EUconst_CNTR_AttributedEmissions &amp; I1693</f>
        <v>AttrEmissions_</v>
      </c>
      <c r="S1782" s="389" t="str">
        <f>IF(S1693,SUM(I1782),"")</f>
        <v/>
      </c>
      <c r="T1782" s="389" t="str">
        <f>IF(T1693,SUM(J1782),"")</f>
        <v/>
      </c>
      <c r="U1782" s="389" t="str">
        <f>IF(U1693,SUM(K1782),"")</f>
        <v/>
      </c>
      <c r="V1782" s="389" t="str">
        <f>IF(V1693,SUM(L1782),"")</f>
        <v/>
      </c>
      <c r="W1782" s="390" t="str">
        <f>IF(W1693,SUM(M1782),"")</f>
        <v/>
      </c>
    </row>
    <row r="1783" spans="2:27" ht="12.75" customHeight="1" x14ac:dyDescent="0.25">
      <c r="B1783" s="17"/>
      <c r="C1783" s="900"/>
      <c r="D1783" s="193" t="s">
        <v>422</v>
      </c>
      <c r="E1783" s="1540" t="str">
        <f>Translations!$B$748</f>
        <v>Memo-Item: Biomass emissions</v>
      </c>
      <c r="F1783" s="1540"/>
      <c r="G1783" s="1540"/>
      <c r="H1783" s="944" t="str">
        <f>EUconst_tCO2pa</f>
        <v>t CO2 / year</v>
      </c>
      <c r="I1783" s="945" t="str">
        <f>IF(ISNUMBER(I1782),3.664*I1778*(I1780/100)*(I1781/100),"")</f>
        <v/>
      </c>
      <c r="J1783" s="945" t="str">
        <f>IF(ISNUMBER(J1782),3.664*J1778*(J1780/100)*(J1781/100),"")</f>
        <v/>
      </c>
      <c r="K1783" s="945" t="str">
        <f>IF(ISNUMBER(K1782),3.664*K1778*(K1780/100)*(K1781/100),"")</f>
        <v/>
      </c>
      <c r="L1783" s="945" t="str">
        <f>IF(ISNUMBER(L1782),3.664*L1778*(L1780/100)*(L1781/100),"")</f>
        <v/>
      </c>
      <c r="M1783" s="945" t="str">
        <f>IF(ISNUMBER(M1782),3.664*M1778*(M1780/100)*(M1781/100),"")</f>
        <v/>
      </c>
      <c r="N1783" s="266"/>
      <c r="O1783" s="17"/>
    </row>
    <row r="1784" spans="2:27" ht="12.75" customHeight="1" x14ac:dyDescent="0.25">
      <c r="B1784" s="17"/>
      <c r="C1784" s="900"/>
      <c r="D1784" s="193" t="s">
        <v>423</v>
      </c>
      <c r="E1784" s="1527" t="str">
        <f>Translations!$B$749</f>
        <v>Energy content (calculated)</v>
      </c>
      <c r="F1784" s="1527"/>
      <c r="G1784" s="1527"/>
      <c r="H1784" s="946" t="str">
        <f>EUconst_TJpa</f>
        <v>TJ / year</v>
      </c>
      <c r="I1784" s="841" t="str">
        <f>IF(COUNT(I1778:I1779)=2,I1778*I1779/1000,"")</f>
        <v/>
      </c>
      <c r="J1784" s="841" t="str">
        <f>IF(COUNT(J1778:J1779)=2,J1778*J1779/1000,"")</f>
        <v/>
      </c>
      <c r="K1784" s="841" t="str">
        <f>IF(COUNT(K1778:K1779)=2,K1778*K1779/1000,"")</f>
        <v/>
      </c>
      <c r="L1784" s="841" t="str">
        <f>IF(COUNT(L1778:L1779)=2,L1778*L1779/1000,"")</f>
        <v/>
      </c>
      <c r="M1784" s="841" t="str">
        <f>IF(COUNT(M1778:M1779)=2,M1778*M1779/1000,"")</f>
        <v/>
      </c>
      <c r="N1784" s="266"/>
      <c r="O1784" s="17"/>
    </row>
    <row r="1785" spans="2:27" ht="12.75" customHeight="1" x14ac:dyDescent="0.25">
      <c r="B1785" s="17"/>
      <c r="C1785" s="900"/>
      <c r="D1785" s="193" t="s">
        <v>356</v>
      </c>
      <c r="E1785" s="1541" t="str">
        <f>Translations!$B$750</f>
        <v>Error messages (emissions)</v>
      </c>
      <c r="F1785" s="1541"/>
      <c r="G1785" s="1541"/>
      <c r="H1785" s="947"/>
      <c r="I1785" s="267" t="str">
        <f>IF(COUNT(I1778,I1780:I1781)&gt;0,IF(COUNTIF(I1779:I1781,"&lt;0")&gt;0,EUconst_Negative,IF(COUNT(I1778,I1780:I1781)&lt;3,EUconst_Incomplete,"")),"")</f>
        <v/>
      </c>
      <c r="J1785" s="267" t="str">
        <f>IF(COUNT(J1778,J1780:J1781)&gt;0,IF(COUNTIF(J1779:J1781,"&lt;0")&gt;0,EUconst_Negative,IF(COUNT(J1778,J1780:J1781)&lt;3,EUconst_Incomplete,"")),"")</f>
        <v/>
      </c>
      <c r="K1785" s="267" t="str">
        <f>IF(COUNT(K1778,K1780:K1781)&gt;0,IF(COUNTIF(K1779:K1781,"&lt;0")&gt;0,EUconst_Negative,IF(COUNT(K1778,K1780:K1781)&lt;3,EUconst_Incomplete,"")),"")</f>
        <v/>
      </c>
      <c r="L1785" s="267" t="str">
        <f>IF(COUNT(L1778,L1780:L1781)&gt;0,IF(COUNTIF(L1779:L1781,"&lt;0")&gt;0,EUconst_Negative,IF(COUNT(L1778,L1780:L1781)&lt;3,EUconst_Incomplete,"")),"")</f>
        <v/>
      </c>
      <c r="M1785" s="267" t="str">
        <f>IF(COUNT(M1778,M1780:M1781)&gt;0,IF(COUNTIF(M1779:M1781,"&lt;0")&gt;0,EUconst_Negative,IF(COUNT(M1778,M1780:M1781)&lt;3,EUconst_Incomplete,"")),"")</f>
        <v/>
      </c>
      <c r="N1785" s="266"/>
      <c r="O1785" s="17"/>
    </row>
    <row r="1786" spans="2:27" ht="12.75" customHeight="1" x14ac:dyDescent="0.25">
      <c r="B1786" s="17"/>
      <c r="C1786" s="900"/>
      <c r="D1786" s="342"/>
      <c r="E1786" s="342"/>
      <c r="F1786" s="342"/>
      <c r="G1786" s="342"/>
      <c r="H1786" s="342"/>
      <c r="I1786" s="342"/>
      <c r="J1786" s="342"/>
      <c r="K1786" s="342"/>
      <c r="L1786" s="342"/>
      <c r="M1786" s="342"/>
      <c r="N1786" s="266"/>
      <c r="O1786" s="17"/>
    </row>
    <row r="1787" spans="2:27" ht="12.75" customHeight="1" thickBot="1" x14ac:dyDescent="0.3">
      <c r="B1787" s="17"/>
      <c r="C1787" s="900"/>
      <c r="D1787" s="157" t="s">
        <v>339</v>
      </c>
      <c r="E1787" s="1511" t="str">
        <f>Translations!$B$753</f>
        <v>Amount of GHG imported or exported as feedstock</v>
      </c>
      <c r="F1787" s="1512"/>
      <c r="G1787" s="1512"/>
      <c r="H1787" s="1512"/>
      <c r="I1787" s="1512"/>
      <c r="J1787" s="1512"/>
      <c r="K1787" s="1512"/>
      <c r="L1787" s="1512"/>
      <c r="M1787" s="1512"/>
      <c r="N1787" s="1513"/>
      <c r="O1787" s="17"/>
    </row>
    <row r="1788" spans="2:27" ht="12.75" customHeight="1" x14ac:dyDescent="0.25">
      <c r="B1788" s="17"/>
      <c r="C1788" s="900"/>
      <c r="D1788" s="157"/>
      <c r="E1788" s="1522"/>
      <c r="F1788" s="1523"/>
      <c r="G1788" s="1523"/>
      <c r="H1788" s="152" t="str">
        <f>EUconst_Unit</f>
        <v>Unit</v>
      </c>
      <c r="I1788" s="153">
        <f>I$1882</f>
        <v>2019</v>
      </c>
      <c r="J1788" s="153">
        <f>J$1882</f>
        <v>2020</v>
      </c>
      <c r="K1788" s="153">
        <f>K$1882</f>
        <v>2021</v>
      </c>
      <c r="L1788" s="153">
        <f>L$1882</f>
        <v>2022</v>
      </c>
      <c r="M1788" s="153">
        <f>M$1882</f>
        <v>2023</v>
      </c>
      <c r="N1788" s="266"/>
      <c r="O1788" s="17"/>
      <c r="R1788" s="459"/>
      <c r="S1788" s="326">
        <f>I1788</f>
        <v>2019</v>
      </c>
      <c r="T1788" s="326">
        <f>J1788</f>
        <v>2020</v>
      </c>
      <c r="U1788" s="326">
        <f>K1788</f>
        <v>2021</v>
      </c>
      <c r="V1788" s="326">
        <f>L1788</f>
        <v>2022</v>
      </c>
      <c r="W1788" s="327">
        <f>M1788</f>
        <v>2023</v>
      </c>
    </row>
    <row r="1789" spans="2:27" ht="12.75" customHeight="1" thickBot="1" x14ac:dyDescent="0.3">
      <c r="B1789" s="17"/>
      <c r="C1789" s="900"/>
      <c r="D1789" s="193"/>
      <c r="E1789" s="1528" t="str">
        <f>Translations!$B$756</f>
        <v>GHG imported or exported</v>
      </c>
      <c r="F1789" s="1528"/>
      <c r="G1789" s="1528"/>
      <c r="H1789" s="154" t="str">
        <f>EUconst_tCO2epa</f>
        <v>t CO2e/year</v>
      </c>
      <c r="I1789" s="311"/>
      <c r="J1789" s="311"/>
      <c r="K1789" s="311"/>
      <c r="L1789" s="311"/>
      <c r="M1789" s="311"/>
      <c r="N1789" s="903"/>
      <c r="O1789" s="17"/>
      <c r="P1789" s="63" t="str">
        <f>EUconst_CNTR_CO2Feedstock &amp; I1693</f>
        <v>EmCO2Feedstock_</v>
      </c>
      <c r="R1789" s="460" t="str">
        <f>EUconst_CNTR_AttributedEmissions &amp; I1693</f>
        <v>AttrEmissions_</v>
      </c>
      <c r="S1789" s="389" t="str">
        <f>IF(S1693,SUM(I1789),"")</f>
        <v/>
      </c>
      <c r="T1789" s="389" t="str">
        <f>IF(T1693,SUM(J1789),"")</f>
        <v/>
      </c>
      <c r="U1789" s="389" t="str">
        <f>IF(U1693,SUM(K1789),"")</f>
        <v/>
      </c>
      <c r="V1789" s="389" t="str">
        <f>IF(V1693,SUM(L1789),"")</f>
        <v/>
      </c>
      <c r="W1789" s="390" t="str">
        <f>IF(W1693,SUM(M1789),"")</f>
        <v/>
      </c>
    </row>
    <row r="1790" spans="2:27" ht="12.75" customHeight="1" x14ac:dyDescent="0.25">
      <c r="B1790" s="17"/>
      <c r="C1790" s="900"/>
      <c r="D1790" s="342"/>
      <c r="E1790" s="342"/>
      <c r="F1790" s="342"/>
      <c r="G1790" s="342"/>
      <c r="H1790" s="342"/>
      <c r="I1790" s="342"/>
      <c r="J1790" s="342"/>
      <c r="K1790" s="342"/>
      <c r="L1790" s="342"/>
      <c r="M1790" s="342"/>
      <c r="N1790" s="266"/>
      <c r="O1790" s="17"/>
    </row>
    <row r="1791" spans="2:27" ht="12.75" customHeight="1" x14ac:dyDescent="0.25">
      <c r="B1791" s="17"/>
      <c r="C1791" s="900"/>
      <c r="D1791" s="157" t="s">
        <v>357</v>
      </c>
      <c r="E1791" s="1511" t="str">
        <f>Translations!$B$757</f>
        <v>Measurable heat import to and export from this sub-installation</v>
      </c>
      <c r="F1791" s="1512"/>
      <c r="G1791" s="1512"/>
      <c r="H1791" s="1512"/>
      <c r="I1791" s="1512"/>
      <c r="J1791" s="1512"/>
      <c r="K1791" s="1512"/>
      <c r="L1791" s="1512"/>
      <c r="M1791" s="1512"/>
      <c r="N1791" s="1513"/>
      <c r="O1791" s="17"/>
    </row>
    <row r="1792" spans="2:27" ht="12.75" customHeight="1" thickBot="1" x14ac:dyDescent="0.3">
      <c r="B1792" s="17"/>
      <c r="C1792" s="900"/>
      <c r="D1792" s="342"/>
      <c r="E1792" s="1477" t="str">
        <f>Translations!$B$762</f>
        <v>For attributing emissions from cogeneration (CHP) to production of heat, the "CHP tool" in section D.III. of this template has to be used.</v>
      </c>
      <c r="F1792" s="1477"/>
      <c r="G1792" s="1477"/>
      <c r="H1792" s="1477"/>
      <c r="I1792" s="1477"/>
      <c r="J1792" s="1477"/>
      <c r="K1792" s="1477"/>
      <c r="L1792" s="1477"/>
      <c r="M1792" s="1477"/>
      <c r="N1792" s="903"/>
      <c r="O1792" s="17"/>
    </row>
    <row r="1793" spans="2:27" ht="12.75" customHeight="1" x14ac:dyDescent="0.25">
      <c r="B1793" s="17"/>
      <c r="C1793" s="900"/>
      <c r="D1793" s="342"/>
      <c r="E1793" s="1522" t="str">
        <f>Translations!$B$763</f>
        <v>Total heat imported</v>
      </c>
      <c r="F1793" s="1523"/>
      <c r="G1793" s="1523"/>
      <c r="H1793" s="152" t="str">
        <f>EUconst_Unit</f>
        <v>Unit</v>
      </c>
      <c r="I1793" s="153">
        <f>I$1882</f>
        <v>2019</v>
      </c>
      <c r="J1793" s="153">
        <f>J$1882</f>
        <v>2020</v>
      </c>
      <c r="K1793" s="153">
        <f>K$1882</f>
        <v>2021</v>
      </c>
      <c r="L1793" s="153">
        <f>L$1882</f>
        <v>2022</v>
      </c>
      <c r="M1793" s="153">
        <f>M$1882</f>
        <v>2023</v>
      </c>
      <c r="N1793" s="903"/>
      <c r="O1793" s="17"/>
      <c r="R1793" s="459"/>
      <c r="S1793" s="326">
        <f>I1793</f>
        <v>2019</v>
      </c>
      <c r="T1793" s="326">
        <f>J1793</f>
        <v>2020</v>
      </c>
      <c r="U1793" s="326">
        <f>K1793</f>
        <v>2021</v>
      </c>
      <c r="V1793" s="326">
        <f>L1793</f>
        <v>2022</v>
      </c>
      <c r="W1793" s="327">
        <f>M1793</f>
        <v>2023</v>
      </c>
    </row>
    <row r="1794" spans="2:27" ht="12.75" customHeight="1" x14ac:dyDescent="0.25">
      <c r="B1794" s="17"/>
      <c r="C1794" s="900"/>
      <c r="D1794" s="193" t="s">
        <v>206</v>
      </c>
      <c r="E1794" s="1528" t="str">
        <f>Translations!$B$764</f>
        <v>Net heat imported</v>
      </c>
      <c r="F1794" s="1528"/>
      <c r="G1794" s="1528"/>
      <c r="H1794" s="154" t="str">
        <f>EUconst_TJpa</f>
        <v>TJ / year</v>
      </c>
      <c r="I1794" s="311"/>
      <c r="J1794" s="311"/>
      <c r="K1794" s="311"/>
      <c r="L1794" s="311"/>
      <c r="M1794" s="311"/>
      <c r="N1794" s="277"/>
      <c r="O1794" s="17"/>
      <c r="P1794" s="63" t="str">
        <f>EUconst_CNTR_HeatImport &amp; I1693</f>
        <v>HeatIm_</v>
      </c>
      <c r="R1794" s="464" t="str">
        <f>EUconst_ERR_AttrEmBMapplied &amp; I1693</f>
        <v>ERR_AttrEmBM_</v>
      </c>
      <c r="S1794" s="63">
        <f>IF(AND(I1794&lt;&gt;0,I1795="",EUconst_StatusOfDataCollection=FALSE),1,0)</f>
        <v>0</v>
      </c>
      <c r="T1794" s="63">
        <f>IF(AND(J1794&lt;&gt;0,J1795="",EUconst_StatusOfDataCollection=FALSE),1,0)</f>
        <v>0</v>
      </c>
      <c r="U1794" s="63">
        <f>IF(AND(K1794&lt;&gt;0,K1795="",EUconst_StatusOfDataCollection=FALSE),1,0)</f>
        <v>0</v>
      </c>
      <c r="V1794" s="63">
        <f>IF(AND(L1794&lt;&gt;0,L1795="",EUconst_StatusOfDataCollection=FALSE),1,0)</f>
        <v>0</v>
      </c>
      <c r="W1794" s="803">
        <f>IF(AND(M1794&lt;&gt;0,M1795="",EUconst_StatusOfDataCollection=FALSE),1,0)</f>
        <v>0</v>
      </c>
      <c r="X1794" s="28"/>
    </row>
    <row r="1795" spans="2:27" ht="12.75" customHeight="1" thickBot="1" x14ac:dyDescent="0.3">
      <c r="B1795" s="17"/>
      <c r="C1795" s="900"/>
      <c r="D1795" s="193" t="s">
        <v>208</v>
      </c>
      <c r="E1795" s="1528" t="str">
        <f>Translations!$B$765</f>
        <v>Specific EF (imported heat)</v>
      </c>
      <c r="F1795" s="1528"/>
      <c r="G1795" s="1528"/>
      <c r="H1795" s="154" t="str">
        <f>EUconst_tCO2pTJ</f>
        <v>t CO2 / TJ</v>
      </c>
      <c r="I1795" s="1065"/>
      <c r="J1795" s="1065"/>
      <c r="K1795" s="1065"/>
      <c r="L1795" s="1065"/>
      <c r="M1795" s="1065"/>
      <c r="N1795" s="266"/>
      <c r="O1795" s="17"/>
      <c r="P1795" s="63" t="str">
        <f>EUconst_CNTR_HeatImportEF &amp; I1693</f>
        <v>HeatImEF_</v>
      </c>
      <c r="R1795" s="460" t="str">
        <f>EUconst_CNTR_AttributedEmissions &amp; I1693</f>
        <v>AttrEmissions_</v>
      </c>
      <c r="S1795" s="389" t="str">
        <f>IF(S1693,SUM(I1794)*IF(ISNUMBER(I1795),I1795,EUconst_HeatBMvalueForBM),"")</f>
        <v/>
      </c>
      <c r="T1795" s="389" t="str">
        <f>IF(T1693,SUM(J1794)*IF(ISNUMBER(J1795),J1795,EUconst_HeatBMvalueForBM),"")</f>
        <v/>
      </c>
      <c r="U1795" s="389" t="str">
        <f>IF(U1693,SUM(K1794)*IF(ISNUMBER(K1795),K1795,EUconst_HeatBMvalueForBM),"")</f>
        <v/>
      </c>
      <c r="V1795" s="389" t="str">
        <f>IF(V1693,SUM(L1794)*IF(ISNUMBER(L1795),L1795,EUconst_HeatBMvalueForBM),"")</f>
        <v/>
      </c>
      <c r="W1795" s="390" t="str">
        <f>IF(W1693,SUM(M1794)*IF(ISNUMBER(M1795),M1795,EUconst_HeatBMvalueForBM),"")</f>
        <v/>
      </c>
    </row>
    <row r="1796" spans="2:27" ht="5.0999999999999996" customHeight="1" x14ac:dyDescent="0.25">
      <c r="B1796" s="17"/>
      <c r="C1796" s="900"/>
      <c r="D1796" s="342"/>
      <c r="E1796" s="342"/>
      <c r="F1796" s="342"/>
      <c r="G1796" s="342"/>
      <c r="H1796" s="342"/>
      <c r="I1796" s="342"/>
      <c r="J1796" s="342"/>
      <c r="K1796" s="342"/>
      <c r="L1796" s="342"/>
      <c r="M1796" s="342"/>
      <c r="N1796" s="266"/>
      <c r="O1796" s="17"/>
    </row>
    <row r="1797" spans="2:27" ht="12.75" customHeight="1" x14ac:dyDescent="0.25">
      <c r="B1797" s="17"/>
      <c r="C1797" s="900"/>
      <c r="D1797" s="342"/>
      <c r="E1797" s="1522" t="str">
        <f>Translations!$B$766</f>
        <v>Special heat import</v>
      </c>
      <c r="F1797" s="1522"/>
      <c r="G1797" s="1522"/>
      <c r="H1797" s="152" t="str">
        <f>EUconst_Unit</f>
        <v>Unit</v>
      </c>
      <c r="I1797" s="153">
        <f>I$1882</f>
        <v>2019</v>
      </c>
      <c r="J1797" s="153">
        <f>J$1882</f>
        <v>2020</v>
      </c>
      <c r="K1797" s="153">
        <f>K$1882</f>
        <v>2021</v>
      </c>
      <c r="L1797" s="153">
        <f>L$1882</f>
        <v>2022</v>
      </c>
      <c r="M1797" s="153">
        <f>M$1882</f>
        <v>2023</v>
      </c>
      <c r="N1797" s="903"/>
      <c r="O1797" s="17"/>
    </row>
    <row r="1798" spans="2:27" ht="12.75" customHeight="1" x14ac:dyDescent="0.25">
      <c r="B1798" s="17"/>
      <c r="C1798" s="900"/>
      <c r="D1798" s="193" t="s">
        <v>209</v>
      </c>
      <c r="E1798" s="1528" t="str">
        <f>Translations!$B$820</f>
        <v>Net heat imported from pulp</v>
      </c>
      <c r="F1798" s="1528"/>
      <c r="G1798" s="1528"/>
      <c r="H1798" s="154" t="str">
        <f>EUconst_TJpa</f>
        <v>TJ / year</v>
      </c>
      <c r="I1798" s="948"/>
      <c r="J1798" s="948"/>
      <c r="K1798" s="948"/>
      <c r="L1798" s="948"/>
      <c r="M1798" s="948"/>
      <c r="N1798" s="277"/>
      <c r="O1798" s="17"/>
      <c r="P1798" s="63" t="str">
        <f>EUconst_CNTR_HeatImportPulp &amp; I1693</f>
        <v>HeatImPulp_</v>
      </c>
    </row>
    <row r="1799" spans="2:27" ht="12.75" customHeight="1" x14ac:dyDescent="0.25">
      <c r="B1799" s="17"/>
      <c r="C1799" s="900"/>
      <c r="D1799" s="193" t="s">
        <v>210</v>
      </c>
      <c r="E1799" s="1528" t="str">
        <f>Translations!$B$768</f>
        <v>Net heat imported from nitric acid sub-installation</v>
      </c>
      <c r="F1799" s="1528"/>
      <c r="G1799" s="1528"/>
      <c r="H1799" s="154" t="str">
        <f>EUconst_TJpa</f>
        <v>TJ / year</v>
      </c>
      <c r="I1799" s="311"/>
      <c r="J1799" s="311"/>
      <c r="K1799" s="311"/>
      <c r="L1799" s="311"/>
      <c r="M1799" s="311"/>
      <c r="N1799" s="277"/>
      <c r="O1799" s="17"/>
      <c r="P1799" s="63" t="str">
        <f>EUconst_CNTR_HeatImportNitric &amp; I1693</f>
        <v>HeatImNitric_</v>
      </c>
    </row>
    <row r="1800" spans="2:27" ht="5.0999999999999996" customHeight="1" thickBot="1" x14ac:dyDescent="0.3">
      <c r="B1800" s="17"/>
      <c r="C1800" s="900"/>
      <c r="D1800" s="342"/>
      <c r="E1800" s="342"/>
      <c r="F1800" s="342"/>
      <c r="G1800" s="342"/>
      <c r="H1800" s="342"/>
      <c r="I1800" s="342"/>
      <c r="J1800" s="342"/>
      <c r="K1800" s="342"/>
      <c r="L1800" s="342"/>
      <c r="M1800" s="342"/>
      <c r="N1800" s="266"/>
      <c r="O1800" s="17"/>
    </row>
    <row r="1801" spans="2:27" ht="12.75" customHeight="1" x14ac:dyDescent="0.25">
      <c r="B1801" s="17"/>
      <c r="C1801" s="900"/>
      <c r="D1801" s="342"/>
      <c r="E1801" s="1522" t="str">
        <f>Translations!$B$769</f>
        <v>Total heat exported</v>
      </c>
      <c r="F1801" s="1522"/>
      <c r="G1801" s="1522"/>
      <c r="H1801" s="152" t="str">
        <f>EUconst_Unit</f>
        <v>Unit</v>
      </c>
      <c r="I1801" s="153">
        <f>I$1882</f>
        <v>2019</v>
      </c>
      <c r="J1801" s="153">
        <f>J$1882</f>
        <v>2020</v>
      </c>
      <c r="K1801" s="153">
        <f>K$1882</f>
        <v>2021</v>
      </c>
      <c r="L1801" s="153">
        <f>L$1882</f>
        <v>2022</v>
      </c>
      <c r="M1801" s="153">
        <f>M$1882</f>
        <v>2023</v>
      </c>
      <c r="N1801" s="903"/>
      <c r="O1801" s="17"/>
      <c r="R1801" s="459"/>
      <c r="S1801" s="326">
        <f>I1801</f>
        <v>2019</v>
      </c>
      <c r="T1801" s="326">
        <f>J1801</f>
        <v>2020</v>
      </c>
      <c r="U1801" s="326">
        <f>K1801</f>
        <v>2021</v>
      </c>
      <c r="V1801" s="326">
        <f>L1801</f>
        <v>2022</v>
      </c>
      <c r="W1801" s="327">
        <f>M1801</f>
        <v>2023</v>
      </c>
    </row>
    <row r="1802" spans="2:27" ht="12.75" customHeight="1" x14ac:dyDescent="0.25">
      <c r="B1802" s="17"/>
      <c r="C1802" s="900"/>
      <c r="D1802" s="193" t="s">
        <v>220</v>
      </c>
      <c r="E1802" s="1528" t="str">
        <f>Translations!$B$770</f>
        <v>Net heat exported</v>
      </c>
      <c r="F1802" s="1528"/>
      <c r="G1802" s="1528"/>
      <c r="H1802" s="154" t="str">
        <f>EUconst_TJpa</f>
        <v>TJ / year</v>
      </c>
      <c r="I1802" s="311"/>
      <c r="J1802" s="311"/>
      <c r="K1802" s="311"/>
      <c r="L1802" s="311"/>
      <c r="M1802" s="311"/>
      <c r="N1802" s="277"/>
      <c r="O1802" s="17"/>
      <c r="P1802" s="63" t="str">
        <f>EUconst_CNTR_HeatExport &amp; I1693</f>
        <v>HeatEx_</v>
      </c>
      <c r="R1802" s="464" t="str">
        <f>EUconst_ERR_AttrEmBMapplied &amp; I1693</f>
        <v>ERR_AttrEmBM_</v>
      </c>
      <c r="S1802" s="63">
        <f>IF(AND(I1802&lt;&gt;0,I1803="",EUconst_StatusOfDataCollection=FALSE),1,0)</f>
        <v>0</v>
      </c>
      <c r="T1802" s="63">
        <f>IF(AND(J1802&lt;&gt;0,J1803="",EUconst_StatusOfDataCollection=FALSE),1,0)</f>
        <v>0</v>
      </c>
      <c r="U1802" s="63">
        <f>IF(AND(K1802&lt;&gt;0,K1803="",EUconst_StatusOfDataCollection=FALSE),1,0)</f>
        <v>0</v>
      </c>
      <c r="V1802" s="63">
        <f>IF(AND(L1802&lt;&gt;0,L1803="",EUconst_StatusOfDataCollection=FALSE),1,0)</f>
        <v>0</v>
      </c>
      <c r="W1802" s="803">
        <f>IF(AND(M1802&lt;&gt;0,M1803="",EUconst_StatusOfDataCollection=FALSE),1,0)</f>
        <v>0</v>
      </c>
    </row>
    <row r="1803" spans="2:27" ht="12.75" customHeight="1" thickBot="1" x14ac:dyDescent="0.3">
      <c r="B1803" s="17"/>
      <c r="C1803" s="900"/>
      <c r="D1803" s="193" t="s">
        <v>221</v>
      </c>
      <c r="E1803" s="1528" t="str">
        <f>Translations!$B$771</f>
        <v>Specific EF (exported heat)</v>
      </c>
      <c r="F1803" s="1528"/>
      <c r="G1803" s="1528"/>
      <c r="H1803" s="154" t="str">
        <f>EUconst_tCO2pTJ</f>
        <v>t CO2 / TJ</v>
      </c>
      <c r="I1803" s="1065"/>
      <c r="J1803" s="1065"/>
      <c r="K1803" s="1065"/>
      <c r="L1803" s="1065"/>
      <c r="M1803" s="1065"/>
      <c r="N1803" s="266"/>
      <c r="O1803" s="17"/>
      <c r="P1803" s="63" t="str">
        <f>EUconst_CNTR_HeatExportEF &amp; I1693</f>
        <v>HeatExEF_</v>
      </c>
      <c r="R1803" s="460" t="str">
        <f>EUconst_CNTR_AttributedEmissions &amp; I1693</f>
        <v>AttrEmissions_</v>
      </c>
      <c r="S1803" s="389" t="str">
        <f>IF(S1693,-SUM(I1802)*IF(INDEX(EUconst_BMlistNumberOfBM,MATCH($I1693,EUconst_BMlistNames,0))=39,0,IF(ISNUMBER(I1803),I1803,EUconst_HeatBMvalueForBM)),"")</f>
        <v/>
      </c>
      <c r="T1803" s="389" t="str">
        <f>IF(T1693,-SUM(J1802)*IF(INDEX(EUconst_BMlistNumberOfBM,MATCH($I1693,EUconst_BMlistNames,0))=39,0,IF(ISNUMBER(J1803),J1803,EUconst_HeatBMvalueForBM)),"")</f>
        <v/>
      </c>
      <c r="U1803" s="389" t="str">
        <f>IF(U1693,-SUM(K1802)*IF(INDEX(EUconst_BMlistNumberOfBM,MATCH($I1693,EUconst_BMlistNames,0))=39,0,IF(ISNUMBER(K1803),K1803,EUconst_HeatBMvalueForBM)),"")</f>
        <v/>
      </c>
      <c r="V1803" s="389" t="str">
        <f>IF(V1693,-SUM(L1802)*IF(INDEX(EUconst_BMlistNumberOfBM,MATCH($I1693,EUconst_BMlistNames,0))=39,0,IF(ISNUMBER(L1803),L1803,EUconst_HeatBMvalueForBM)),"")</f>
        <v/>
      </c>
      <c r="W1803" s="390" t="str">
        <f>IF(W1693,-SUM(M1802)*IF(INDEX(EUconst_BMlistNumberOfBM,MATCH($I1693,EUconst_BMlistNames,0))=39,0,IF(ISNUMBER(M1803),M1803,EUconst_HeatBMvalueForBM)),"")</f>
        <v/>
      </c>
    </row>
    <row r="1804" spans="2:27" ht="12.75" customHeight="1" x14ac:dyDescent="0.25">
      <c r="B1804" s="17"/>
      <c r="C1804" s="900"/>
      <c r="D1804" s="342"/>
      <c r="E1804" s="342"/>
      <c r="F1804" s="342"/>
      <c r="G1804" s="342"/>
      <c r="H1804" s="342"/>
      <c r="I1804" s="342"/>
      <c r="J1804" s="342"/>
      <c r="K1804" s="342"/>
      <c r="L1804" s="342"/>
      <c r="M1804" s="342"/>
      <c r="N1804" s="266"/>
      <c r="O1804" s="17"/>
    </row>
    <row r="1805" spans="2:27" ht="12.75" customHeight="1" x14ac:dyDescent="0.25">
      <c r="B1805" s="17"/>
      <c r="C1805" s="900"/>
      <c r="D1805" s="157" t="s">
        <v>358</v>
      </c>
      <c r="E1805" s="1511" t="str">
        <f>Translations!$B$772</f>
        <v>Waste gas balance for this sub-installation</v>
      </c>
      <c r="F1805" s="1512"/>
      <c r="G1805" s="1512"/>
      <c r="H1805" s="1512"/>
      <c r="I1805" s="1512"/>
      <c r="J1805" s="1512"/>
      <c r="K1805" s="1512"/>
      <c r="L1805" s="1512"/>
      <c r="M1805" s="1512"/>
      <c r="N1805" s="1513"/>
      <c r="O1805" s="17"/>
    </row>
    <row r="1806" spans="2:27" ht="5.0999999999999996" customHeight="1" thickBot="1" x14ac:dyDescent="0.3">
      <c r="B1806" s="17"/>
      <c r="C1806" s="900"/>
      <c r="D1806" s="342"/>
      <c r="E1806" s="1533"/>
      <c r="F1806" s="1533"/>
      <c r="G1806" s="1533"/>
      <c r="H1806" s="1533"/>
      <c r="I1806" s="1533"/>
      <c r="J1806" s="1533"/>
      <c r="K1806" s="1533"/>
      <c r="L1806" s="1533"/>
      <c r="M1806" s="1533"/>
      <c r="N1806" s="1537"/>
      <c r="O1806" s="17"/>
    </row>
    <row r="1807" spans="2:27" ht="12.75" customHeight="1" thickBot="1" x14ac:dyDescent="0.3">
      <c r="B1807" s="17"/>
      <c r="C1807" s="900"/>
      <c r="D1807" s="193" t="s">
        <v>206</v>
      </c>
      <c r="E1807" s="1538" t="str">
        <f>Translations!$B$773</f>
        <v>Are waste gases relevant for this sub-installation?</v>
      </c>
      <c r="F1807" s="1538"/>
      <c r="G1807" s="1538"/>
      <c r="H1807" s="1538"/>
      <c r="I1807" s="1538"/>
      <c r="J1807" s="1538"/>
      <c r="K1807" s="1539"/>
      <c r="L1807" s="194"/>
      <c r="M1807" s="762"/>
      <c r="N1807" s="763"/>
      <c r="O1807" s="17"/>
      <c r="W1807" s="288" t="s">
        <v>418</v>
      </c>
      <c r="X1807" s="215" t="b">
        <f>IF(AND(I1693&lt;&gt;"",ISBLANK(L1807)),EUconst_Error&amp;"BM"&amp;C1693,FALSE)</f>
        <v>0</v>
      </c>
    </row>
    <row r="1808" spans="2:27" ht="5.0999999999999996" customHeight="1" thickBot="1" x14ac:dyDescent="0.3">
      <c r="B1808" s="17"/>
      <c r="C1808" s="900"/>
      <c r="D1808" s="342"/>
      <c r="E1808" s="1533"/>
      <c r="F1808" s="1512"/>
      <c r="G1808" s="1512"/>
      <c r="H1808" s="1512"/>
      <c r="I1808" s="1512"/>
      <c r="J1808" s="1512"/>
      <c r="K1808" s="1512"/>
      <c r="L1808" s="1512"/>
      <c r="M1808" s="1512"/>
      <c r="N1808" s="1513"/>
      <c r="O1808" s="17"/>
      <c r="AA1808" s="145" t="s">
        <v>396</v>
      </c>
    </row>
    <row r="1809" spans="2:27" ht="12.75" customHeight="1" x14ac:dyDescent="0.25">
      <c r="B1809" s="17"/>
      <c r="C1809" s="900"/>
      <c r="D1809" s="193" t="s">
        <v>208</v>
      </c>
      <c r="E1809" s="1529" t="str">
        <f>Translations!$B$775</f>
        <v>Types of waste gases produced:</v>
      </c>
      <c r="F1809" s="1529"/>
      <c r="G1809" s="1529"/>
      <c r="H1809" s="1529"/>
      <c r="I1809" s="1530"/>
      <c r="J1809" s="1531"/>
      <c r="K1809" s="1531"/>
      <c r="L1809" s="1531"/>
      <c r="M1809" s="1532"/>
      <c r="N1809" s="763"/>
      <c r="O1809" s="17"/>
      <c r="AA1809" s="316" t="b">
        <f>IF(I1693&lt;&gt;"",AND(L1807&lt;&gt;"",L1807=FALSE),FALSE)</f>
        <v>0</v>
      </c>
    </row>
    <row r="1810" spans="2:27" ht="5.0999999999999996" customHeight="1" x14ac:dyDescent="0.25">
      <c r="B1810" s="17"/>
      <c r="C1810" s="900"/>
      <c r="D1810" s="342"/>
      <c r="E1810" s="1533"/>
      <c r="F1810" s="1512"/>
      <c r="G1810" s="1512"/>
      <c r="H1810" s="1512"/>
      <c r="I1810" s="1512"/>
      <c r="J1810" s="1512"/>
      <c r="K1810" s="1512"/>
      <c r="L1810" s="1512"/>
      <c r="M1810" s="1512"/>
      <c r="N1810" s="1513"/>
      <c r="O1810" s="17"/>
      <c r="AA1810" s="815"/>
    </row>
    <row r="1811" spans="2:27" ht="12.75" customHeight="1" x14ac:dyDescent="0.25">
      <c r="B1811" s="17"/>
      <c r="C1811" s="900"/>
      <c r="D1811" s="342"/>
      <c r="E1811" s="1522"/>
      <c r="F1811" s="1523"/>
      <c r="G1811" s="1523"/>
      <c r="H1811" s="152" t="str">
        <f>EUconst_Unit</f>
        <v>Unit</v>
      </c>
      <c r="I1811" s="153">
        <f>I$1882</f>
        <v>2019</v>
      </c>
      <c r="J1811" s="153">
        <f>J$1882</f>
        <v>2020</v>
      </c>
      <c r="K1811" s="153">
        <f>K$1882</f>
        <v>2021</v>
      </c>
      <c r="L1811" s="153">
        <f>L$1882</f>
        <v>2022</v>
      </c>
      <c r="M1811" s="153">
        <f>M$1882</f>
        <v>2023</v>
      </c>
      <c r="N1811" s="903"/>
      <c r="O1811" s="17"/>
      <c r="AA1811" s="815"/>
    </row>
    <row r="1812" spans="2:27" ht="12.75" customHeight="1" x14ac:dyDescent="0.25">
      <c r="B1812" s="17"/>
      <c r="C1812" s="900"/>
      <c r="D1812" s="193" t="s">
        <v>209</v>
      </c>
      <c r="E1812" s="1526" t="str">
        <f>Translations!$B$777</f>
        <v>Amounts produced</v>
      </c>
      <c r="F1812" s="1526"/>
      <c r="G1812" s="1526"/>
      <c r="H1812" s="949" t="s">
        <v>427</v>
      </c>
      <c r="I1812" s="889"/>
      <c r="J1812" s="889"/>
      <c r="K1812" s="889"/>
      <c r="L1812" s="889"/>
      <c r="M1812" s="889"/>
      <c r="N1812" s="903"/>
      <c r="O1812" s="17"/>
      <c r="AA1812" s="285" t="b">
        <f>AA1809</f>
        <v>0</v>
      </c>
    </row>
    <row r="1813" spans="2:27" ht="12.75" customHeight="1" x14ac:dyDescent="0.25">
      <c r="B1813" s="17"/>
      <c r="C1813" s="900"/>
      <c r="D1813" s="193" t="s">
        <v>210</v>
      </c>
      <c r="E1813" s="1527" t="str">
        <f>Translations!$B$470</f>
        <v>Net calorific value</v>
      </c>
      <c r="F1813" s="1527"/>
      <c r="G1813" s="1527"/>
      <c r="H1813" s="950" t="str">
        <f>IF(ISBLANK(H1812),EUconst_GJperUnit,INDEX(EUconst_GJperTorKNm3,MATCH(H1812,EUconst_TonnesOrkNm3pa,0)))</f>
        <v>GJ/1000Nm3</v>
      </c>
      <c r="I1813" s="895"/>
      <c r="J1813" s="895"/>
      <c r="K1813" s="895"/>
      <c r="L1813" s="895"/>
      <c r="M1813" s="895"/>
      <c r="N1813" s="903"/>
      <c r="O1813" s="17"/>
      <c r="AA1813" s="285" t="b">
        <f>AA1812</f>
        <v>0</v>
      </c>
    </row>
    <row r="1814" spans="2:27" ht="12.75" customHeight="1" x14ac:dyDescent="0.25">
      <c r="B1814" s="17"/>
      <c r="C1814" s="900"/>
      <c r="D1814" s="193" t="s">
        <v>220</v>
      </c>
      <c r="E1814" s="1528" t="str">
        <f>Translations!$B$778</f>
        <v>Waste gas produced</v>
      </c>
      <c r="F1814" s="1528"/>
      <c r="G1814" s="1528"/>
      <c r="H1814" s="154" t="str">
        <f>EUconst_TJpa</f>
        <v>TJ / year</v>
      </c>
      <c r="I1814" s="951" t="str">
        <f>IF(COUNT(I1812:I1813)=2,I1812*I1813/1000,"")</f>
        <v/>
      </c>
      <c r="J1814" s="951" t="str">
        <f>IF(COUNT(J1812:J1813)=2,J1812*J1813/1000,"")</f>
        <v/>
      </c>
      <c r="K1814" s="951" t="str">
        <f>IF(COUNT(K1812:K1813)=2,K1812*K1813/1000,"")</f>
        <v/>
      </c>
      <c r="L1814" s="951" t="str">
        <f>IF(COUNT(L1812:L1813)=2,L1812*L1813/1000,"")</f>
        <v/>
      </c>
      <c r="M1814" s="951" t="str">
        <f>IF(COUNT(M1812:M1813)=2,M1812*M1813/1000,"")</f>
        <v/>
      </c>
      <c r="N1814" s="903"/>
      <c r="O1814" s="17"/>
      <c r="P1814" s="63" t="str">
        <f>EUconst_CNTR_WGProduced &amp; I1693</f>
        <v>WasteGasProd_</v>
      </c>
      <c r="AA1814" s="815"/>
    </row>
    <row r="1815" spans="2:27" ht="12.75" customHeight="1" x14ac:dyDescent="0.25">
      <c r="B1815" s="17"/>
      <c r="C1815" s="900"/>
      <c r="D1815" s="193" t="s">
        <v>221</v>
      </c>
      <c r="E1815" s="1528" t="str">
        <f>Translations!$B$779</f>
        <v>Specific EF (produced waste gas)</v>
      </c>
      <c r="F1815" s="1528"/>
      <c r="G1815" s="1528"/>
      <c r="H1815" s="154" t="str">
        <f>EUconst_tCO2pTJ</f>
        <v>t CO2 / TJ</v>
      </c>
      <c r="I1815" s="311"/>
      <c r="J1815" s="311"/>
      <c r="K1815" s="311"/>
      <c r="L1815" s="311"/>
      <c r="M1815" s="311"/>
      <c r="N1815" s="266"/>
      <c r="O1815" s="17"/>
      <c r="P1815" s="63" t="str">
        <f>EUconst_CNTR_WGProducedEF &amp; I1693</f>
        <v>WasteGasProdEF_</v>
      </c>
      <c r="AA1815" s="285" t="b">
        <f>AA1813</f>
        <v>0</v>
      </c>
    </row>
    <row r="1816" spans="2:27" ht="12.75" customHeight="1" x14ac:dyDescent="0.25">
      <c r="B1816" s="17"/>
      <c r="C1816" s="900"/>
      <c r="D1816" s="342"/>
      <c r="E1816" s="342"/>
      <c r="F1816" s="342"/>
      <c r="G1816" s="342"/>
      <c r="H1816" s="342"/>
      <c r="I1816" s="342"/>
      <c r="J1816" s="342"/>
      <c r="K1816" s="342"/>
      <c r="L1816" s="342"/>
      <c r="M1816" s="342"/>
      <c r="N1816" s="266"/>
      <c r="O1816" s="17"/>
      <c r="AA1816" s="815"/>
    </row>
    <row r="1817" spans="2:27" ht="12.75" customHeight="1" x14ac:dyDescent="0.25">
      <c r="B1817" s="17"/>
      <c r="C1817" s="900"/>
      <c r="D1817" s="193" t="s">
        <v>222</v>
      </c>
      <c r="E1817" s="1529" t="str">
        <f>Translations!$B$780</f>
        <v>Types of waste gases consumed:</v>
      </c>
      <c r="F1817" s="1529"/>
      <c r="G1817" s="1529"/>
      <c r="H1817" s="1529"/>
      <c r="I1817" s="1530"/>
      <c r="J1817" s="1531"/>
      <c r="K1817" s="1531"/>
      <c r="L1817" s="1531"/>
      <c r="M1817" s="1532"/>
      <c r="N1817" s="763"/>
      <c r="O1817" s="17"/>
      <c r="AA1817" s="285" t="b">
        <f>AA1815</f>
        <v>0</v>
      </c>
    </row>
    <row r="1818" spans="2:27" ht="5.0999999999999996" customHeight="1" x14ac:dyDescent="0.25">
      <c r="B1818" s="17"/>
      <c r="C1818" s="900"/>
      <c r="D1818" s="193"/>
      <c r="E1818" s="1533"/>
      <c r="F1818" s="1512"/>
      <c r="G1818" s="1512"/>
      <c r="H1818" s="1512"/>
      <c r="I1818" s="1512"/>
      <c r="J1818" s="1512"/>
      <c r="K1818" s="1512"/>
      <c r="L1818" s="1512"/>
      <c r="M1818" s="1512"/>
      <c r="N1818" s="1513"/>
      <c r="O1818" s="17"/>
      <c r="AA1818" s="815"/>
    </row>
    <row r="1819" spans="2:27" ht="12.75" customHeight="1" x14ac:dyDescent="0.25">
      <c r="B1819" s="17"/>
      <c r="C1819" s="900"/>
      <c r="D1819" s="342"/>
      <c r="E1819" s="1522"/>
      <c r="F1819" s="1523"/>
      <c r="G1819" s="1523"/>
      <c r="H1819" s="152" t="str">
        <f>EUconst_Unit</f>
        <v>Unit</v>
      </c>
      <c r="I1819" s="153">
        <f>I$1882</f>
        <v>2019</v>
      </c>
      <c r="J1819" s="153">
        <f>J$1882</f>
        <v>2020</v>
      </c>
      <c r="K1819" s="153">
        <f>K$1882</f>
        <v>2021</v>
      </c>
      <c r="L1819" s="153">
        <f>L$1882</f>
        <v>2022</v>
      </c>
      <c r="M1819" s="153">
        <f>M$1882</f>
        <v>2023</v>
      </c>
      <c r="N1819" s="903"/>
      <c r="O1819" s="17"/>
      <c r="AA1819" s="815"/>
    </row>
    <row r="1820" spans="2:27" ht="12.75" customHeight="1" x14ac:dyDescent="0.25">
      <c r="B1820" s="17"/>
      <c r="C1820" s="900"/>
      <c r="D1820" s="193" t="s">
        <v>223</v>
      </c>
      <c r="E1820" s="1526" t="str">
        <f>Translations!$B$782</f>
        <v>Amounts consumed</v>
      </c>
      <c r="F1820" s="1526"/>
      <c r="G1820" s="1526"/>
      <c r="H1820" s="949" t="s">
        <v>427</v>
      </c>
      <c r="I1820" s="889"/>
      <c r="J1820" s="889"/>
      <c r="K1820" s="889"/>
      <c r="L1820" s="889"/>
      <c r="M1820" s="889"/>
      <c r="N1820" s="903"/>
      <c r="O1820" s="17"/>
      <c r="AA1820" s="285" t="b">
        <f>AA1817</f>
        <v>0</v>
      </c>
    </row>
    <row r="1821" spans="2:27" ht="12.75" customHeight="1" x14ac:dyDescent="0.25">
      <c r="B1821" s="17"/>
      <c r="C1821" s="900"/>
      <c r="D1821" s="193" t="s">
        <v>224</v>
      </c>
      <c r="E1821" s="1527" t="str">
        <f>Translations!$B$470</f>
        <v>Net calorific value</v>
      </c>
      <c r="F1821" s="1527"/>
      <c r="G1821" s="1527"/>
      <c r="H1821" s="950" t="str">
        <f>IF(ISBLANK(H1820),EUconst_GJperUnit,INDEX(EUconst_GJperTorKNm3,MATCH(H1820,EUconst_TonnesOrkNm3pa,0)))</f>
        <v>GJ/1000Nm3</v>
      </c>
      <c r="I1821" s="895"/>
      <c r="J1821" s="895"/>
      <c r="K1821" s="895"/>
      <c r="L1821" s="895"/>
      <c r="M1821" s="895"/>
      <c r="N1821" s="903"/>
      <c r="O1821" s="17"/>
      <c r="AA1821" s="285" t="b">
        <f>AA1820</f>
        <v>0</v>
      </c>
    </row>
    <row r="1822" spans="2:27" ht="12.75" customHeight="1" x14ac:dyDescent="0.25">
      <c r="B1822" s="17"/>
      <c r="C1822" s="900"/>
      <c r="D1822" s="193" t="s">
        <v>345</v>
      </c>
      <c r="E1822" s="1528" t="str">
        <f>Translations!$B$783</f>
        <v>Waste gas consumed</v>
      </c>
      <c r="F1822" s="1528"/>
      <c r="G1822" s="1528"/>
      <c r="H1822" s="154" t="str">
        <f>EUconst_TJpa</f>
        <v>TJ / year</v>
      </c>
      <c r="I1822" s="951" t="str">
        <f>IF(COUNT(I1820:I1821)=2,I1820*I1821/1000,"")</f>
        <v/>
      </c>
      <c r="J1822" s="951" t="str">
        <f>IF(COUNT(J1820:J1821)=2,J1820*J1821/1000,"")</f>
        <v/>
      </c>
      <c r="K1822" s="951" t="str">
        <f>IF(COUNT(K1820:K1821)=2,K1820*K1821/1000,"")</f>
        <v/>
      </c>
      <c r="L1822" s="951" t="str">
        <f>IF(COUNT(L1820:L1821)=2,L1820*L1821/1000,"")</f>
        <v/>
      </c>
      <c r="M1822" s="951" t="str">
        <f>IF(COUNT(M1820:M1821)=2,M1820*M1821/1000,"")</f>
        <v/>
      </c>
      <c r="N1822" s="903"/>
      <c r="O1822" s="17"/>
      <c r="P1822" s="63" t="str">
        <f>EUconst_CNTR_WGConsumed &amp; I1693</f>
        <v>WasteGasCons_</v>
      </c>
      <c r="AA1822" s="815"/>
    </row>
    <row r="1823" spans="2:27" ht="12.75" customHeight="1" x14ac:dyDescent="0.25">
      <c r="B1823" s="17"/>
      <c r="C1823" s="900"/>
      <c r="D1823" s="193" t="s">
        <v>346</v>
      </c>
      <c r="E1823" s="1528" t="str">
        <f>Translations!$B$784</f>
        <v>Specific EF (consumed waste gas)</v>
      </c>
      <c r="F1823" s="1528"/>
      <c r="G1823" s="1528"/>
      <c r="H1823" s="154" t="str">
        <f>EUconst_tCO2pTJ</f>
        <v>t CO2 / TJ</v>
      </c>
      <c r="I1823" s="311"/>
      <c r="J1823" s="311"/>
      <c r="K1823" s="311"/>
      <c r="L1823" s="311"/>
      <c r="M1823" s="311"/>
      <c r="N1823" s="266"/>
      <c r="O1823" s="17"/>
      <c r="P1823" s="63" t="str">
        <f>EUconst_CNTR_WGConsumedEF &amp; I1693</f>
        <v>WasteGasConsEF_</v>
      </c>
      <c r="AA1823" s="285" t="b">
        <f>AA1821</f>
        <v>0</v>
      </c>
    </row>
    <row r="1824" spans="2:27" ht="12.75" customHeight="1" x14ac:dyDescent="0.25">
      <c r="B1824" s="17"/>
      <c r="C1824" s="900"/>
      <c r="D1824" s="342"/>
      <c r="E1824" s="342"/>
      <c r="F1824" s="342"/>
      <c r="G1824" s="342"/>
      <c r="H1824" s="342"/>
      <c r="I1824" s="342"/>
      <c r="J1824" s="342"/>
      <c r="K1824" s="342"/>
      <c r="L1824" s="342"/>
      <c r="M1824" s="342"/>
      <c r="N1824" s="266"/>
      <c r="O1824" s="17"/>
      <c r="AA1824" s="815"/>
    </row>
    <row r="1825" spans="2:27" ht="12.75" customHeight="1" x14ac:dyDescent="0.25">
      <c r="B1825" s="17"/>
      <c r="C1825" s="900"/>
      <c r="D1825" s="193" t="s">
        <v>347</v>
      </c>
      <c r="E1825" s="1529" t="str">
        <f>Translations!$B$785</f>
        <v>Types of waste gases flared:</v>
      </c>
      <c r="F1825" s="1529"/>
      <c r="G1825" s="1529"/>
      <c r="H1825" s="1529"/>
      <c r="I1825" s="1530"/>
      <c r="J1825" s="1531"/>
      <c r="K1825" s="1531"/>
      <c r="L1825" s="1531"/>
      <c r="M1825" s="1532"/>
      <c r="N1825" s="763"/>
      <c r="O1825" s="17"/>
      <c r="AA1825" s="285" t="b">
        <f>AA1815</f>
        <v>0</v>
      </c>
    </row>
    <row r="1826" spans="2:27" ht="5.0999999999999996" customHeight="1" x14ac:dyDescent="0.25">
      <c r="B1826" s="17"/>
      <c r="C1826" s="900"/>
      <c r="D1826" s="193"/>
      <c r="E1826" s="1533"/>
      <c r="F1826" s="1512"/>
      <c r="G1826" s="1512"/>
      <c r="H1826" s="1512"/>
      <c r="I1826" s="1512"/>
      <c r="J1826" s="1512"/>
      <c r="K1826" s="1512"/>
      <c r="L1826" s="1512"/>
      <c r="M1826" s="1512"/>
      <c r="N1826" s="1513"/>
      <c r="O1826" s="17"/>
      <c r="AA1826" s="815"/>
    </row>
    <row r="1827" spans="2:27" ht="12.75" customHeight="1" x14ac:dyDescent="0.25">
      <c r="B1827" s="17"/>
      <c r="C1827" s="900"/>
      <c r="D1827" s="342"/>
      <c r="E1827" s="1522"/>
      <c r="F1827" s="1523"/>
      <c r="G1827" s="1523"/>
      <c r="H1827" s="152" t="str">
        <f>EUconst_Unit</f>
        <v>Unit</v>
      </c>
      <c r="I1827" s="153">
        <f>I$1882</f>
        <v>2019</v>
      </c>
      <c r="J1827" s="153">
        <f>J$1882</f>
        <v>2020</v>
      </c>
      <c r="K1827" s="153">
        <f>K$1882</f>
        <v>2021</v>
      </c>
      <c r="L1827" s="153">
        <f>L$1882</f>
        <v>2022</v>
      </c>
      <c r="M1827" s="153">
        <f>M$1882</f>
        <v>2023</v>
      </c>
      <c r="N1827" s="903"/>
      <c r="O1827" s="17"/>
      <c r="AA1827" s="815"/>
    </row>
    <row r="1828" spans="2:27" ht="12.75" customHeight="1" thickBot="1" x14ac:dyDescent="0.3">
      <c r="B1828" s="17"/>
      <c r="C1828" s="900"/>
      <c r="D1828" s="193" t="s">
        <v>355</v>
      </c>
      <c r="E1828" s="1526" t="str">
        <f>Translations!$B$789</f>
        <v>Amounts flared</v>
      </c>
      <c r="F1828" s="1526"/>
      <c r="G1828" s="1526"/>
      <c r="H1828" s="949" t="s">
        <v>427</v>
      </c>
      <c r="I1828" s="889"/>
      <c r="J1828" s="889"/>
      <c r="K1828" s="889"/>
      <c r="L1828" s="889"/>
      <c r="M1828" s="889"/>
      <c r="N1828" s="903"/>
      <c r="O1828" s="17"/>
      <c r="R1828" s="145" t="s">
        <v>428</v>
      </c>
      <c r="AA1828" s="285" t="b">
        <f>AA1825</f>
        <v>0</v>
      </c>
    </row>
    <row r="1829" spans="2:27" ht="12.75" customHeight="1" thickBot="1" x14ac:dyDescent="0.3">
      <c r="B1829" s="17"/>
      <c r="C1829" s="900"/>
      <c r="D1829" s="193" t="s">
        <v>356</v>
      </c>
      <c r="E1829" s="1527" t="str">
        <f>Translations!$B$470</f>
        <v>Net calorific value</v>
      </c>
      <c r="F1829" s="1527"/>
      <c r="G1829" s="1527"/>
      <c r="H1829" s="950" t="str">
        <f>IF(ISBLANK(H1828),EUconst_GJperUnit,INDEX(EUconst_GJperTorKNm3,MATCH(H1828,EUconst_TonnesOrkNm3pa,0)))</f>
        <v>GJ/1000Nm3</v>
      </c>
      <c r="I1829" s="895"/>
      <c r="J1829" s="895"/>
      <c r="K1829" s="895"/>
      <c r="L1829" s="895"/>
      <c r="M1829" s="895"/>
      <c r="N1829" s="903"/>
      <c r="O1829" s="17"/>
      <c r="R1829" s="283" t="s">
        <v>399</v>
      </c>
      <c r="S1829" s="280">
        <f>I1827</f>
        <v>2019</v>
      </c>
      <c r="T1829" s="281">
        <f>J1827</f>
        <v>2020</v>
      </c>
      <c r="U1829" s="281">
        <f>K1827</f>
        <v>2021</v>
      </c>
      <c r="V1829" s="281">
        <f>L1827</f>
        <v>2022</v>
      </c>
      <c r="W1829" s="282">
        <f>M1827</f>
        <v>2023</v>
      </c>
      <c r="AA1829" s="285" t="b">
        <f>AA1828</f>
        <v>0</v>
      </c>
    </row>
    <row r="1830" spans="2:27" ht="12.75" customHeight="1" thickBot="1" x14ac:dyDescent="0.3">
      <c r="B1830" s="17"/>
      <c r="C1830" s="900"/>
      <c r="D1830" s="193" t="s">
        <v>420</v>
      </c>
      <c r="E1830" s="1528" t="str">
        <f>Translations!$B$790</f>
        <v>Waste gas flared</v>
      </c>
      <c r="F1830" s="1528"/>
      <c r="G1830" s="1528"/>
      <c r="H1830" s="154" t="str">
        <f>EUconst_TJpa</f>
        <v>TJ / year</v>
      </c>
      <c r="I1830" s="951" t="str">
        <f>IF(COUNT(I1828:I1829)=2,I1828*I1829/1000,"")</f>
        <v/>
      </c>
      <c r="J1830" s="951" t="str">
        <f>IF(COUNT(J1828:J1829)=2,J1828*J1829/1000,"")</f>
        <v/>
      </c>
      <c r="K1830" s="951" t="str">
        <f>IF(COUNT(K1828:K1829)=2,K1828*K1829/1000,"")</f>
        <v/>
      </c>
      <c r="L1830" s="951" t="str">
        <f>IF(COUNT(L1828:L1829)=2,L1828*L1829/1000,"")</f>
        <v/>
      </c>
      <c r="M1830" s="951" t="str">
        <f>IF(COUNT(M1828:M1829)=2,M1828*M1829/1000,"")</f>
        <v/>
      </c>
      <c r="N1830" s="903"/>
      <c r="O1830" s="17"/>
      <c r="P1830" s="63" t="str">
        <f>EUconst_CNTR_WGFlared &amp; I1693</f>
        <v>WasteGasFlare_</v>
      </c>
      <c r="R1830" s="918" t="str">
        <f>IF(COUNT(S1830:W1830)&gt;0,AVERAGE(S1830:W1830),"")</f>
        <v/>
      </c>
      <c r="S1830" s="808" t="str">
        <f>IF(S1693,IF(ISNUMBER(I1830),I1830,0),"")</f>
        <v/>
      </c>
      <c r="T1830" s="809" t="str">
        <f>IF(T1693,IF(ISNUMBER(J1830),J1830,0),"")</f>
        <v/>
      </c>
      <c r="U1830" s="809" t="str">
        <f>IF(U1693,IF(ISNUMBER(K1830),K1830,0),"")</f>
        <v/>
      </c>
      <c r="V1830" s="809" t="str">
        <f>IF(V1693,IF(ISNUMBER(L1830),L1830,0),"")</f>
        <v/>
      </c>
      <c r="W1830" s="810" t="str">
        <f>IF(W1693,IF(ISNUMBER(M1830),M1830,0),"")</f>
        <v/>
      </c>
      <c r="AA1830" s="815"/>
    </row>
    <row r="1831" spans="2:27" ht="12.75" customHeight="1" thickBot="1" x14ac:dyDescent="0.3">
      <c r="B1831" s="17"/>
      <c r="C1831" s="900"/>
      <c r="D1831" s="193" t="s">
        <v>421</v>
      </c>
      <c r="E1831" s="1528" t="str">
        <f>Translations!$B$791</f>
        <v>Specific EF (flared waste gas)</v>
      </c>
      <c r="F1831" s="1528"/>
      <c r="G1831" s="1528"/>
      <c r="H1831" s="154" t="str">
        <f>EUconst_tCO2pTJ</f>
        <v>t CO2 / TJ</v>
      </c>
      <c r="I1831" s="311"/>
      <c r="J1831" s="311"/>
      <c r="K1831" s="311"/>
      <c r="L1831" s="311"/>
      <c r="M1831" s="311"/>
      <c r="N1831" s="266"/>
      <c r="O1831" s="17"/>
      <c r="P1831" s="63" t="str">
        <f>EUconst_CNTR_WGFlaredEF &amp; I1693</f>
        <v>WasteGasFlareEF_</v>
      </c>
      <c r="R1831" s="952" t="str">
        <f>IF(COUNT(S1831:W1831)&gt;0,AVERAGE(S1831:W1831),"")</f>
        <v/>
      </c>
      <c r="S1831" s="808" t="str">
        <f>IF(S1693,SUM(I1830)*SUM(I1831),"")</f>
        <v/>
      </c>
      <c r="T1831" s="809" t="str">
        <f>IF(T1693,SUM(J1830)*SUM(J1831),"")</f>
        <v/>
      </c>
      <c r="U1831" s="809" t="str">
        <f>IF(U1693,SUM(K1830)*SUM(K1831),"")</f>
        <v/>
      </c>
      <c r="V1831" s="809" t="str">
        <f>IF(V1693,SUM(L1830)*SUM(L1831),"")</f>
        <v/>
      </c>
      <c r="W1831" s="810" t="str">
        <f>IF(W1693,SUM(M1830)*SUM(M1831),"")</f>
        <v/>
      </c>
      <c r="AA1831" s="285" t="b">
        <f>AA1829</f>
        <v>0</v>
      </c>
    </row>
    <row r="1832" spans="2:27" ht="12.75" customHeight="1" x14ac:dyDescent="0.25">
      <c r="B1832" s="17"/>
      <c r="C1832" s="900"/>
      <c r="D1832" s="342"/>
      <c r="E1832" s="342"/>
      <c r="F1832" s="342"/>
      <c r="G1832" s="342"/>
      <c r="H1832" s="342"/>
      <c r="I1832" s="342"/>
      <c r="J1832" s="342"/>
      <c r="K1832" s="342"/>
      <c r="L1832" s="342"/>
      <c r="M1832" s="342"/>
      <c r="N1832" s="266"/>
      <c r="O1832" s="17"/>
      <c r="AA1832" s="815"/>
    </row>
    <row r="1833" spans="2:27" ht="12.75" customHeight="1" x14ac:dyDescent="0.25">
      <c r="B1833" s="17"/>
      <c r="C1833" s="900"/>
      <c r="D1833" s="193" t="s">
        <v>422</v>
      </c>
      <c r="E1833" s="1529" t="str">
        <f>Translations!$B$792</f>
        <v>Types of waste gases imported:</v>
      </c>
      <c r="F1833" s="1529"/>
      <c r="G1833" s="1529"/>
      <c r="H1833" s="1529"/>
      <c r="I1833" s="1530"/>
      <c r="J1833" s="1531"/>
      <c r="K1833" s="1531"/>
      <c r="L1833" s="1531"/>
      <c r="M1833" s="1532"/>
      <c r="N1833" s="266"/>
      <c r="O1833" s="17"/>
      <c r="AA1833" s="285" t="b">
        <f>AA1813</f>
        <v>0</v>
      </c>
    </row>
    <row r="1834" spans="2:27" ht="5.0999999999999996" customHeight="1" x14ac:dyDescent="0.25">
      <c r="B1834" s="17"/>
      <c r="C1834" s="900"/>
      <c r="D1834" s="193"/>
      <c r="E1834" s="1535"/>
      <c r="F1834" s="1511"/>
      <c r="G1834" s="1511"/>
      <c r="H1834" s="1511"/>
      <c r="I1834" s="1511"/>
      <c r="J1834" s="1511"/>
      <c r="K1834" s="1511"/>
      <c r="L1834" s="1511"/>
      <c r="M1834" s="1511"/>
      <c r="N1834" s="1536"/>
      <c r="O1834" s="17"/>
      <c r="AA1834" s="815"/>
    </row>
    <row r="1835" spans="2:27" ht="12.75" customHeight="1" x14ac:dyDescent="0.25">
      <c r="B1835" s="17"/>
      <c r="C1835" s="900"/>
      <c r="D1835" s="342"/>
      <c r="E1835" s="1522"/>
      <c r="F1835" s="1523"/>
      <c r="G1835" s="1523"/>
      <c r="H1835" s="152" t="str">
        <f>EUconst_Unit</f>
        <v>Unit</v>
      </c>
      <c r="I1835" s="153">
        <f>I$1882</f>
        <v>2019</v>
      </c>
      <c r="J1835" s="153">
        <f>J$1882</f>
        <v>2020</v>
      </c>
      <c r="K1835" s="153">
        <f>K$1882</f>
        <v>2021</v>
      </c>
      <c r="L1835" s="153">
        <f>L$1882</f>
        <v>2022</v>
      </c>
      <c r="M1835" s="153">
        <f>M$1882</f>
        <v>2023</v>
      </c>
      <c r="N1835" s="903"/>
      <c r="O1835" s="17"/>
      <c r="AA1835" s="815"/>
    </row>
    <row r="1836" spans="2:27" ht="12.75" customHeight="1" thickBot="1" x14ac:dyDescent="0.3">
      <c r="B1836" s="17"/>
      <c r="C1836" s="900"/>
      <c r="D1836" s="193" t="s">
        <v>423</v>
      </c>
      <c r="E1836" s="1526" t="str">
        <f>Translations!$B$795</f>
        <v>Amounts imported</v>
      </c>
      <c r="F1836" s="1526"/>
      <c r="G1836" s="1526"/>
      <c r="H1836" s="949" t="s">
        <v>427</v>
      </c>
      <c r="I1836" s="889"/>
      <c r="J1836" s="889"/>
      <c r="K1836" s="889"/>
      <c r="L1836" s="889"/>
      <c r="M1836" s="889"/>
      <c r="N1836" s="903"/>
      <c r="O1836" s="17"/>
      <c r="AA1836" s="285" t="b">
        <f>AA1833</f>
        <v>0</v>
      </c>
    </row>
    <row r="1837" spans="2:27" ht="12.75" customHeight="1" x14ac:dyDescent="0.25">
      <c r="B1837" s="17"/>
      <c r="C1837" s="900"/>
      <c r="D1837" s="193" t="s">
        <v>430</v>
      </c>
      <c r="E1837" s="1527" t="str">
        <f>Translations!$B$470</f>
        <v>Net calorific value</v>
      </c>
      <c r="F1837" s="1527"/>
      <c r="G1837" s="1527"/>
      <c r="H1837" s="950" t="str">
        <f>IF(ISBLANK(H1836),EUconst_GJperUnit,INDEX(EUconst_GJperTorKNm3,MATCH(H1836,EUconst_TonnesOrkNm3pa,0)))</f>
        <v>GJ/1000Nm3</v>
      </c>
      <c r="I1837" s="895"/>
      <c r="J1837" s="895"/>
      <c r="K1837" s="895"/>
      <c r="L1837" s="895"/>
      <c r="M1837" s="895"/>
      <c r="N1837" s="903"/>
      <c r="O1837" s="17"/>
      <c r="R1837" s="459"/>
      <c r="S1837" s="326">
        <f>I1835</f>
        <v>2019</v>
      </c>
      <c r="T1837" s="326">
        <f>J1835</f>
        <v>2020</v>
      </c>
      <c r="U1837" s="326">
        <f>K1835</f>
        <v>2021</v>
      </c>
      <c r="V1837" s="326">
        <f>L1835</f>
        <v>2022</v>
      </c>
      <c r="W1837" s="327">
        <f>M1835</f>
        <v>2023</v>
      </c>
      <c r="AA1837" s="285" t="b">
        <f>AA1836</f>
        <v>0</v>
      </c>
    </row>
    <row r="1838" spans="2:27" ht="12.75" customHeight="1" x14ac:dyDescent="0.25">
      <c r="B1838" s="17"/>
      <c r="C1838" s="900"/>
      <c r="D1838" s="193" t="s">
        <v>431</v>
      </c>
      <c r="E1838" s="1528" t="str">
        <f>Translations!$B$796</f>
        <v>Waste gas imported</v>
      </c>
      <c r="F1838" s="1528"/>
      <c r="G1838" s="1528"/>
      <c r="H1838" s="154" t="str">
        <f>EUconst_TJpa</f>
        <v>TJ / year</v>
      </c>
      <c r="I1838" s="163" t="str">
        <f>IF(COUNT(I1836:I1837)=2,I1836*I1837/1000,"")</f>
        <v/>
      </c>
      <c r="J1838" s="163" t="str">
        <f>IF(COUNT(J1836:J1837)=2,J1836*J1837/1000,"")</f>
        <v/>
      </c>
      <c r="K1838" s="163" t="str">
        <f>IF(COUNT(K1836:K1837)=2,K1836*K1837/1000,"")</f>
        <v/>
      </c>
      <c r="L1838" s="163" t="str">
        <f>IF(COUNT(L1836:L1837)=2,L1836*L1837/1000,"")</f>
        <v/>
      </c>
      <c r="M1838" s="163" t="str">
        <f>IF(COUNT(M1836:M1837)=2,M1836*M1837/1000,"")</f>
        <v/>
      </c>
      <c r="N1838" s="903"/>
      <c r="O1838" s="17"/>
      <c r="P1838" s="63" t="str">
        <f>EUconst_CNTR_WGImport &amp; I1693</f>
        <v>WasteGasIm_</v>
      </c>
      <c r="R1838" s="464" t="str">
        <f>EUconst_ERR_AttrEmBMapplied &amp; I1693</f>
        <v>ERR_AttrEmBM_</v>
      </c>
      <c r="S1838" s="63">
        <f>IF(AND(I1838&lt;&gt;"",EUconst_StatusOfDataCollection=FALSE),1,0)</f>
        <v>0</v>
      </c>
      <c r="T1838" s="63">
        <f>IF(AND(J1838&lt;&gt;"",EUconst_StatusOfDataCollection=FALSE),1,0)</f>
        <v>0</v>
      </c>
      <c r="U1838" s="63">
        <f>IF(AND(K1838&lt;&gt;"",EUconst_StatusOfDataCollection=FALSE),1,0)</f>
        <v>0</v>
      </c>
      <c r="V1838" s="63">
        <f>IF(AND(L1838&lt;&gt;"",EUconst_StatusOfDataCollection=FALSE),1,0)</f>
        <v>0</v>
      </c>
      <c r="W1838" s="803">
        <f>IF(AND(M1838&lt;&gt;"",EUconst_StatusOfDataCollection=FALSE),1,0)</f>
        <v>0</v>
      </c>
      <c r="AA1838" s="815"/>
    </row>
    <row r="1839" spans="2:27" ht="12.75" customHeight="1" thickBot="1" x14ac:dyDescent="0.3">
      <c r="B1839" s="17"/>
      <c r="C1839" s="900"/>
      <c r="D1839" s="193" t="s">
        <v>432</v>
      </c>
      <c r="E1839" s="1528" t="str">
        <f>Translations!$B$797</f>
        <v>Specific EF (imported waste gas)</v>
      </c>
      <c r="F1839" s="1528"/>
      <c r="G1839" s="1528"/>
      <c r="H1839" s="154" t="str">
        <f>EUconst_tCO2pTJ</f>
        <v>t CO2 / TJ</v>
      </c>
      <c r="I1839" s="311"/>
      <c r="J1839" s="311"/>
      <c r="K1839" s="311"/>
      <c r="L1839" s="311"/>
      <c r="M1839" s="311"/>
      <c r="N1839" s="266"/>
      <c r="O1839" s="17"/>
      <c r="P1839" s="63" t="str">
        <f>EUconst_CNTR_WGImportEF &amp; I1693</f>
        <v>WasteGasImEF_</v>
      </c>
      <c r="R1839" s="460" t="str">
        <f>EUconst_CNTR_AttributedEmissions &amp; I1693</f>
        <v>AttrEmissions_</v>
      </c>
      <c r="S1839" s="389" t="str">
        <f>IF(S1693,SUM(I1838)*EUconst_FuelBMvalue,"")</f>
        <v/>
      </c>
      <c r="T1839" s="389" t="str">
        <f>IF(T1693,SUM(J1838)*EUconst_FuelBMvalue,"")</f>
        <v/>
      </c>
      <c r="U1839" s="389" t="str">
        <f>IF(U1693,SUM(K1838)*EUconst_FuelBMvalue,"")</f>
        <v/>
      </c>
      <c r="V1839" s="389" t="str">
        <f>IF(V1693,SUM(L1838)*EUconst_FuelBMvalue,"")</f>
        <v/>
      </c>
      <c r="W1839" s="390" t="str">
        <f>IF(W1693,SUM(M1838)*EUconst_FuelBMvalue,"")</f>
        <v/>
      </c>
      <c r="AA1839" s="285" t="b">
        <f>AA1837</f>
        <v>0</v>
      </c>
    </row>
    <row r="1840" spans="2:27" ht="12.75" customHeight="1" x14ac:dyDescent="0.25">
      <c r="B1840" s="17"/>
      <c r="C1840" s="900"/>
      <c r="D1840" s="342"/>
      <c r="E1840" s="342"/>
      <c r="F1840" s="342"/>
      <c r="G1840" s="342"/>
      <c r="H1840" s="342"/>
      <c r="I1840" s="342"/>
      <c r="J1840" s="342"/>
      <c r="K1840" s="342"/>
      <c r="L1840" s="342"/>
      <c r="M1840" s="342"/>
      <c r="N1840" s="266"/>
      <c r="O1840" s="17"/>
      <c r="AA1840" s="815"/>
    </row>
    <row r="1841" spans="2:27" ht="12.75" customHeight="1" x14ac:dyDescent="0.25">
      <c r="B1841" s="17"/>
      <c r="C1841" s="900"/>
      <c r="D1841" s="193" t="s">
        <v>433</v>
      </c>
      <c r="E1841" s="1529" t="str">
        <f>Translations!$B$798</f>
        <v>Types of waste gases exported:</v>
      </c>
      <c r="F1841" s="1529"/>
      <c r="G1841" s="1529"/>
      <c r="H1841" s="1529"/>
      <c r="I1841" s="1530"/>
      <c r="J1841" s="1531"/>
      <c r="K1841" s="1531"/>
      <c r="L1841" s="1531"/>
      <c r="M1841" s="1532"/>
      <c r="N1841" s="763"/>
      <c r="O1841" s="17"/>
      <c r="AA1841" s="285" t="b">
        <f>AA1836</f>
        <v>0</v>
      </c>
    </row>
    <row r="1842" spans="2:27" ht="5.0999999999999996" customHeight="1" x14ac:dyDescent="0.25">
      <c r="B1842" s="17"/>
      <c r="C1842" s="900"/>
      <c r="D1842" s="193"/>
      <c r="E1842" s="1533"/>
      <c r="F1842" s="1512"/>
      <c r="G1842" s="1512"/>
      <c r="H1842" s="1512"/>
      <c r="I1842" s="1512"/>
      <c r="J1842" s="1512"/>
      <c r="K1842" s="1512"/>
      <c r="L1842" s="1512"/>
      <c r="M1842" s="1512"/>
      <c r="N1842" s="1513"/>
      <c r="O1842" s="17"/>
      <c r="AA1842" s="815"/>
    </row>
    <row r="1843" spans="2:27" ht="12.75" customHeight="1" x14ac:dyDescent="0.25">
      <c r="B1843" s="17"/>
      <c r="C1843" s="900"/>
      <c r="D1843" s="342"/>
      <c r="E1843" s="1522"/>
      <c r="F1843" s="1523"/>
      <c r="G1843" s="1523"/>
      <c r="H1843" s="152" t="str">
        <f>EUconst_Unit</f>
        <v>Unit</v>
      </c>
      <c r="I1843" s="153">
        <f>I$1882</f>
        <v>2019</v>
      </c>
      <c r="J1843" s="153">
        <f>J$1882</f>
        <v>2020</v>
      </c>
      <c r="K1843" s="153">
        <f>K$1882</f>
        <v>2021</v>
      </c>
      <c r="L1843" s="153">
        <f>L$1882</f>
        <v>2022</v>
      </c>
      <c r="M1843" s="153">
        <f>M$1882</f>
        <v>2023</v>
      </c>
      <c r="N1843" s="903"/>
      <c r="O1843" s="17"/>
      <c r="AA1843" s="815"/>
    </row>
    <row r="1844" spans="2:27" ht="12.75" customHeight="1" x14ac:dyDescent="0.25">
      <c r="B1844" s="17"/>
      <c r="C1844" s="900"/>
      <c r="D1844" s="193" t="s">
        <v>434</v>
      </c>
      <c r="E1844" s="1526" t="str">
        <f>Translations!$B$800</f>
        <v>Amounts exported</v>
      </c>
      <c r="F1844" s="1526"/>
      <c r="G1844" s="1526"/>
      <c r="H1844" s="949" t="s">
        <v>427</v>
      </c>
      <c r="I1844" s="889"/>
      <c r="J1844" s="889"/>
      <c r="K1844" s="889"/>
      <c r="L1844" s="889"/>
      <c r="M1844" s="889"/>
      <c r="N1844" s="903"/>
      <c r="O1844" s="17"/>
      <c r="AA1844" s="285" t="b">
        <f>AA1841</f>
        <v>0</v>
      </c>
    </row>
    <row r="1845" spans="2:27" ht="12.75" customHeight="1" thickBot="1" x14ac:dyDescent="0.3">
      <c r="B1845" s="17"/>
      <c r="C1845" s="900"/>
      <c r="D1845" s="193" t="s">
        <v>435</v>
      </c>
      <c r="E1845" s="1527" t="str">
        <f>Translations!$B$470</f>
        <v>Net calorific value</v>
      </c>
      <c r="F1845" s="1527"/>
      <c r="G1845" s="1527"/>
      <c r="H1845" s="950" t="str">
        <f>IF(ISBLANK(H1844),EUconst_GJperUnit,INDEX(EUconst_GJperTorKNm3,MATCH(H1844,EUconst_TonnesOrkNm3pa,0)))</f>
        <v>GJ/1000Nm3</v>
      </c>
      <c r="I1845" s="895"/>
      <c r="J1845" s="895"/>
      <c r="K1845" s="895"/>
      <c r="L1845" s="895"/>
      <c r="M1845" s="895"/>
      <c r="N1845" s="903"/>
      <c r="O1845" s="17"/>
      <c r="AA1845" s="285" t="b">
        <f>AA1844</f>
        <v>0</v>
      </c>
    </row>
    <row r="1846" spans="2:27" ht="12.75" customHeight="1" x14ac:dyDescent="0.25">
      <c r="B1846" s="17"/>
      <c r="C1846" s="900"/>
      <c r="D1846" s="193" t="s">
        <v>436</v>
      </c>
      <c r="E1846" s="1528" t="str">
        <f>Translations!$B$801</f>
        <v>Waste gas exported</v>
      </c>
      <c r="F1846" s="1528"/>
      <c r="G1846" s="1528"/>
      <c r="H1846" s="154" t="str">
        <f>EUconst_TJpa</f>
        <v>TJ / year</v>
      </c>
      <c r="I1846" s="163" t="str">
        <f>IF(COUNT(I1844:I1845)=2,I1844*I1845/1000,"")</f>
        <v/>
      </c>
      <c r="J1846" s="163" t="str">
        <f>IF(COUNT(J1844:J1845)=2,J1844*J1845/1000,"")</f>
        <v/>
      </c>
      <c r="K1846" s="163" t="str">
        <f>IF(COUNT(K1844:K1845)=2,K1844*K1845/1000,"")</f>
        <v/>
      </c>
      <c r="L1846" s="163" t="str">
        <f>IF(COUNT(L1844:L1845)=2,L1844*L1845/1000,"")</f>
        <v/>
      </c>
      <c r="M1846" s="163" t="str">
        <f>IF(COUNT(M1844:M1845)=2,M1844*M1845/1000,"")</f>
        <v/>
      </c>
      <c r="N1846" s="277"/>
      <c r="O1846" s="17"/>
      <c r="P1846" s="63" t="str">
        <f>EUconst_CNTR_WGExport &amp; I1693</f>
        <v>WasteGasEx_</v>
      </c>
      <c r="R1846" s="459"/>
      <c r="S1846" s="326">
        <f>I1843</f>
        <v>2019</v>
      </c>
      <c r="T1846" s="326">
        <f>J1843</f>
        <v>2020</v>
      </c>
      <c r="U1846" s="326">
        <f>K1843</f>
        <v>2021</v>
      </c>
      <c r="V1846" s="326">
        <f>L1843</f>
        <v>2022</v>
      </c>
      <c r="W1846" s="327">
        <f>M1843</f>
        <v>2023</v>
      </c>
      <c r="AA1846" s="815"/>
    </row>
    <row r="1847" spans="2:27" ht="12.75" customHeight="1" thickBot="1" x14ac:dyDescent="0.3">
      <c r="B1847" s="17"/>
      <c r="C1847" s="900"/>
      <c r="D1847" s="193" t="s">
        <v>437</v>
      </c>
      <c r="E1847" s="1528" t="str">
        <f>Translations!$B$802</f>
        <v>Specific EF (exported waste gas)</v>
      </c>
      <c r="F1847" s="1528"/>
      <c r="G1847" s="1528"/>
      <c r="H1847" s="154" t="str">
        <f>EUconst_tCO2pTJ</f>
        <v>t CO2 / TJ</v>
      </c>
      <c r="I1847" s="311"/>
      <c r="J1847" s="311"/>
      <c r="K1847" s="311"/>
      <c r="L1847" s="311"/>
      <c r="M1847" s="311"/>
      <c r="N1847" s="266"/>
      <c r="O1847" s="17"/>
      <c r="P1847" s="63" t="str">
        <f>EUconst_CNTR_WGExportEF &amp; I1693</f>
        <v>WasteGasExEF_</v>
      </c>
      <c r="R1847" s="460" t="str">
        <f>EUconst_CNTR_AttributedEmissions &amp; I1693</f>
        <v>AttrEmissions_</v>
      </c>
      <c r="S1847" s="389" t="str">
        <f>IF(S1693,-SUM(I1846)*EUconst_NGEFvalue*EUconst_WasteGasCorrFactor,"")</f>
        <v/>
      </c>
      <c r="T1847" s="389" t="str">
        <f>IF(T1693,-SUM(J1846)*EUconst_NGEFvalue*EUconst_WasteGasCorrFactor,"")</f>
        <v/>
      </c>
      <c r="U1847" s="389" t="str">
        <f>IF(U1693,-SUM(K1846)*EUconst_NGEFvalue*EUconst_WasteGasCorrFactor,"")</f>
        <v/>
      </c>
      <c r="V1847" s="389" t="str">
        <f>IF(V1693,-SUM(L1846)*EUconst_NGEFvalue*EUconst_WasteGasCorrFactor,"")</f>
        <v/>
      </c>
      <c r="W1847" s="390" t="str">
        <f>IF(W1693,-SUM(M1846)*EUconst_NGEFvalue*EUconst_WasteGasCorrFactor,"")</f>
        <v/>
      </c>
      <c r="AA1847" s="286" t="b">
        <f>AA1845</f>
        <v>0</v>
      </c>
    </row>
    <row r="1848" spans="2:27" ht="12.75" customHeight="1" x14ac:dyDescent="0.25">
      <c r="B1848" s="17"/>
      <c r="C1848" s="900"/>
      <c r="D1848" s="342"/>
      <c r="E1848" s="342"/>
      <c r="F1848" s="342"/>
      <c r="G1848" s="342"/>
      <c r="H1848" s="342"/>
      <c r="I1848" s="342"/>
      <c r="J1848" s="342"/>
      <c r="K1848" s="342"/>
      <c r="L1848" s="342"/>
      <c r="M1848" s="342"/>
      <c r="N1848" s="266"/>
      <c r="O1848" s="17"/>
    </row>
    <row r="1849" spans="2:27" ht="12.75" customHeight="1" thickBot="1" x14ac:dyDescent="0.3">
      <c r="B1849" s="17"/>
      <c r="C1849" s="900"/>
      <c r="D1849" s="157" t="s">
        <v>359</v>
      </c>
      <c r="E1849" s="1511" t="str">
        <f>Translations!$B$420</f>
        <v>Electricity production</v>
      </c>
      <c r="F1849" s="1512"/>
      <c r="G1849" s="1512"/>
      <c r="H1849" s="1512"/>
      <c r="I1849" s="1512"/>
      <c r="J1849" s="1512"/>
      <c r="K1849" s="1512"/>
      <c r="L1849" s="1512"/>
      <c r="M1849" s="1512"/>
      <c r="N1849" s="1513"/>
      <c r="O1849" s="17"/>
    </row>
    <row r="1850" spans="2:27" ht="12.75" customHeight="1" x14ac:dyDescent="0.25">
      <c r="B1850" s="17"/>
      <c r="C1850" s="900"/>
      <c r="D1850" s="157"/>
      <c r="E1850" s="1522"/>
      <c r="F1850" s="1523"/>
      <c r="G1850" s="1523"/>
      <c r="H1850" s="152" t="str">
        <f>EUconst_Unit</f>
        <v>Unit</v>
      </c>
      <c r="I1850" s="153">
        <f>I$1882</f>
        <v>2019</v>
      </c>
      <c r="J1850" s="153">
        <f>J$1882</f>
        <v>2020</v>
      </c>
      <c r="K1850" s="153">
        <f>K$1882</f>
        <v>2021</v>
      </c>
      <c r="L1850" s="153">
        <f>L$1882</f>
        <v>2022</v>
      </c>
      <c r="M1850" s="153">
        <f>M$1882</f>
        <v>2023</v>
      </c>
      <c r="N1850" s="266"/>
      <c r="O1850" s="17"/>
      <c r="R1850" s="459"/>
      <c r="S1850" s="326">
        <f>I1850</f>
        <v>2019</v>
      </c>
      <c r="T1850" s="326">
        <f>J1850</f>
        <v>2020</v>
      </c>
      <c r="U1850" s="326">
        <f>K1850</f>
        <v>2021</v>
      </c>
      <c r="V1850" s="326">
        <f>L1850</f>
        <v>2022</v>
      </c>
      <c r="W1850" s="327">
        <f>M1850</f>
        <v>2023</v>
      </c>
    </row>
    <row r="1851" spans="2:27" ht="12.75" customHeight="1" thickBot="1" x14ac:dyDescent="0.3">
      <c r="B1851" s="17"/>
      <c r="C1851" s="900"/>
      <c r="D1851" s="193"/>
      <c r="E1851" s="1528" t="str">
        <f>Translations!$B$805</f>
        <v>Electricity produced</v>
      </c>
      <c r="F1851" s="1528"/>
      <c r="G1851" s="1528"/>
      <c r="H1851" s="154" t="str">
        <f>EUconst_MWhpa</f>
        <v>MWh / year</v>
      </c>
      <c r="I1851" s="311"/>
      <c r="J1851" s="311"/>
      <c r="K1851" s="311"/>
      <c r="L1851" s="311"/>
      <c r="M1851" s="311"/>
      <c r="N1851" s="903"/>
      <c r="O1851" s="17"/>
      <c r="P1851" s="63" t="str">
        <f>EUconst_CNTR_ElectricityExported &amp; I1693</f>
        <v>ElecEx_</v>
      </c>
      <c r="R1851" s="460" t="str">
        <f>EUconst_CNTR_AttributedEmissions &amp; I1693</f>
        <v>AttrEmissions_</v>
      </c>
      <c r="S1851" s="389" t="str">
        <f>IF(S1693,-SUM(I1851)*EUconst_ElBM,"")</f>
        <v/>
      </c>
      <c r="T1851" s="389" t="str">
        <f>IF(T1693,-SUM(J1851)*EUconst_ElBM,"")</f>
        <v/>
      </c>
      <c r="U1851" s="389" t="str">
        <f>IF(U1693,-SUM(K1851)*EUconst_ElBM,"")</f>
        <v/>
      </c>
      <c r="V1851" s="389" t="str">
        <f>IF(V1693,-SUM(L1851)*EUconst_ElBM,"")</f>
        <v/>
      </c>
      <c r="W1851" s="390" t="str">
        <f>IF(W1693,-SUM(M1851)*EUconst_ElBM,"")</f>
        <v/>
      </c>
    </row>
    <row r="1852" spans="2:27" ht="12.75" customHeight="1" x14ac:dyDescent="0.25">
      <c r="B1852" s="17"/>
      <c r="C1852" s="900"/>
      <c r="D1852" s="342"/>
      <c r="E1852" s="342"/>
      <c r="F1852" s="342"/>
      <c r="G1852" s="342"/>
      <c r="H1852" s="342"/>
      <c r="I1852" s="342"/>
      <c r="J1852" s="342"/>
      <c r="K1852" s="342"/>
      <c r="L1852" s="342"/>
      <c r="M1852" s="342"/>
      <c r="N1852" s="266"/>
      <c r="O1852" s="17"/>
    </row>
    <row r="1853" spans="2:27" ht="12.75" customHeight="1" thickBot="1" x14ac:dyDescent="0.3">
      <c r="B1853" s="17"/>
      <c r="C1853" s="900"/>
      <c r="D1853" s="157" t="s">
        <v>361</v>
      </c>
      <c r="E1853" s="1529" t="str">
        <f>Translations!$B$806</f>
        <v>Total amount of pulp produced</v>
      </c>
      <c r="F1853" s="1529"/>
      <c r="G1853" s="1529"/>
      <c r="H1853" s="1529"/>
      <c r="I1853" s="1529"/>
      <c r="J1853" s="1529"/>
      <c r="K1853" s="1529"/>
      <c r="L1853" s="1529"/>
      <c r="M1853" s="1529"/>
      <c r="N1853" s="1534"/>
      <c r="O1853" s="17"/>
    </row>
    <row r="1854" spans="2:27" ht="12.75" customHeight="1" thickBot="1" x14ac:dyDescent="0.3">
      <c r="B1854" s="17"/>
      <c r="C1854" s="900"/>
      <c r="D1854" s="193"/>
      <c r="E1854" s="1510" t="str">
        <f>IF(I1693="","",IF(INDEX(EUconst_BMlistPulp,MATCH(I1693,EUconst_BMlistNames,0)),I1693,""))</f>
        <v/>
      </c>
      <c r="F1854" s="1510"/>
      <c r="G1854" s="1510"/>
      <c r="H1854" s="154" t="str">
        <f>EUconst_Tons</f>
        <v>tonnes</v>
      </c>
      <c r="I1854" s="311"/>
      <c r="J1854" s="311"/>
      <c r="K1854" s="311"/>
      <c r="L1854" s="311"/>
      <c r="M1854" s="311"/>
      <c r="N1854" s="903"/>
      <c r="O1854" s="17"/>
      <c r="P1854" s="63" t="str">
        <f>EUconst_CNTR_HALPulpTotal &amp; I1693</f>
        <v>HALPulpTotal_</v>
      </c>
      <c r="AA1854" s="410" t="b">
        <f>IF(I1693&lt;&gt;"",IF(INDEX(EUconst_BMlistPulp,MATCH(I1693,EUconst_BMlistNames,0))=TRUE,FALSE,TRUE),FALSE)</f>
        <v>0</v>
      </c>
    </row>
    <row r="1855" spans="2:27" ht="12.75" customHeight="1" x14ac:dyDescent="0.25">
      <c r="B1855" s="17"/>
      <c r="C1855" s="900"/>
      <c r="D1855" s="193"/>
      <c r="E1855" s="193"/>
      <c r="F1855" s="193"/>
      <c r="G1855" s="193"/>
      <c r="H1855" s="193"/>
      <c r="I1855" s="193"/>
      <c r="J1855" s="193"/>
      <c r="K1855" s="193"/>
      <c r="L1855" s="193"/>
      <c r="M1855" s="193"/>
      <c r="N1855" s="903"/>
      <c r="O1855" s="17"/>
    </row>
    <row r="1856" spans="2:27" ht="12.75" customHeight="1" thickBot="1" x14ac:dyDescent="0.3">
      <c r="B1856" s="17"/>
      <c r="C1856" s="900"/>
      <c r="D1856" s="157" t="s">
        <v>362</v>
      </c>
      <c r="E1856" s="1511" t="str">
        <f>Translations!$B$810</f>
        <v>Import or export of intermediate products covered by product benchmarks</v>
      </c>
      <c r="F1856" s="1512"/>
      <c r="G1856" s="1512"/>
      <c r="H1856" s="1512"/>
      <c r="I1856" s="1512"/>
      <c r="J1856" s="1512"/>
      <c r="K1856" s="1512"/>
      <c r="L1856" s="1512"/>
      <c r="M1856" s="1512"/>
      <c r="N1856" s="1513"/>
      <c r="O1856" s="17"/>
    </row>
    <row r="1857" spans="2:27" ht="12.75" customHeight="1" thickBot="1" x14ac:dyDescent="0.3">
      <c r="B1857" s="17"/>
      <c r="C1857" s="900"/>
      <c r="D1857" s="193" t="s">
        <v>206</v>
      </c>
      <c r="E1857" s="1514" t="str">
        <f>Translations!$B$813</f>
        <v>Is there any import or export of intermediate products covered by product benchmarks?</v>
      </c>
      <c r="F1857" s="1514"/>
      <c r="G1857" s="1514"/>
      <c r="H1857" s="1514"/>
      <c r="I1857" s="1514"/>
      <c r="J1857" s="1514"/>
      <c r="K1857" s="1515"/>
      <c r="L1857" s="194"/>
      <c r="M1857" s="342"/>
      <c r="N1857" s="277"/>
      <c r="O1857" s="17"/>
      <c r="W1857" s="288" t="s">
        <v>418</v>
      </c>
      <c r="X1857" s="215" t="b">
        <f>IF(AND(I1693&lt;&gt;"",ISBLANK(L1857)),EUconst_Error&amp;"BM"&amp;C1693,FALSE)</f>
        <v>0</v>
      </c>
    </row>
    <row r="1858" spans="2:27" ht="5.0999999999999996" customHeight="1" x14ac:dyDescent="0.25">
      <c r="B1858" s="17"/>
      <c r="C1858" s="900"/>
      <c r="D1858" s="193"/>
      <c r="E1858" s="193"/>
      <c r="F1858" s="193"/>
      <c r="G1858" s="193"/>
      <c r="H1858" s="193"/>
      <c r="I1858" s="193"/>
      <c r="J1858" s="193"/>
      <c r="K1858" s="193"/>
      <c r="L1858" s="193"/>
      <c r="M1858" s="193"/>
      <c r="N1858" s="903"/>
      <c r="O1858" s="17"/>
    </row>
    <row r="1859" spans="2:27" ht="12.75" customHeight="1" thickBot="1" x14ac:dyDescent="0.3">
      <c r="B1859" s="17"/>
      <c r="C1859" s="900"/>
      <c r="D1859" s="157"/>
      <c r="E1859" s="1522" t="str">
        <f>Translations!$B$814</f>
        <v>Imported amounts:</v>
      </c>
      <c r="F1859" s="1523"/>
      <c r="G1859" s="1523"/>
      <c r="H1859" s="192" t="str">
        <f>EUconst_Unit</f>
        <v>Unit</v>
      </c>
      <c r="I1859" s="153">
        <f>I$1882</f>
        <v>2019</v>
      </c>
      <c r="J1859" s="153">
        <f>J$1882</f>
        <v>2020</v>
      </c>
      <c r="K1859" s="153">
        <f>K$1882</f>
        <v>2021</v>
      </c>
      <c r="L1859" s="153">
        <f>L$1882</f>
        <v>2022</v>
      </c>
      <c r="M1859" s="153">
        <f>M$1882</f>
        <v>2023</v>
      </c>
      <c r="N1859" s="903"/>
      <c r="O1859" s="17"/>
      <c r="AA1859" s="145" t="s">
        <v>396</v>
      </c>
    </row>
    <row r="1860" spans="2:27" ht="12.75" customHeight="1" x14ac:dyDescent="0.25">
      <c r="B1860" s="17"/>
      <c r="C1860" s="900"/>
      <c r="D1860" s="193" t="s">
        <v>208</v>
      </c>
      <c r="E1860" s="1524"/>
      <c r="F1860" s="1524"/>
      <c r="G1860" s="1524"/>
      <c r="H1860" s="853" t="str">
        <f>IF(E1860&lt;&gt;"",INDEX(EUconst_BMlistUnits,MATCH(E1860,EUconst_BMlistNames,0)),EUconst_Tons)</f>
        <v>tonnes</v>
      </c>
      <c r="I1860" s="953"/>
      <c r="J1860" s="953"/>
      <c r="K1860" s="953"/>
      <c r="L1860" s="953"/>
      <c r="M1860" s="953"/>
      <c r="N1860" s="903"/>
      <c r="O1860" s="17"/>
      <c r="P1860" s="63" t="str">
        <f>EUconst_CNTR_IntermediateImport &amp; R1860 &amp; "_" &amp; I1693</f>
        <v>IntImp_1_</v>
      </c>
      <c r="R1860" s="63">
        <v>1</v>
      </c>
      <c r="AA1860" s="316" t="b">
        <f>AND(NOT(ISBLANK(L1857)),L1857=FALSE)</f>
        <v>0</v>
      </c>
    </row>
    <row r="1861" spans="2:27" ht="12.75" customHeight="1" x14ac:dyDescent="0.25">
      <c r="B1861" s="17"/>
      <c r="C1861" s="900"/>
      <c r="D1861" s="193" t="s">
        <v>209</v>
      </c>
      <c r="E1861" s="1525"/>
      <c r="F1861" s="1525"/>
      <c r="G1861" s="1525"/>
      <c r="H1861" s="950" t="str">
        <f>IF(E1861&lt;&gt;"",INDEX(EUconst_BMlistUnits,MATCH(E1861,EUconst_BMlistNames,0)),EUconst_Tons)</f>
        <v>tonnes</v>
      </c>
      <c r="I1861" s="954"/>
      <c r="J1861" s="954"/>
      <c r="K1861" s="954"/>
      <c r="L1861" s="954"/>
      <c r="M1861" s="954"/>
      <c r="N1861" s="903"/>
      <c r="O1861" s="17"/>
      <c r="P1861" s="63" t="str">
        <f>EUconst_CNTR_IntermediateImport &amp; R1861 &amp; "_" &amp; I1693</f>
        <v>IntImp_2_</v>
      </c>
      <c r="R1861" s="63">
        <v>2</v>
      </c>
      <c r="AA1861" s="285" t="b">
        <f>AA1860</f>
        <v>0</v>
      </c>
    </row>
    <row r="1862" spans="2:27" ht="5.0999999999999996" customHeight="1" x14ac:dyDescent="0.25">
      <c r="B1862" s="17"/>
      <c r="C1862" s="900"/>
      <c r="D1862" s="193"/>
      <c r="E1862" s="193"/>
      <c r="F1862" s="193"/>
      <c r="G1862" s="193"/>
      <c r="H1862" s="193"/>
      <c r="I1862" s="193"/>
      <c r="J1862" s="193"/>
      <c r="K1862" s="193"/>
      <c r="L1862" s="193"/>
      <c r="M1862" s="193"/>
      <c r="N1862" s="903"/>
      <c r="O1862" s="17"/>
      <c r="AA1862" s="815"/>
    </row>
    <row r="1863" spans="2:27" ht="12.75" customHeight="1" x14ac:dyDescent="0.25">
      <c r="B1863" s="17"/>
      <c r="C1863" s="900"/>
      <c r="D1863" s="157"/>
      <c r="E1863" s="1522" t="str">
        <f>Translations!$B$815</f>
        <v>Exported amounts:</v>
      </c>
      <c r="F1863" s="1523"/>
      <c r="G1863" s="1523"/>
      <c r="H1863" s="192" t="str">
        <f>EUconst_Unit</f>
        <v>Unit</v>
      </c>
      <c r="I1863" s="153">
        <f>I$1882</f>
        <v>2019</v>
      </c>
      <c r="J1863" s="153">
        <f>J$1882</f>
        <v>2020</v>
      </c>
      <c r="K1863" s="153">
        <f>K$1882</f>
        <v>2021</v>
      </c>
      <c r="L1863" s="153">
        <f>L$1882</f>
        <v>2022</v>
      </c>
      <c r="M1863" s="153">
        <f>M$1882</f>
        <v>2023</v>
      </c>
      <c r="N1863" s="903"/>
      <c r="O1863" s="17"/>
      <c r="AA1863" s="815"/>
    </row>
    <row r="1864" spans="2:27" ht="12.75" customHeight="1" x14ac:dyDescent="0.25">
      <c r="B1864" s="17"/>
      <c r="C1864" s="900"/>
      <c r="D1864" s="193" t="s">
        <v>210</v>
      </c>
      <c r="E1864" s="1524"/>
      <c r="F1864" s="1524"/>
      <c r="G1864" s="1524"/>
      <c r="H1864" s="853" t="str">
        <f>IF(E1864&lt;&gt;"",INDEX(EUconst_BMlistUnits,MATCH(E1864,EUconst_BMlistNames,0)),EUconst_Tons)</f>
        <v>tonnes</v>
      </c>
      <c r="I1864" s="953"/>
      <c r="J1864" s="953"/>
      <c r="K1864" s="953"/>
      <c r="L1864" s="953"/>
      <c r="M1864" s="953"/>
      <c r="N1864" s="903"/>
      <c r="O1864" s="17"/>
      <c r="P1864" s="63" t="str">
        <f>EUconst_CNTR_IntermediateExport &amp; R1860 &amp; "_" &amp; I1693</f>
        <v>IntExp_1_</v>
      </c>
      <c r="R1864" s="63">
        <v>1</v>
      </c>
      <c r="U1864" s="955"/>
      <c r="V1864" s="955"/>
      <c r="AA1864" s="285" t="b">
        <f>AA1860</f>
        <v>0</v>
      </c>
    </row>
    <row r="1865" spans="2:27" ht="12.75" customHeight="1" x14ac:dyDescent="0.25">
      <c r="B1865" s="17"/>
      <c r="C1865" s="900"/>
      <c r="D1865" s="193" t="s">
        <v>220</v>
      </c>
      <c r="E1865" s="1525"/>
      <c r="F1865" s="1525"/>
      <c r="G1865" s="1525"/>
      <c r="H1865" s="950" t="str">
        <f>IF(E1865&lt;&gt;"",INDEX(EUconst_BMlistUnits,MATCH(E1865,EUconst_BMlistNames,0)),EUconst_Tons)</f>
        <v>tonnes</v>
      </c>
      <c r="I1865" s="954"/>
      <c r="J1865" s="954"/>
      <c r="K1865" s="954"/>
      <c r="L1865" s="954"/>
      <c r="M1865" s="954"/>
      <c r="N1865" s="903"/>
      <c r="O1865" s="17"/>
      <c r="P1865" s="63" t="str">
        <f>EUconst_CNTR_IntermediateExport &amp; R1865 &amp; "_" &amp; I1693</f>
        <v>IntExp_2_</v>
      </c>
      <c r="R1865" s="63">
        <v>2</v>
      </c>
      <c r="U1865" s="955"/>
      <c r="V1865" s="955"/>
      <c r="AA1865" s="285" t="b">
        <f>AA1860</f>
        <v>0</v>
      </c>
    </row>
    <row r="1866" spans="2:27" ht="5.0999999999999996" customHeight="1" x14ac:dyDescent="0.25">
      <c r="B1866" s="17"/>
      <c r="C1866" s="900"/>
      <c r="D1866" s="193"/>
      <c r="E1866" s="193"/>
      <c r="F1866" s="193"/>
      <c r="G1866" s="193"/>
      <c r="H1866" s="193"/>
      <c r="I1866" s="193"/>
      <c r="J1866" s="193"/>
      <c r="K1866" s="193"/>
      <c r="L1866" s="193"/>
      <c r="M1866" s="193"/>
      <c r="N1866" s="903"/>
      <c r="O1866" s="17"/>
      <c r="U1866" s="955"/>
      <c r="V1866" s="955"/>
      <c r="AA1866" s="815"/>
    </row>
    <row r="1867" spans="2:27" ht="12.75" customHeight="1" x14ac:dyDescent="0.25">
      <c r="B1867" s="17"/>
      <c r="C1867" s="900"/>
      <c r="D1867" s="193" t="s">
        <v>221</v>
      </c>
      <c r="E1867" s="1514" t="str">
        <f>Translations!$B$816</f>
        <v>Description of the intermediate products imported or exported</v>
      </c>
      <c r="F1867" s="1514"/>
      <c r="G1867" s="1514"/>
      <c r="H1867" s="1514"/>
      <c r="I1867" s="1514"/>
      <c r="J1867" s="1514"/>
      <c r="K1867" s="1514"/>
      <c r="L1867" s="1514"/>
      <c r="M1867" s="1514"/>
      <c r="N1867" s="903"/>
      <c r="O1867" s="17"/>
      <c r="U1867" s="955"/>
      <c r="V1867" s="955"/>
      <c r="AA1867" s="815"/>
    </row>
    <row r="1868" spans="2:27" ht="12.75" customHeight="1" x14ac:dyDescent="0.25">
      <c r="B1868" s="17"/>
      <c r="C1868" s="900"/>
      <c r="D1868" s="193"/>
      <c r="E1868" s="1516"/>
      <c r="F1868" s="1517"/>
      <c r="G1868" s="1517"/>
      <c r="H1868" s="1517"/>
      <c r="I1868" s="1517"/>
      <c r="J1868" s="1517"/>
      <c r="K1868" s="1517"/>
      <c r="L1868" s="1517"/>
      <c r="M1868" s="1518"/>
      <c r="N1868" s="903"/>
      <c r="O1868" s="17"/>
      <c r="U1868" s="955"/>
      <c r="V1868" s="955"/>
      <c r="AA1868" s="285" t="b">
        <f>AA1860</f>
        <v>0</v>
      </c>
    </row>
    <row r="1869" spans="2:27" ht="12.75" customHeight="1" thickBot="1" x14ac:dyDescent="0.3">
      <c r="B1869" s="17"/>
      <c r="C1869" s="900"/>
      <c r="D1869" s="193"/>
      <c r="E1869" s="1519"/>
      <c r="F1869" s="1520"/>
      <c r="G1869" s="1520"/>
      <c r="H1869" s="1520"/>
      <c r="I1869" s="1520"/>
      <c r="J1869" s="1520"/>
      <c r="K1869" s="1520"/>
      <c r="L1869" s="1520"/>
      <c r="M1869" s="1521"/>
      <c r="N1869" s="903"/>
      <c r="O1869" s="17"/>
      <c r="U1869" s="955"/>
      <c r="V1869" s="955"/>
      <c r="AA1869" s="286" t="b">
        <f>AA1860</f>
        <v>0</v>
      </c>
    </row>
    <row r="1870" spans="2:27" ht="12.75" customHeight="1" thickBot="1" x14ac:dyDescent="0.3">
      <c r="B1870" s="17"/>
      <c r="C1870" s="956"/>
      <c r="D1870" s="465"/>
      <c r="E1870" s="465"/>
      <c r="F1870" s="465"/>
      <c r="G1870" s="465"/>
      <c r="H1870" s="465"/>
      <c r="I1870" s="465"/>
      <c r="J1870" s="465"/>
      <c r="K1870" s="465"/>
      <c r="L1870" s="465"/>
      <c r="M1870" s="465"/>
      <c r="N1870" s="466"/>
      <c r="O1870" s="17"/>
    </row>
    <row r="1871" spans="2:27" ht="13.8" thickBot="1" x14ac:dyDescent="0.3">
      <c r="B1871" s="17"/>
      <c r="C1871" s="17"/>
      <c r="D1871" s="17"/>
      <c r="E1871" s="17"/>
      <c r="F1871" s="17"/>
      <c r="G1871" s="17"/>
      <c r="H1871" s="17"/>
      <c r="I1871" s="17"/>
      <c r="J1871" s="17"/>
      <c r="K1871" s="17"/>
      <c r="L1871" s="17"/>
      <c r="M1871" s="17"/>
      <c r="N1871" s="17"/>
      <c r="O1871" s="17"/>
      <c r="P1871" s="372" t="str">
        <f>IF(OR(AND(CNTR_ExistProductSubEntries=FALSE,P1693=1),AND(I1693&lt;&gt;"",COUNTIF(P1872:$P$1876,"PRINT")=0)),"PRINT","")</f>
        <v/>
      </c>
      <c r="Q1871" s="145" t="s">
        <v>442</v>
      </c>
    </row>
    <row r="1872" spans="2:27" ht="5.0999999999999996" customHeight="1" x14ac:dyDescent="0.25">
      <c r="B1872" s="17"/>
      <c r="C1872" s="957"/>
      <c r="D1872" s="957"/>
      <c r="E1872" s="957"/>
      <c r="F1872" s="957"/>
      <c r="G1872" s="957"/>
      <c r="H1872" s="957"/>
      <c r="I1872" s="957"/>
      <c r="J1872" s="957"/>
      <c r="K1872" s="957"/>
      <c r="L1872" s="957"/>
      <c r="M1872" s="957"/>
      <c r="N1872" s="957"/>
      <c r="O1872" s="17"/>
    </row>
    <row r="1873" spans="1:27" x14ac:dyDescent="0.25">
      <c r="B1873" s="17"/>
      <c r="C1873" s="17"/>
      <c r="D1873" s="17"/>
      <c r="E1873" s="17"/>
      <c r="F1873" s="17"/>
      <c r="G1873" s="17"/>
      <c r="H1873" s="17"/>
      <c r="I1873" s="17"/>
      <c r="J1873" s="17"/>
      <c r="K1873" s="17"/>
      <c r="L1873" s="17"/>
      <c r="M1873" s="17"/>
      <c r="N1873" s="17"/>
      <c r="O1873" s="17"/>
    </row>
    <row r="1874" spans="1:27" x14ac:dyDescent="0.25">
      <c r="B1874" s="17"/>
      <c r="C1874" s="17"/>
      <c r="D1874" s="1413" t="str">
        <f>Translations!$B$73</f>
        <v xml:space="preserve">&lt;&lt;&lt; Click here to proceed to next sheet &gt;&gt;&gt; </v>
      </c>
      <c r="E1874" s="1413"/>
      <c r="F1874" s="1413"/>
      <c r="G1874" s="1413"/>
      <c r="H1874" s="1413"/>
      <c r="I1874" s="1413"/>
      <c r="J1874" s="1413"/>
      <c r="K1874" s="1413"/>
      <c r="L1874" s="1413"/>
      <c r="M1874" s="1413"/>
      <c r="N1874" s="1413"/>
      <c r="O1874" s="17"/>
    </row>
    <row r="1875" spans="1:27" x14ac:dyDescent="0.25">
      <c r="B1875" s="17"/>
      <c r="C1875" s="17"/>
      <c r="D1875" s="17"/>
      <c r="E1875" s="17"/>
      <c r="F1875" s="17"/>
      <c r="G1875" s="17"/>
      <c r="H1875" s="17"/>
      <c r="I1875" s="17"/>
      <c r="J1875" s="17"/>
      <c r="K1875" s="17"/>
      <c r="L1875" s="17"/>
      <c r="M1875" s="17"/>
      <c r="N1875" s="17"/>
      <c r="O1875" s="17"/>
    </row>
    <row r="1876" spans="1:27" hidden="1" x14ac:dyDescent="0.25">
      <c r="A1876" s="145" t="s">
        <v>187</v>
      </c>
      <c r="B1876" s="145" t="s">
        <v>287</v>
      </c>
      <c r="C1876" s="145" t="s">
        <v>287</v>
      </c>
      <c r="D1876" s="145" t="s">
        <v>287</v>
      </c>
      <c r="E1876" s="145" t="s">
        <v>287</v>
      </c>
      <c r="F1876" s="145" t="s">
        <v>287</v>
      </c>
      <c r="G1876" s="145"/>
      <c r="H1876" s="145" t="s">
        <v>287</v>
      </c>
      <c r="I1876" s="145" t="s">
        <v>287</v>
      </c>
      <c r="J1876" s="145" t="s">
        <v>287</v>
      </c>
      <c r="K1876" s="145" t="s">
        <v>287</v>
      </c>
      <c r="L1876" s="145" t="s">
        <v>287</v>
      </c>
      <c r="M1876" s="145" t="s">
        <v>287</v>
      </c>
      <c r="N1876" s="145" t="s">
        <v>287</v>
      </c>
      <c r="O1876" s="145" t="s">
        <v>287</v>
      </c>
      <c r="P1876" s="145" t="s">
        <v>287</v>
      </c>
      <c r="Q1876" s="145" t="s">
        <v>287</v>
      </c>
      <c r="R1876" s="145" t="s">
        <v>287</v>
      </c>
      <c r="S1876" s="145" t="s">
        <v>287</v>
      </c>
      <c r="T1876" s="145" t="s">
        <v>287</v>
      </c>
      <c r="U1876" s="145" t="s">
        <v>287</v>
      </c>
      <c r="V1876" s="145" t="s">
        <v>287</v>
      </c>
      <c r="W1876" s="145" t="s">
        <v>287</v>
      </c>
      <c r="X1876" s="145" t="s">
        <v>287</v>
      </c>
      <c r="Y1876" s="145" t="s">
        <v>287</v>
      </c>
      <c r="Z1876" s="145" t="s">
        <v>287</v>
      </c>
      <c r="AA1876" s="145" t="s">
        <v>287</v>
      </c>
    </row>
    <row r="1877" spans="1:27" hidden="1" x14ac:dyDescent="0.25">
      <c r="A1877" s="145" t="s">
        <v>187</v>
      </c>
    </row>
    <row r="1878" spans="1:27" ht="13.8" hidden="1" thickBot="1" x14ac:dyDescent="0.3">
      <c r="A1878" s="145" t="s">
        <v>187</v>
      </c>
      <c r="B1878" s="145"/>
      <c r="C1878" s="145"/>
      <c r="D1878" s="28" t="s">
        <v>288</v>
      </c>
      <c r="E1878" s="145"/>
      <c r="F1878" s="145"/>
      <c r="G1878" s="145"/>
      <c r="H1878" s="145"/>
      <c r="I1878" s="145"/>
      <c r="J1878" s="145"/>
      <c r="K1878" s="145"/>
      <c r="L1878" s="145"/>
      <c r="M1878" s="145"/>
      <c r="N1878" s="145"/>
      <c r="O1878" s="145"/>
    </row>
    <row r="1879" spans="1:27" hidden="1" x14ac:dyDescent="0.25">
      <c r="A1879" s="145" t="s">
        <v>187</v>
      </c>
      <c r="E1879" s="55" t="s">
        <v>290</v>
      </c>
      <c r="F1879" s="690"/>
      <c r="G1879" s="690"/>
      <c r="H1879" s="690"/>
      <c r="I1879" s="690"/>
      <c r="J1879" s="690"/>
      <c r="K1879" s="690"/>
      <c r="L1879" s="690"/>
      <c r="M1879" s="690"/>
      <c r="N1879" s="691"/>
    </row>
    <row r="1880" spans="1:27" hidden="1" x14ac:dyDescent="0.25">
      <c r="A1880" s="145" t="s">
        <v>187</v>
      </c>
      <c r="E1880" s="49" t="s">
        <v>291</v>
      </c>
      <c r="F1880" s="47"/>
      <c r="G1880" s="47"/>
      <c r="H1880" s="47"/>
      <c r="I1880" s="48">
        <v>1</v>
      </c>
      <c r="J1880" s="48">
        <v>2</v>
      </c>
      <c r="K1880" s="48">
        <v>3</v>
      </c>
      <c r="L1880" s="48">
        <v>4</v>
      </c>
      <c r="M1880" s="48">
        <v>5</v>
      </c>
      <c r="N1880" s="50"/>
    </row>
    <row r="1881" spans="1:27" hidden="1" x14ac:dyDescent="0.25">
      <c r="A1881" s="145" t="s">
        <v>187</v>
      </c>
      <c r="E1881" s="49" t="s">
        <v>292</v>
      </c>
      <c r="F1881" s="47"/>
      <c r="G1881" s="47"/>
      <c r="H1881" s="47"/>
      <c r="I1881" s="48">
        <f>INDEX(EUconst_ReportingYears,I1880)</f>
        <v>2014</v>
      </c>
      <c r="J1881" s="48">
        <f>INDEX(EUconst_ReportingYears,J1880)</f>
        <v>2015</v>
      </c>
      <c r="K1881" s="48">
        <f>INDEX(EUconst_ReportingYears,K1880)</f>
        <v>2016</v>
      </c>
      <c r="L1881" s="48">
        <f>INDEX(EUconst_ReportingYears,L1880)</f>
        <v>2017</v>
      </c>
      <c r="M1881" s="48">
        <f>INDEX(EUconst_ReportingYears,M1880)</f>
        <v>2018</v>
      </c>
      <c r="N1881" s="50"/>
    </row>
    <row r="1882" spans="1:27" hidden="1" x14ac:dyDescent="0.25">
      <c r="A1882" s="145" t="s">
        <v>187</v>
      </c>
      <c r="E1882" s="49" t="s">
        <v>293</v>
      </c>
      <c r="F1882" s="47"/>
      <c r="G1882" s="47"/>
      <c r="H1882" s="47"/>
      <c r="I1882" s="48">
        <f>IF(CNTR_BaselinePeriod=EUconst_NA,I1881,INDEX(EUconst_ReportingYears,I1880)+(CNTR_BaselinePeriod-1)*5)</f>
        <v>2019</v>
      </c>
      <c r="J1882" s="48">
        <f>IF(CNTR_BaselinePeriod=EUconst_NA,J1881,INDEX(EUconst_ReportingYears,J1880)+(CNTR_BaselinePeriod-1)*5)</f>
        <v>2020</v>
      </c>
      <c r="K1882" s="48">
        <f>IF(CNTR_BaselinePeriod=EUconst_NA,K1881,INDEX(EUconst_ReportingYears,K1880)+(CNTR_BaselinePeriod-1)*5)</f>
        <v>2021</v>
      </c>
      <c r="L1882" s="48">
        <f>IF(CNTR_BaselinePeriod=EUconst_NA,L1881,INDEX(EUconst_ReportingYears,L1880)+(CNTR_BaselinePeriod-1)*5)</f>
        <v>2022</v>
      </c>
      <c r="M1882" s="48">
        <f>IF(CNTR_BaselinePeriod=EUconst_NA,M1881,INDEX(EUconst_ReportingYears,M1880)+(CNTR_BaselinePeriod-1)*5)</f>
        <v>2023</v>
      </c>
      <c r="N1882" s="50"/>
      <c r="O1882" s="17"/>
    </row>
    <row r="1883" spans="1:27" hidden="1" x14ac:dyDescent="0.25">
      <c r="A1883" s="145" t="s">
        <v>187</v>
      </c>
      <c r="E1883" s="49" t="s">
        <v>294</v>
      </c>
      <c r="F1883" s="47"/>
      <c r="G1883" s="47"/>
      <c r="H1883" s="47"/>
      <c r="I1883" s="48">
        <v>1</v>
      </c>
      <c r="J1883" s="48">
        <v>1</v>
      </c>
      <c r="K1883" s="48">
        <v>1</v>
      </c>
      <c r="L1883" s="48">
        <v>1</v>
      </c>
      <c r="M1883" s="48">
        <v>1</v>
      </c>
      <c r="N1883" s="50"/>
    </row>
    <row r="1884" spans="1:27" hidden="1" x14ac:dyDescent="0.25">
      <c r="A1884" s="145" t="s">
        <v>187</v>
      </c>
      <c r="E1884" s="49" t="s">
        <v>341</v>
      </c>
      <c r="F1884" s="47"/>
      <c r="G1884" s="47"/>
      <c r="H1884" s="47"/>
      <c r="I1884" s="47" t="b">
        <f>(I1883=CNTR_BaselinePeriod)</f>
        <v>0</v>
      </c>
      <c r="J1884" s="47" t="b">
        <f>(J1883=CNTR_BaselinePeriod)</f>
        <v>0</v>
      </c>
      <c r="K1884" s="47" t="b">
        <f>(K1883=CNTR_BaselinePeriod)</f>
        <v>0</v>
      </c>
      <c r="L1884" s="47" t="b">
        <f>(L1883=CNTR_BaselinePeriod)</f>
        <v>0</v>
      </c>
      <c r="M1884" s="47" t="b">
        <f>(M1883=CNTR_BaselinePeriod)</f>
        <v>0</v>
      </c>
      <c r="N1884" s="51"/>
    </row>
    <row r="1885" spans="1:27" ht="13.8" hidden="1" thickBot="1" x14ac:dyDescent="0.3">
      <c r="A1885" s="145" t="s">
        <v>187</v>
      </c>
      <c r="E1885" s="52" t="s">
        <v>296</v>
      </c>
      <c r="F1885" s="53"/>
      <c r="G1885" s="53"/>
      <c r="H1885" s="53"/>
      <c r="I1885" s="53">
        <f>INDEX(CNTR_BaslineYearRelevant,I1880)</f>
        <v>0</v>
      </c>
      <c r="J1885" s="53">
        <f>INDEX(CNTR_BaslineYearRelevant,J1880)</f>
        <v>0</v>
      </c>
      <c r="K1885" s="53">
        <f>INDEX(CNTR_BaslineYearRelevant,K1880)</f>
        <v>0</v>
      </c>
      <c r="L1885" s="53">
        <f>INDEX(CNTR_BaslineYearRelevant,L1880)</f>
        <v>0</v>
      </c>
      <c r="M1885" s="53">
        <f>INDEX(CNTR_BaslineYearRelevant,M1880)</f>
        <v>0</v>
      </c>
      <c r="N1885" s="54"/>
    </row>
    <row r="1886" spans="1:27" hidden="1" x14ac:dyDescent="0.25">
      <c r="A1886" s="145" t="s">
        <v>187</v>
      </c>
    </row>
    <row r="1887" spans="1:27" hidden="1" x14ac:dyDescent="0.25">
      <c r="A1887" s="145" t="s">
        <v>187</v>
      </c>
      <c r="E1887" s="2" t="s">
        <v>444</v>
      </c>
    </row>
    <row r="1888" spans="1:27" ht="13.8" hidden="1" thickBot="1" x14ac:dyDescent="0.3">
      <c r="A1888" s="145" t="s">
        <v>187</v>
      </c>
      <c r="E1888" s="47"/>
      <c r="F1888" s="47"/>
      <c r="G1888" s="47"/>
      <c r="H1888" s="47"/>
      <c r="I1888" s="47">
        <f>I$1882</f>
        <v>2019</v>
      </c>
      <c r="J1888" s="47">
        <f>J$1882</f>
        <v>2020</v>
      </c>
      <c r="K1888" s="47">
        <f>K$1882</f>
        <v>2021</v>
      </c>
      <c r="L1888" s="47">
        <f>L$1882</f>
        <v>2022</v>
      </c>
      <c r="M1888" s="47">
        <f>M$1882</f>
        <v>2023</v>
      </c>
      <c r="P1888" s="145" t="s">
        <v>445</v>
      </c>
    </row>
    <row r="1889" spans="1:16" ht="13.8" hidden="1" thickBot="1" x14ac:dyDescent="0.3">
      <c r="A1889" s="145" t="s">
        <v>187</v>
      </c>
      <c r="E1889" s="866" t="s">
        <v>446</v>
      </c>
      <c r="F1889" s="866"/>
      <c r="G1889" s="866"/>
      <c r="H1889" s="866"/>
      <c r="I1889" s="866">
        <f t="array" ref="I1889">SUM(IF(($P$11:$P$1876=$P1889)*ISNUMBER(I$11:I$1876),1,0))</f>
        <v>0</v>
      </c>
      <c r="J1889" s="866">
        <f t="array" ref="J1889">SUM(IF(($P$11:$P$1876=$P1889)*ISNUMBER(J$11:J$1876),1,0))</f>
        <v>0</v>
      </c>
      <c r="K1889" s="866">
        <f t="array" ref="K1889">SUM(IF(($P$11:$P$1876=$P1889)*ISNUMBER(K$11:K$1876),1,0))</f>
        <v>0</v>
      </c>
      <c r="L1889" s="866">
        <f t="array" ref="L1889">SUM(IF(($P$11:$P$1876=$P1889)*ISNUMBER(L$11:L$1876),1,0))</f>
        <v>0</v>
      </c>
      <c r="M1889" s="866">
        <f t="array" ref="M1889">SUM(IF(($P$11:$P$1876=$P1889)*ISNUMBER(M$11:M$1876),1,0))</f>
        <v>0</v>
      </c>
      <c r="P1889" s="65" t="str">
        <f>EUconst_CNTR_HAL&amp;EUconst_CNTR_nonETSMeasHeat</f>
        <v>HAL_non-ETS measurable heat</v>
      </c>
    </row>
    <row r="1890" spans="1:16" ht="13.8" hidden="1" thickBot="1" x14ac:dyDescent="0.3">
      <c r="A1890" s="145" t="s">
        <v>187</v>
      </c>
      <c r="E1890" s="66" t="s">
        <v>447</v>
      </c>
      <c r="F1890" s="67"/>
      <c r="G1890" s="67"/>
      <c r="H1890" s="68" t="str">
        <f>EUconst_TJpa</f>
        <v>TJ / year</v>
      </c>
      <c r="I1890" s="69" t="str">
        <f>IF(I1889&gt;0,SUMIF($P$11:$P$1876,$P1889,I$11:I$1876),"")</f>
        <v/>
      </c>
      <c r="J1890" s="69" t="str">
        <f>IF(J1889&gt;0,SUMIF($P$11:$P$1876,$P1889,J$11:J$1876),"")</f>
        <v/>
      </c>
      <c r="K1890" s="69" t="str">
        <f>IF(K1889&gt;0,SUMIF($P$11:$P$1876,$P1889,K$11:K$1876),"")</f>
        <v/>
      </c>
      <c r="L1890" s="69" t="str">
        <f>IF(L1889&gt;0,SUMIF($P$11:$P$1876,$P1889,L$11:L$1876),"")</f>
        <v/>
      </c>
      <c r="M1890" s="70" t="str">
        <f>IF(M1889&gt;0,SUMIF($P$11:$P$1876,$P1889,M$11:M$1876),"")</f>
        <v/>
      </c>
      <c r="P1890" s="145" t="s">
        <v>448</v>
      </c>
    </row>
    <row r="1891" spans="1:16" hidden="1" x14ac:dyDescent="0.25">
      <c r="A1891" s="145" t="s">
        <v>187</v>
      </c>
    </row>
    <row r="1892" spans="1:16" hidden="1" x14ac:dyDescent="0.25">
      <c r="A1892" s="145" t="s">
        <v>187</v>
      </c>
      <c r="E1892" s="2" t="s">
        <v>449</v>
      </c>
    </row>
    <row r="1893" spans="1:16" ht="13.8" hidden="1" thickBot="1" x14ac:dyDescent="0.3">
      <c r="A1893" s="145" t="s">
        <v>187</v>
      </c>
      <c r="E1893" s="47"/>
      <c r="F1893" s="47"/>
      <c r="G1893" s="47"/>
      <c r="H1893" s="47"/>
      <c r="I1893" s="47">
        <f>I$1882</f>
        <v>2019</v>
      </c>
      <c r="J1893" s="47">
        <f>J$1882</f>
        <v>2020</v>
      </c>
      <c r="K1893" s="47">
        <f>K$1882</f>
        <v>2021</v>
      </c>
      <c r="L1893" s="47">
        <f>L$1882</f>
        <v>2022</v>
      </c>
      <c r="M1893" s="47">
        <f>M$1882</f>
        <v>2023</v>
      </c>
      <c r="P1893" s="145" t="s">
        <v>445</v>
      </c>
    </row>
    <row r="1894" spans="1:16" ht="13.8" hidden="1" thickBot="1" x14ac:dyDescent="0.3">
      <c r="A1894" s="145" t="s">
        <v>187</v>
      </c>
      <c r="E1894" s="866" t="s">
        <v>446</v>
      </c>
      <c r="F1894" s="866"/>
      <c r="G1894" s="866"/>
      <c r="H1894" s="866"/>
      <c r="I1894" s="866">
        <f t="array" ref="I1894">SUM(IF(($P$11:$P$1876=$P1894)*ISNUMBER(I$11:I$1876),1,0))</f>
        <v>0</v>
      </c>
      <c r="J1894" s="866">
        <f t="array" ref="J1894">SUM(IF(($P$11:$P$1876=$P1894)*ISNUMBER(J$11:J$1876),1,0))</f>
        <v>0</v>
      </c>
      <c r="K1894" s="866">
        <f t="array" ref="K1894">SUM(IF(($P$11:$P$1876=$P1894)*ISNUMBER(K$11:K$1876),1,0))</f>
        <v>0</v>
      </c>
      <c r="L1894" s="866">
        <f t="array" ref="L1894">SUM(IF(($P$11:$P$1876=$P1894)*ISNUMBER(L$11:L$1876),1,0))</f>
        <v>0</v>
      </c>
      <c r="M1894" s="866">
        <f t="array" ref="M1894">SUM(IF(($P$11:$P$1876=$P1894)*ISNUMBER(M$11:M$1876),1,0))</f>
        <v>0</v>
      </c>
      <c r="P1894" s="65" t="str">
        <f>EUconst_CNTR_HAL&amp;EUconst_CNTR_ELEXCH</f>
        <v>HAL_ELEXCH_</v>
      </c>
    </row>
    <row r="1895" spans="1:16" ht="13.8" hidden="1" thickBot="1" x14ac:dyDescent="0.3">
      <c r="A1895" s="145" t="s">
        <v>187</v>
      </c>
      <c r="E1895" s="66" t="s">
        <v>447</v>
      </c>
      <c r="F1895" s="67"/>
      <c r="G1895" s="67"/>
      <c r="H1895" s="68" t="str">
        <f>EUconst_TJpa</f>
        <v>TJ / year</v>
      </c>
      <c r="I1895" s="69" t="str">
        <f>IF(I1894&gt;0,SUMIF($P$11:$P$1876,$P1894,I$11:I$1876),"")</f>
        <v/>
      </c>
      <c r="J1895" s="69" t="str">
        <f>IF(J1894&gt;0,SUMIF($P$11:$P$1876,$P1894,J$11:J$1876),"")</f>
        <v/>
      </c>
      <c r="K1895" s="69" t="str">
        <f>IF(K1894&gt;0,SUMIF($P$11:$P$1876,$P1894,K$11:K$1876),"")</f>
        <v/>
      </c>
      <c r="L1895" s="69" t="str">
        <f>IF(L1894&gt;0,SUMIF($P$11:$P$1876,$P1894,L$11:L$1876),"")</f>
        <v/>
      </c>
      <c r="M1895" s="70" t="str">
        <f>IF(M1894&gt;0,SUMIF($P$11:$P$1876,$P1894,M$11:M$1876),"")</f>
        <v/>
      </c>
      <c r="P1895" s="145" t="s">
        <v>450</v>
      </c>
    </row>
    <row r="1896" spans="1:16" hidden="1" x14ac:dyDescent="0.25">
      <c r="A1896" s="145" t="s">
        <v>187</v>
      </c>
    </row>
    <row r="1897" spans="1:16" hidden="1" x14ac:dyDescent="0.25">
      <c r="A1897" s="145" t="s">
        <v>187</v>
      </c>
      <c r="E1897" s="220" t="s">
        <v>318</v>
      </c>
    </row>
    <row r="1898" spans="1:16" hidden="1" x14ac:dyDescent="0.25">
      <c r="A1898" s="145" t="s">
        <v>187</v>
      </c>
      <c r="F1898" s="220" t="s">
        <v>451</v>
      </c>
      <c r="G1898" s="339" t="b">
        <f t="shared" ref="G1898:G1907" si="40">(COUNTIF($X$11:$X$1876,EUconst_Error&amp;F1898)&gt;0)</f>
        <v>0</v>
      </c>
    </row>
    <row r="1899" spans="1:16" hidden="1" x14ac:dyDescent="0.25">
      <c r="A1899" s="145" t="s">
        <v>187</v>
      </c>
      <c r="F1899" s="220" t="s">
        <v>452</v>
      </c>
      <c r="G1899" s="339" t="b">
        <f t="shared" si="40"/>
        <v>0</v>
      </c>
    </row>
    <row r="1900" spans="1:16" hidden="1" x14ac:dyDescent="0.25">
      <c r="A1900" s="145" t="s">
        <v>187</v>
      </c>
      <c r="F1900" s="220" t="s">
        <v>453</v>
      </c>
      <c r="G1900" s="339" t="b">
        <f t="shared" si="40"/>
        <v>0</v>
      </c>
    </row>
    <row r="1901" spans="1:16" hidden="1" x14ac:dyDescent="0.25">
      <c r="A1901" s="145" t="s">
        <v>187</v>
      </c>
      <c r="F1901" s="220" t="s">
        <v>454</v>
      </c>
      <c r="G1901" s="339" t="b">
        <f t="shared" si="40"/>
        <v>0</v>
      </c>
    </row>
    <row r="1902" spans="1:16" hidden="1" x14ac:dyDescent="0.25">
      <c r="A1902" s="145" t="s">
        <v>187</v>
      </c>
      <c r="F1902" s="220" t="s">
        <v>455</v>
      </c>
      <c r="G1902" s="339" t="b">
        <f t="shared" si="40"/>
        <v>0</v>
      </c>
    </row>
    <row r="1903" spans="1:16" hidden="1" x14ac:dyDescent="0.25">
      <c r="A1903" s="145" t="s">
        <v>187</v>
      </c>
      <c r="F1903" s="220" t="s">
        <v>456</v>
      </c>
      <c r="G1903" s="339" t="b">
        <f t="shared" si="40"/>
        <v>0</v>
      </c>
    </row>
    <row r="1904" spans="1:16" hidden="1" x14ac:dyDescent="0.25">
      <c r="A1904" s="145" t="s">
        <v>187</v>
      </c>
      <c r="F1904" s="220" t="s">
        <v>457</v>
      </c>
      <c r="G1904" s="339" t="b">
        <f t="shared" si="40"/>
        <v>0</v>
      </c>
    </row>
    <row r="1905" spans="1:7" hidden="1" x14ac:dyDescent="0.25">
      <c r="A1905" s="145" t="s">
        <v>187</v>
      </c>
      <c r="F1905" s="220" t="s">
        <v>458</v>
      </c>
      <c r="G1905" s="339" t="b">
        <f t="shared" si="40"/>
        <v>0</v>
      </c>
    </row>
    <row r="1906" spans="1:7" hidden="1" x14ac:dyDescent="0.25">
      <c r="A1906" s="145" t="s">
        <v>187</v>
      </c>
      <c r="F1906" s="220" t="s">
        <v>459</v>
      </c>
      <c r="G1906" s="339" t="b">
        <f t="shared" si="40"/>
        <v>0</v>
      </c>
    </row>
    <row r="1907" spans="1:7" ht="13.8" hidden="1" thickBot="1" x14ac:dyDescent="0.3">
      <c r="A1907" s="145" t="s">
        <v>187</v>
      </c>
      <c r="F1907" s="220" t="s">
        <v>460</v>
      </c>
      <c r="G1907" s="339" t="b">
        <f t="shared" si="40"/>
        <v>0</v>
      </c>
    </row>
    <row r="1908" spans="1:7" ht="13.8" hidden="1" thickBot="1" x14ac:dyDescent="0.3">
      <c r="A1908" s="145" t="s">
        <v>187</v>
      </c>
      <c r="F1908" s="2" t="s">
        <v>323</v>
      </c>
      <c r="G1908" s="106" t="b">
        <f>OR(G1898:G1907)</f>
        <v>0</v>
      </c>
    </row>
    <row r="1909" spans="1:7" hidden="1" x14ac:dyDescent="0.25">
      <c r="A1909" s="145" t="s">
        <v>187</v>
      </c>
    </row>
    <row r="1910" spans="1:7" hidden="1" x14ac:dyDescent="0.25">
      <c r="A1910" s="145" t="s">
        <v>187</v>
      </c>
      <c r="C1910" s="913">
        <v>11</v>
      </c>
      <c r="D1910" s="220" t="s">
        <v>461</v>
      </c>
    </row>
    <row r="1911" spans="1:7" hidden="1" x14ac:dyDescent="0.25">
      <c r="A1911" s="145" t="s">
        <v>187</v>
      </c>
    </row>
  </sheetData>
  <sheetProtection algorithmName="SHA-512" hashValue="VMqiF0x8OK3YI292Uc2Wj/dk8MvbVwrbvdZYpVgreqmG7FmjKeLoPeobn2Wv0HsfNR19ARjqWq8+R+gEF8BQsw==" saltValue="7bw6sKWLZsYs0jEm+xKpUw==" spinCount="100000" sheet="1" objects="1" scenarios="1" formatColumns="0" formatRows="0"/>
  <mergeCells count="1634">
    <mergeCell ref="E235:N235"/>
    <mergeCell ref="E230:N230"/>
    <mergeCell ref="E107:N107"/>
    <mergeCell ref="E86:M86"/>
    <mergeCell ref="F95:N95"/>
    <mergeCell ref="E165:G165"/>
    <mergeCell ref="E173:K173"/>
    <mergeCell ref="E191:G191"/>
    <mergeCell ref="E180:G180"/>
    <mergeCell ref="E438:G438"/>
    <mergeCell ref="E311:N311"/>
    <mergeCell ref="E92:N92"/>
    <mergeCell ref="E114:N114"/>
    <mergeCell ref="E147:N147"/>
    <mergeCell ref="E425:G425"/>
    <mergeCell ref="E427:M427"/>
    <mergeCell ref="E428:M428"/>
    <mergeCell ref="E429:M429"/>
    <mergeCell ref="E417:K417"/>
    <mergeCell ref="E419:G419"/>
    <mergeCell ref="E420:G420"/>
    <mergeCell ref="E421:G421"/>
    <mergeCell ref="E423:G423"/>
    <mergeCell ref="E424:G424"/>
    <mergeCell ref="E406:G406"/>
    <mergeCell ref="E416:N416"/>
    <mergeCell ref="E407:G407"/>
    <mergeCell ref="E409:N409"/>
    <mergeCell ref="E410:G410"/>
    <mergeCell ref="E411:G411"/>
    <mergeCell ref="E413:N413"/>
    <mergeCell ref="E414:G414"/>
    <mergeCell ref="E401:H401"/>
    <mergeCell ref="I401:M401"/>
    <mergeCell ref="E402:N402"/>
    <mergeCell ref="E403:G403"/>
    <mergeCell ref="E404:G404"/>
    <mergeCell ref="E405:G405"/>
    <mergeCell ref="E394:N394"/>
    <mergeCell ref="E395:G395"/>
    <mergeCell ref="E396:G396"/>
    <mergeCell ref="E397:G397"/>
    <mergeCell ref="E398:G398"/>
    <mergeCell ref="E399:G399"/>
    <mergeCell ref="E388:G388"/>
    <mergeCell ref="E389:G389"/>
    <mergeCell ref="E390:G390"/>
    <mergeCell ref="E391:G391"/>
    <mergeCell ref="E393:H393"/>
    <mergeCell ref="I393:M393"/>
    <mergeCell ref="E382:G382"/>
    <mergeCell ref="E383:G383"/>
    <mergeCell ref="E385:H385"/>
    <mergeCell ref="I385:M385"/>
    <mergeCell ref="E386:N386"/>
    <mergeCell ref="E387:G387"/>
    <mergeCell ref="E377:H377"/>
    <mergeCell ref="I377:M377"/>
    <mergeCell ref="E378:N378"/>
    <mergeCell ref="E379:G379"/>
    <mergeCell ref="E380:G380"/>
    <mergeCell ref="E381:G381"/>
    <mergeCell ref="E370:N370"/>
    <mergeCell ref="E371:G371"/>
    <mergeCell ref="E372:G372"/>
    <mergeCell ref="E373:G373"/>
    <mergeCell ref="E374:G374"/>
    <mergeCell ref="E375:G375"/>
    <mergeCell ref="E363:G363"/>
    <mergeCell ref="E365:N365"/>
    <mergeCell ref="E366:N366"/>
    <mergeCell ref="E367:K367"/>
    <mergeCell ref="E368:N368"/>
    <mergeCell ref="E369:H369"/>
    <mergeCell ref="I369:M369"/>
    <mergeCell ref="E355:G355"/>
    <mergeCell ref="E357:G357"/>
    <mergeCell ref="E358:G358"/>
    <mergeCell ref="E359:G359"/>
    <mergeCell ref="E361:G361"/>
    <mergeCell ref="E362:G362"/>
    <mergeCell ref="E348:G348"/>
    <mergeCell ref="E349:G349"/>
    <mergeCell ref="E351:N351"/>
    <mergeCell ref="E352:M352"/>
    <mergeCell ref="E353:G353"/>
    <mergeCell ref="E354:G354"/>
    <mergeCell ref="E341:G341"/>
    <mergeCell ref="E342:G342"/>
    <mergeCell ref="E343:G343"/>
    <mergeCell ref="E344:G344"/>
    <mergeCell ref="E345:G345"/>
    <mergeCell ref="E347:N347"/>
    <mergeCell ref="E335:H335"/>
    <mergeCell ref="I335:M335"/>
    <mergeCell ref="E337:G337"/>
    <mergeCell ref="E338:G338"/>
    <mergeCell ref="E339:G339"/>
    <mergeCell ref="E340:G340"/>
    <mergeCell ref="E328:G328"/>
    <mergeCell ref="E329:G329"/>
    <mergeCell ref="E330:G330"/>
    <mergeCell ref="E331:G331"/>
    <mergeCell ref="E332:G332"/>
    <mergeCell ref="E333:G333"/>
    <mergeCell ref="E322:N322"/>
    <mergeCell ref="E323:H323"/>
    <mergeCell ref="I323:M323"/>
    <mergeCell ref="E325:G325"/>
    <mergeCell ref="E326:G326"/>
    <mergeCell ref="E327:G327"/>
    <mergeCell ref="E315:N315"/>
    <mergeCell ref="E316:G316"/>
    <mergeCell ref="E317:G317"/>
    <mergeCell ref="E318:G318"/>
    <mergeCell ref="E320:N320"/>
    <mergeCell ref="E321:K321"/>
    <mergeCell ref="E310:N310"/>
    <mergeCell ref="D304:N304"/>
    <mergeCell ref="D306:H306"/>
    <mergeCell ref="I306:N306"/>
    <mergeCell ref="E312:G312"/>
    <mergeCell ref="E313:G313"/>
    <mergeCell ref="E308:M308"/>
    <mergeCell ref="F296:G296"/>
    <mergeCell ref="F297:G297"/>
    <mergeCell ref="F298:G298"/>
    <mergeCell ref="F299:G299"/>
    <mergeCell ref="F300:G300"/>
    <mergeCell ref="E301:G301"/>
    <mergeCell ref="F290:G290"/>
    <mergeCell ref="F291:G291"/>
    <mergeCell ref="F292:G292"/>
    <mergeCell ref="F293:G293"/>
    <mergeCell ref="F294:G294"/>
    <mergeCell ref="F295:G295"/>
    <mergeCell ref="E284:N284"/>
    <mergeCell ref="E285:N285"/>
    <mergeCell ref="E286:N286"/>
    <mergeCell ref="E288:N288"/>
    <mergeCell ref="E276:N276"/>
    <mergeCell ref="E277:G277"/>
    <mergeCell ref="E278:G278"/>
    <mergeCell ref="E279:G279"/>
    <mergeCell ref="E280:G280"/>
    <mergeCell ref="D282:N282"/>
    <mergeCell ref="E273:G273"/>
    <mergeCell ref="E275:I275"/>
    <mergeCell ref="J275:N275"/>
    <mergeCell ref="E268:G268"/>
    <mergeCell ref="E269:G269"/>
    <mergeCell ref="E270:G270"/>
    <mergeCell ref="E271:G271"/>
    <mergeCell ref="E272:G272"/>
    <mergeCell ref="D265:N265"/>
    <mergeCell ref="E267:I267"/>
    <mergeCell ref="J267:N267"/>
    <mergeCell ref="E258:G258"/>
    <mergeCell ref="E259:G259"/>
    <mergeCell ref="E260:G260"/>
    <mergeCell ref="E261:G261"/>
    <mergeCell ref="E263:G263"/>
    <mergeCell ref="H263:N263"/>
    <mergeCell ref="D253:H253"/>
    <mergeCell ref="I253:N253"/>
    <mergeCell ref="E196:N196"/>
    <mergeCell ref="E84:M84"/>
    <mergeCell ref="E38:N38"/>
    <mergeCell ref="E77:G77"/>
    <mergeCell ref="E134:H134"/>
    <mergeCell ref="E144:G144"/>
    <mergeCell ref="F68:G68"/>
    <mergeCell ref="F69:G69"/>
    <mergeCell ref="E47:N47"/>
    <mergeCell ref="F76:G76"/>
    <mergeCell ref="E59:N59"/>
    <mergeCell ref="E143:G143"/>
    <mergeCell ref="I82:N82"/>
    <mergeCell ref="D82:H82"/>
    <mergeCell ref="F73:G73"/>
    <mergeCell ref="E140:G140"/>
    <mergeCell ref="F66:G66"/>
    <mergeCell ref="D80:N80"/>
    <mergeCell ref="F70:G70"/>
    <mergeCell ref="F74:G74"/>
    <mergeCell ref="F71:G71"/>
    <mergeCell ref="E62:N62"/>
    <mergeCell ref="E49:N49"/>
    <mergeCell ref="E60:N60"/>
    <mergeCell ref="E54:G54"/>
    <mergeCell ref="E50:N50"/>
    <mergeCell ref="E53:G53"/>
    <mergeCell ref="E51:G51"/>
    <mergeCell ref="E161:G161"/>
    <mergeCell ref="E138:G138"/>
    <mergeCell ref="E101:G101"/>
    <mergeCell ref="F97:N97"/>
    <mergeCell ref="E136:G136"/>
    <mergeCell ref="E160:G160"/>
    <mergeCell ref="E158:M158"/>
    <mergeCell ref="E151:G151"/>
    <mergeCell ref="E127:G127"/>
    <mergeCell ref="E139:G139"/>
    <mergeCell ref="E181:G181"/>
    <mergeCell ref="E164:G164"/>
    <mergeCell ref="E159:G159"/>
    <mergeCell ref="E176:N176"/>
    <mergeCell ref="E175:H175"/>
    <mergeCell ref="E177:N177"/>
    <mergeCell ref="E178:G178"/>
    <mergeCell ref="E174:N174"/>
    <mergeCell ref="E172:N172"/>
    <mergeCell ref="E168:G168"/>
    <mergeCell ref="E105:N105"/>
    <mergeCell ref="E111:G111"/>
    <mergeCell ref="E153:N153"/>
    <mergeCell ref="E24:N24"/>
    <mergeCell ref="F67:G67"/>
    <mergeCell ref="E126:G126"/>
    <mergeCell ref="E109:G109"/>
    <mergeCell ref="E31:N31"/>
    <mergeCell ref="D33:N33"/>
    <mergeCell ref="E30:G30"/>
    <mergeCell ref="E44:G44"/>
    <mergeCell ref="E37:N37"/>
    <mergeCell ref="F72:G72"/>
    <mergeCell ref="E93:N93"/>
    <mergeCell ref="E52:G52"/>
    <mergeCell ref="E89:M89"/>
    <mergeCell ref="E167:G167"/>
    <mergeCell ref="E189:G189"/>
    <mergeCell ref="F94:N94"/>
    <mergeCell ref="E188:G188"/>
    <mergeCell ref="E186:N186"/>
    <mergeCell ref="E182:G182"/>
    <mergeCell ref="E187:G187"/>
    <mergeCell ref="I184:M184"/>
    <mergeCell ref="E185:N185"/>
    <mergeCell ref="E125:G125"/>
    <mergeCell ref="E117:N117"/>
    <mergeCell ref="E155:N155"/>
    <mergeCell ref="E115:N115"/>
    <mergeCell ref="E148:N148"/>
    <mergeCell ref="E120:K120"/>
    <mergeCell ref="H30:N30"/>
    <mergeCell ref="J46:N46"/>
    <mergeCell ref="E41:G41"/>
    <mergeCell ref="E40:G40"/>
    <mergeCell ref="E257:N257"/>
    <mergeCell ref="E146:N146"/>
    <mergeCell ref="E149:N149"/>
    <mergeCell ref="E197:G197"/>
    <mergeCell ref="E163:G163"/>
    <mergeCell ref="E199:G199"/>
    <mergeCell ref="E169:G169"/>
    <mergeCell ref="E218:G218"/>
    <mergeCell ref="E194:N194"/>
    <mergeCell ref="E205:N205"/>
    <mergeCell ref="E206:G206"/>
    <mergeCell ref="E217:G217"/>
    <mergeCell ref="I203:M203"/>
    <mergeCell ref="E212:H212"/>
    <mergeCell ref="E203:H203"/>
    <mergeCell ref="E215:G215"/>
    <mergeCell ref="E209:G209"/>
    <mergeCell ref="E193:H193"/>
    <mergeCell ref="E190:G190"/>
    <mergeCell ref="E236:K236"/>
    <mergeCell ref="E227:N227"/>
    <mergeCell ref="E246:M246"/>
    <mergeCell ref="E239:G239"/>
    <mergeCell ref="E221:N221"/>
    <mergeCell ref="E195:N195"/>
    <mergeCell ref="E242:G242"/>
    <mergeCell ref="E240:G240"/>
    <mergeCell ref="E244:G244"/>
    <mergeCell ref="E223:N223"/>
    <mergeCell ref="E219:G219"/>
    <mergeCell ref="E201:G201"/>
    <mergeCell ref="E200:G200"/>
    <mergeCell ref="D1874:N1874"/>
    <mergeCell ref="E64:N64"/>
    <mergeCell ref="E208:G208"/>
    <mergeCell ref="E198:G198"/>
    <mergeCell ref="E224:G224"/>
    <mergeCell ref="M5:N5"/>
    <mergeCell ref="I5:J5"/>
    <mergeCell ref="E19:N19"/>
    <mergeCell ref="E26:G26"/>
    <mergeCell ref="E4:F4"/>
    <mergeCell ref="I4:J4"/>
    <mergeCell ref="G5:H5"/>
    <mergeCell ref="E36:N36"/>
    <mergeCell ref="E20:N20"/>
    <mergeCell ref="E14:N14"/>
    <mergeCell ref="E27:G27"/>
    <mergeCell ref="F16:N16"/>
    <mergeCell ref="E28:G28"/>
    <mergeCell ref="E21:N21"/>
    <mergeCell ref="F17:N17"/>
    <mergeCell ref="E25:G25"/>
    <mergeCell ref="E248:M248"/>
    <mergeCell ref="I134:M134"/>
    <mergeCell ref="E15:N15"/>
    <mergeCell ref="E22:N22"/>
    <mergeCell ref="E110:G110"/>
    <mergeCell ref="E23:N23"/>
    <mergeCell ref="D56:N56"/>
    <mergeCell ref="E102:G102"/>
    <mergeCell ref="E104:N104"/>
    <mergeCell ref="E233:N233"/>
    <mergeCell ref="E229:N229"/>
    <mergeCell ref="R4:S4"/>
    <mergeCell ref="K4:L4"/>
    <mergeCell ref="I13:N13"/>
    <mergeCell ref="D11:N11"/>
    <mergeCell ref="E9:M9"/>
    <mergeCell ref="K5:L5"/>
    <mergeCell ref="B2:D4"/>
    <mergeCell ref="V5:W5"/>
    <mergeCell ref="T4:U4"/>
    <mergeCell ref="V4:W4"/>
    <mergeCell ref="P4:Q4"/>
    <mergeCell ref="R3:S3"/>
    <mergeCell ref="V3:W3"/>
    <mergeCell ref="P3:Q3"/>
    <mergeCell ref="T3:U3"/>
    <mergeCell ref="R5:S5"/>
    <mergeCell ref="P5:Q5"/>
    <mergeCell ref="K2:L2"/>
    <mergeCell ref="K3:L3"/>
    <mergeCell ref="M4:N4"/>
    <mergeCell ref="T5:U5"/>
    <mergeCell ref="M3:N3"/>
    <mergeCell ref="G4:H4"/>
    <mergeCell ref="G3:H3"/>
    <mergeCell ref="I3:J3"/>
    <mergeCell ref="G2:H2"/>
    <mergeCell ref="M2:N2"/>
    <mergeCell ref="D13:H13"/>
    <mergeCell ref="E3:F3"/>
    <mergeCell ref="D7:N7"/>
    <mergeCell ref="I2:J2"/>
    <mergeCell ref="J35:N35"/>
    <mergeCell ref="E46:I46"/>
    <mergeCell ref="E58:N58"/>
    <mergeCell ref="E61:N61"/>
    <mergeCell ref="E42:G42"/>
    <mergeCell ref="E43:G43"/>
    <mergeCell ref="E48:N48"/>
    <mergeCell ref="E255:N255"/>
    <mergeCell ref="E130:G130"/>
    <mergeCell ref="E121:N121"/>
    <mergeCell ref="E122:H122"/>
    <mergeCell ref="E137:G137"/>
    <mergeCell ref="E132:G132"/>
    <mergeCell ref="E154:N154"/>
    <mergeCell ref="E118:N118"/>
    <mergeCell ref="E124:G124"/>
    <mergeCell ref="E39:G39"/>
    <mergeCell ref="E249:M249"/>
    <mergeCell ref="I175:M175"/>
    <mergeCell ref="E247:N247"/>
    <mergeCell ref="E207:G207"/>
    <mergeCell ref="I212:M212"/>
    <mergeCell ref="E243:G243"/>
    <mergeCell ref="E225:G225"/>
    <mergeCell ref="E238:G238"/>
    <mergeCell ref="I193:M193"/>
    <mergeCell ref="E234:N234"/>
    <mergeCell ref="E150:G150"/>
    <mergeCell ref="E35:I35"/>
    <mergeCell ref="E216:G216"/>
    <mergeCell ref="E228:N228"/>
    <mergeCell ref="E231:G231"/>
    <mergeCell ref="D433:H433"/>
    <mergeCell ref="I433:N433"/>
    <mergeCell ref="E435:N435"/>
    <mergeCell ref="F99:N99"/>
    <mergeCell ref="F75:G75"/>
    <mergeCell ref="F100:N100"/>
    <mergeCell ref="F98:N98"/>
    <mergeCell ref="E113:N113"/>
    <mergeCell ref="E171:N171"/>
    <mergeCell ref="E106:N106"/>
    <mergeCell ref="E437:N437"/>
    <mergeCell ref="F96:N96"/>
    <mergeCell ref="E184:H184"/>
    <mergeCell ref="E204:N204"/>
    <mergeCell ref="E213:N213"/>
    <mergeCell ref="E222:N222"/>
    <mergeCell ref="E142:G142"/>
    <mergeCell ref="E156:N156"/>
    <mergeCell ref="E131:G131"/>
    <mergeCell ref="E129:G129"/>
    <mergeCell ref="E141:G141"/>
    <mergeCell ref="E157:N157"/>
    <mergeCell ref="E116:N116"/>
    <mergeCell ref="E128:G128"/>
    <mergeCell ref="I122:M122"/>
    <mergeCell ref="E91:N91"/>
    <mergeCell ref="E85:M85"/>
    <mergeCell ref="E179:G179"/>
    <mergeCell ref="E108:N108"/>
    <mergeCell ref="E214:N214"/>
    <mergeCell ref="E210:G210"/>
    <mergeCell ref="E119:N119"/>
    <mergeCell ref="E439:G439"/>
    <mergeCell ref="E440:G440"/>
    <mergeCell ref="E441:G441"/>
    <mergeCell ref="E443:G443"/>
    <mergeCell ref="H443:N443"/>
    <mergeCell ref="D445:N445"/>
    <mergeCell ref="E447:I447"/>
    <mergeCell ref="J447:N447"/>
    <mergeCell ref="E448:G448"/>
    <mergeCell ref="E449:G449"/>
    <mergeCell ref="E450:G450"/>
    <mergeCell ref="E451:G451"/>
    <mergeCell ref="E452:G452"/>
    <mergeCell ref="E453:G453"/>
    <mergeCell ref="E455:I455"/>
    <mergeCell ref="J455:N455"/>
    <mergeCell ref="E456:N456"/>
    <mergeCell ref="E457:G457"/>
    <mergeCell ref="E458:G458"/>
    <mergeCell ref="E459:G459"/>
    <mergeCell ref="E460:G460"/>
    <mergeCell ref="D462:N462"/>
    <mergeCell ref="E464:N464"/>
    <mergeCell ref="E465:N465"/>
    <mergeCell ref="E466:N466"/>
    <mergeCell ref="E468:N468"/>
    <mergeCell ref="F470:G470"/>
    <mergeCell ref="F471:G471"/>
    <mergeCell ref="F472:G472"/>
    <mergeCell ref="F473:G473"/>
    <mergeCell ref="F474:G474"/>
    <mergeCell ref="F475:G475"/>
    <mergeCell ref="F476:G476"/>
    <mergeCell ref="F477:G477"/>
    <mergeCell ref="F478:G478"/>
    <mergeCell ref="F479:G479"/>
    <mergeCell ref="F480:G480"/>
    <mergeCell ref="E481:G481"/>
    <mergeCell ref="D484:N484"/>
    <mergeCell ref="D486:H486"/>
    <mergeCell ref="I486:N486"/>
    <mergeCell ref="E488:M488"/>
    <mergeCell ref="E490:N490"/>
    <mergeCell ref="E491:N491"/>
    <mergeCell ref="E492:G492"/>
    <mergeCell ref="E493:G493"/>
    <mergeCell ref="E495:N495"/>
    <mergeCell ref="E496:G496"/>
    <mergeCell ref="E497:G497"/>
    <mergeCell ref="E498:G498"/>
    <mergeCell ref="E500:N500"/>
    <mergeCell ref="E501:K501"/>
    <mergeCell ref="E502:N502"/>
    <mergeCell ref="E503:H503"/>
    <mergeCell ref="I503:M503"/>
    <mergeCell ref="E505:G505"/>
    <mergeCell ref="E506:G506"/>
    <mergeCell ref="E507:G507"/>
    <mergeCell ref="E508:G508"/>
    <mergeCell ref="E509:G509"/>
    <mergeCell ref="E510:G510"/>
    <mergeCell ref="E511:G511"/>
    <mergeCell ref="E512:G512"/>
    <mergeCell ref="E513:G513"/>
    <mergeCell ref="E515:H515"/>
    <mergeCell ref="I515:M515"/>
    <mergeCell ref="E517:G517"/>
    <mergeCell ref="E518:G518"/>
    <mergeCell ref="E519:G519"/>
    <mergeCell ref="E520:G520"/>
    <mergeCell ref="E521:G521"/>
    <mergeCell ref="E522:G522"/>
    <mergeCell ref="E523:G523"/>
    <mergeCell ref="E524:G524"/>
    <mergeCell ref="E525:G525"/>
    <mergeCell ref="E527:N527"/>
    <mergeCell ref="E528:G528"/>
    <mergeCell ref="E529:G529"/>
    <mergeCell ref="E531:N531"/>
    <mergeCell ref="E532:M532"/>
    <mergeCell ref="E533:G533"/>
    <mergeCell ref="E534:G534"/>
    <mergeCell ref="E535:G535"/>
    <mergeCell ref="E537:G537"/>
    <mergeCell ref="E538:G538"/>
    <mergeCell ref="E539:G539"/>
    <mergeCell ref="E541:G541"/>
    <mergeCell ref="E542:G542"/>
    <mergeCell ref="E543:G543"/>
    <mergeCell ref="E545:N545"/>
    <mergeCell ref="E546:N546"/>
    <mergeCell ref="E547:K547"/>
    <mergeCell ref="E548:N548"/>
    <mergeCell ref="E549:H549"/>
    <mergeCell ref="I549:M549"/>
    <mergeCell ref="E550:N550"/>
    <mergeCell ref="E551:G551"/>
    <mergeCell ref="E552:G552"/>
    <mergeCell ref="E553:G553"/>
    <mergeCell ref="E554:G554"/>
    <mergeCell ref="E555:G555"/>
    <mergeCell ref="E557:H557"/>
    <mergeCell ref="I557:M557"/>
    <mergeCell ref="E558:N558"/>
    <mergeCell ref="E559:G559"/>
    <mergeCell ref="E560:G560"/>
    <mergeCell ref="E561:G561"/>
    <mergeCell ref="E562:G562"/>
    <mergeCell ref="E563:G563"/>
    <mergeCell ref="E565:H565"/>
    <mergeCell ref="I565:M565"/>
    <mergeCell ref="E566:N566"/>
    <mergeCell ref="E567:G567"/>
    <mergeCell ref="E568:G568"/>
    <mergeCell ref="E569:G569"/>
    <mergeCell ref="E570:G570"/>
    <mergeCell ref="E571:G571"/>
    <mergeCell ref="E573:H573"/>
    <mergeCell ref="I573:M573"/>
    <mergeCell ref="E574:N574"/>
    <mergeCell ref="E575:G575"/>
    <mergeCell ref="E576:G576"/>
    <mergeCell ref="E577:G577"/>
    <mergeCell ref="E578:G578"/>
    <mergeCell ref="E579:G579"/>
    <mergeCell ref="E581:H581"/>
    <mergeCell ref="I581:M581"/>
    <mergeCell ref="E582:N582"/>
    <mergeCell ref="E583:G583"/>
    <mergeCell ref="E584:G584"/>
    <mergeCell ref="E585:G585"/>
    <mergeCell ref="E586:G586"/>
    <mergeCell ref="E587:G587"/>
    <mergeCell ref="E589:N589"/>
    <mergeCell ref="E590:G590"/>
    <mergeCell ref="E591:G591"/>
    <mergeCell ref="E593:N593"/>
    <mergeCell ref="E594:G594"/>
    <mergeCell ref="E596:N596"/>
    <mergeCell ref="E597:K597"/>
    <mergeCell ref="E599:G599"/>
    <mergeCell ref="E600:G600"/>
    <mergeCell ref="E601:G601"/>
    <mergeCell ref="E603:G603"/>
    <mergeCell ref="E604:G604"/>
    <mergeCell ref="E605:G605"/>
    <mergeCell ref="E607:M607"/>
    <mergeCell ref="E608:M608"/>
    <mergeCell ref="E609:M609"/>
    <mergeCell ref="D613:H613"/>
    <mergeCell ref="I613:N613"/>
    <mergeCell ref="E615:N615"/>
    <mergeCell ref="E617:N617"/>
    <mergeCell ref="E618:G618"/>
    <mergeCell ref="E619:G619"/>
    <mergeCell ref="E620:G620"/>
    <mergeCell ref="E621:G621"/>
    <mergeCell ref="E623:G623"/>
    <mergeCell ref="H623:N623"/>
    <mergeCell ref="D625:N625"/>
    <mergeCell ref="E627:I627"/>
    <mergeCell ref="J627:N627"/>
    <mergeCell ref="E628:G628"/>
    <mergeCell ref="E629:G629"/>
    <mergeCell ref="E630:G630"/>
    <mergeCell ref="E631:G631"/>
    <mergeCell ref="E632:G632"/>
    <mergeCell ref="E633:G633"/>
    <mergeCell ref="E635:I635"/>
    <mergeCell ref="J635:N635"/>
    <mergeCell ref="E636:N636"/>
    <mergeCell ref="E637:G637"/>
    <mergeCell ref="E638:G638"/>
    <mergeCell ref="E639:G639"/>
    <mergeCell ref="E640:G640"/>
    <mergeCell ref="D642:N642"/>
    <mergeCell ref="E644:N644"/>
    <mergeCell ref="E645:N645"/>
    <mergeCell ref="E646:N646"/>
    <mergeCell ref="E648:N648"/>
    <mergeCell ref="F650:G650"/>
    <mergeCell ref="F651:G651"/>
    <mergeCell ref="F652:G652"/>
    <mergeCell ref="F653:G653"/>
    <mergeCell ref="F654:G654"/>
    <mergeCell ref="F655:G655"/>
    <mergeCell ref="F656:G656"/>
    <mergeCell ref="F657:G657"/>
    <mergeCell ref="F658:G658"/>
    <mergeCell ref="F659:G659"/>
    <mergeCell ref="F660:G660"/>
    <mergeCell ref="E661:G661"/>
    <mergeCell ref="D664:N664"/>
    <mergeCell ref="D666:H666"/>
    <mergeCell ref="I666:N666"/>
    <mergeCell ref="E668:M668"/>
    <mergeCell ref="E670:N670"/>
    <mergeCell ref="E671:N671"/>
    <mergeCell ref="E672:G672"/>
    <mergeCell ref="E673:G673"/>
    <mergeCell ref="E675:N675"/>
    <mergeCell ref="E676:G676"/>
    <mergeCell ref="E677:G677"/>
    <mergeCell ref="E678:G678"/>
    <mergeCell ref="E680:N680"/>
    <mergeCell ref="E681:K681"/>
    <mergeCell ref="E682:N682"/>
    <mergeCell ref="E683:H683"/>
    <mergeCell ref="I683:M683"/>
    <mergeCell ref="E685:G685"/>
    <mergeCell ref="E686:G686"/>
    <mergeCell ref="E687:G687"/>
    <mergeCell ref="E688:G688"/>
    <mergeCell ref="E689:G689"/>
    <mergeCell ref="E690:G690"/>
    <mergeCell ref="E691:G691"/>
    <mergeCell ref="E692:G692"/>
    <mergeCell ref="E693:G693"/>
    <mergeCell ref="E695:H695"/>
    <mergeCell ref="I695:M695"/>
    <mergeCell ref="E697:G697"/>
    <mergeCell ref="E698:G698"/>
    <mergeCell ref="E699:G699"/>
    <mergeCell ref="E700:G700"/>
    <mergeCell ref="E701:G701"/>
    <mergeCell ref="E702:G702"/>
    <mergeCell ref="E703:G703"/>
    <mergeCell ref="E704:G704"/>
    <mergeCell ref="E705:G705"/>
    <mergeCell ref="E707:N707"/>
    <mergeCell ref="E708:G708"/>
    <mergeCell ref="E709:G709"/>
    <mergeCell ref="E711:N711"/>
    <mergeCell ref="E712:M712"/>
    <mergeCell ref="E713:G713"/>
    <mergeCell ref="E714:G714"/>
    <mergeCell ref="E715:G715"/>
    <mergeCell ref="E717:G717"/>
    <mergeCell ref="E718:G718"/>
    <mergeCell ref="E719:G719"/>
    <mergeCell ref="E721:G721"/>
    <mergeCell ref="E722:G722"/>
    <mergeCell ref="E723:G723"/>
    <mergeCell ref="E725:N725"/>
    <mergeCell ref="E726:N726"/>
    <mergeCell ref="E727:K727"/>
    <mergeCell ref="E728:N728"/>
    <mergeCell ref="E729:H729"/>
    <mergeCell ref="I729:M729"/>
    <mergeCell ref="E730:N730"/>
    <mergeCell ref="E731:G731"/>
    <mergeCell ref="E732:G732"/>
    <mergeCell ref="E733:G733"/>
    <mergeCell ref="E734:G734"/>
    <mergeCell ref="E735:G735"/>
    <mergeCell ref="E737:H737"/>
    <mergeCell ref="I737:M737"/>
    <mergeCell ref="E738:N738"/>
    <mergeCell ref="E739:G739"/>
    <mergeCell ref="E740:G740"/>
    <mergeCell ref="E741:G741"/>
    <mergeCell ref="E742:G742"/>
    <mergeCell ref="E743:G743"/>
    <mergeCell ref="E745:H745"/>
    <mergeCell ref="I745:M745"/>
    <mergeCell ref="E746:N746"/>
    <mergeCell ref="E747:G747"/>
    <mergeCell ref="E748:G748"/>
    <mergeCell ref="E749:G749"/>
    <mergeCell ref="E750:G750"/>
    <mergeCell ref="E751:G751"/>
    <mergeCell ref="E753:H753"/>
    <mergeCell ref="I753:M753"/>
    <mergeCell ref="E754:N754"/>
    <mergeCell ref="E755:G755"/>
    <mergeCell ref="E756:G756"/>
    <mergeCell ref="E757:G757"/>
    <mergeCell ref="E758:G758"/>
    <mergeCell ref="E759:G759"/>
    <mergeCell ref="E761:H761"/>
    <mergeCell ref="I761:M761"/>
    <mergeCell ref="E762:N762"/>
    <mergeCell ref="E763:G763"/>
    <mergeCell ref="E764:G764"/>
    <mergeCell ref="E765:G765"/>
    <mergeCell ref="E766:G766"/>
    <mergeCell ref="E767:G767"/>
    <mergeCell ref="E769:N769"/>
    <mergeCell ref="E770:G770"/>
    <mergeCell ref="E771:G771"/>
    <mergeCell ref="E773:N773"/>
    <mergeCell ref="E774:G774"/>
    <mergeCell ref="E776:N776"/>
    <mergeCell ref="E777:K777"/>
    <mergeCell ref="E779:G779"/>
    <mergeCell ref="E780:G780"/>
    <mergeCell ref="E781:G781"/>
    <mergeCell ref="E783:G783"/>
    <mergeCell ref="E784:G784"/>
    <mergeCell ref="E785:G785"/>
    <mergeCell ref="E787:M787"/>
    <mergeCell ref="E788:M788"/>
    <mergeCell ref="E789:M789"/>
    <mergeCell ref="D793:H793"/>
    <mergeCell ref="I793:N793"/>
    <mergeCell ref="E795:N795"/>
    <mergeCell ref="E797:N797"/>
    <mergeCell ref="E798:G798"/>
    <mergeCell ref="E799:G799"/>
    <mergeCell ref="E800:G800"/>
    <mergeCell ref="E801:G801"/>
    <mergeCell ref="E803:G803"/>
    <mergeCell ref="H803:N803"/>
    <mergeCell ref="D805:N805"/>
    <mergeCell ref="E807:I807"/>
    <mergeCell ref="J807:N807"/>
    <mergeCell ref="E808:G808"/>
    <mergeCell ref="E809:G809"/>
    <mergeCell ref="E810:G810"/>
    <mergeCell ref="E811:G811"/>
    <mergeCell ref="E812:G812"/>
    <mergeCell ref="E813:G813"/>
    <mergeCell ref="E815:I815"/>
    <mergeCell ref="J815:N815"/>
    <mergeCell ref="E816:N816"/>
    <mergeCell ref="E817:G817"/>
    <mergeCell ref="E818:G818"/>
    <mergeCell ref="E819:G819"/>
    <mergeCell ref="E820:G820"/>
    <mergeCell ref="D822:N822"/>
    <mergeCell ref="E824:N824"/>
    <mergeCell ref="E825:N825"/>
    <mergeCell ref="E826:N826"/>
    <mergeCell ref="E828:N828"/>
    <mergeCell ref="F830:G830"/>
    <mergeCell ref="F831:G831"/>
    <mergeCell ref="F832:G832"/>
    <mergeCell ref="F833:G833"/>
    <mergeCell ref="F834:G834"/>
    <mergeCell ref="F835:G835"/>
    <mergeCell ref="F836:G836"/>
    <mergeCell ref="F837:G837"/>
    <mergeCell ref="F838:G838"/>
    <mergeCell ref="F839:G839"/>
    <mergeCell ref="F840:G840"/>
    <mergeCell ref="E841:G841"/>
    <mergeCell ref="D844:N844"/>
    <mergeCell ref="D846:H846"/>
    <mergeCell ref="I846:N846"/>
    <mergeCell ref="E848:M848"/>
    <mergeCell ref="E850:N850"/>
    <mergeCell ref="E851:N851"/>
    <mergeCell ref="E852:G852"/>
    <mergeCell ref="E853:G853"/>
    <mergeCell ref="E855:N855"/>
    <mergeCell ref="E856:G856"/>
    <mergeCell ref="E857:G857"/>
    <mergeCell ref="E858:G858"/>
    <mergeCell ref="E860:N860"/>
    <mergeCell ref="E861:K861"/>
    <mergeCell ref="E862:N862"/>
    <mergeCell ref="E863:H863"/>
    <mergeCell ref="I863:M863"/>
    <mergeCell ref="E865:G865"/>
    <mergeCell ref="E866:G866"/>
    <mergeCell ref="E867:G867"/>
    <mergeCell ref="E868:G868"/>
    <mergeCell ref="E869:G869"/>
    <mergeCell ref="E870:G870"/>
    <mergeCell ref="E871:G871"/>
    <mergeCell ref="E872:G872"/>
    <mergeCell ref="E873:G873"/>
    <mergeCell ref="E875:H875"/>
    <mergeCell ref="I875:M875"/>
    <mergeCell ref="E877:G877"/>
    <mergeCell ref="E878:G878"/>
    <mergeCell ref="E879:G879"/>
    <mergeCell ref="E880:G880"/>
    <mergeCell ref="E881:G881"/>
    <mergeCell ref="E882:G882"/>
    <mergeCell ref="E883:G883"/>
    <mergeCell ref="E884:G884"/>
    <mergeCell ref="E885:G885"/>
    <mergeCell ref="E887:N887"/>
    <mergeCell ref="E888:G888"/>
    <mergeCell ref="E889:G889"/>
    <mergeCell ref="E891:N891"/>
    <mergeCell ref="E892:M892"/>
    <mergeCell ref="E893:G893"/>
    <mergeCell ref="E894:G894"/>
    <mergeCell ref="E895:G895"/>
    <mergeCell ref="E897:G897"/>
    <mergeCell ref="E898:G898"/>
    <mergeCell ref="E899:G899"/>
    <mergeCell ref="E901:G901"/>
    <mergeCell ref="E902:G902"/>
    <mergeCell ref="E903:G903"/>
    <mergeCell ref="E905:N905"/>
    <mergeCell ref="E906:N906"/>
    <mergeCell ref="E907:K907"/>
    <mergeCell ref="E908:N908"/>
    <mergeCell ref="E909:H909"/>
    <mergeCell ref="I909:M909"/>
    <mergeCell ref="E910:N910"/>
    <mergeCell ref="E911:G911"/>
    <mergeCell ref="E912:G912"/>
    <mergeCell ref="E913:G913"/>
    <mergeCell ref="E914:G914"/>
    <mergeCell ref="E915:G915"/>
    <mergeCell ref="E917:H917"/>
    <mergeCell ref="I917:M917"/>
    <mergeCell ref="E918:N918"/>
    <mergeCell ref="E919:G919"/>
    <mergeCell ref="E920:G920"/>
    <mergeCell ref="E921:G921"/>
    <mergeCell ref="E922:G922"/>
    <mergeCell ref="E923:G923"/>
    <mergeCell ref="E925:H925"/>
    <mergeCell ref="I925:M925"/>
    <mergeCell ref="E926:N926"/>
    <mergeCell ref="E927:G927"/>
    <mergeCell ref="E928:G928"/>
    <mergeCell ref="E929:G929"/>
    <mergeCell ref="E930:G930"/>
    <mergeCell ref="E931:G931"/>
    <mergeCell ref="E933:H933"/>
    <mergeCell ref="I933:M933"/>
    <mergeCell ref="E934:N934"/>
    <mergeCell ref="E935:G935"/>
    <mergeCell ref="E936:G936"/>
    <mergeCell ref="E937:G937"/>
    <mergeCell ref="E938:G938"/>
    <mergeCell ref="E939:G939"/>
    <mergeCell ref="E941:H941"/>
    <mergeCell ref="I941:M941"/>
    <mergeCell ref="E942:N942"/>
    <mergeCell ref="E943:G943"/>
    <mergeCell ref="E944:G944"/>
    <mergeCell ref="E945:G945"/>
    <mergeCell ref="E946:G946"/>
    <mergeCell ref="E947:G947"/>
    <mergeCell ref="E949:N949"/>
    <mergeCell ref="E950:G950"/>
    <mergeCell ref="E951:G951"/>
    <mergeCell ref="E953:N953"/>
    <mergeCell ref="E954:G954"/>
    <mergeCell ref="E956:N956"/>
    <mergeCell ref="E957:K957"/>
    <mergeCell ref="E959:G959"/>
    <mergeCell ref="E960:G960"/>
    <mergeCell ref="E961:G961"/>
    <mergeCell ref="E963:G963"/>
    <mergeCell ref="E964:G964"/>
    <mergeCell ref="E965:G965"/>
    <mergeCell ref="E967:M967"/>
    <mergeCell ref="E968:M968"/>
    <mergeCell ref="E969:M969"/>
    <mergeCell ref="D973:H973"/>
    <mergeCell ref="I973:N973"/>
    <mergeCell ref="E975:N975"/>
    <mergeCell ref="E977:N977"/>
    <mergeCell ref="E978:G978"/>
    <mergeCell ref="E979:G979"/>
    <mergeCell ref="E980:G980"/>
    <mergeCell ref="E981:G981"/>
    <mergeCell ref="E983:G983"/>
    <mergeCell ref="H983:N983"/>
    <mergeCell ref="D985:N985"/>
    <mergeCell ref="E987:I987"/>
    <mergeCell ref="J987:N987"/>
    <mergeCell ref="E988:G988"/>
    <mergeCell ref="E989:G989"/>
    <mergeCell ref="E990:G990"/>
    <mergeCell ref="E991:G991"/>
    <mergeCell ref="E992:G992"/>
    <mergeCell ref="E993:G993"/>
    <mergeCell ref="E995:I995"/>
    <mergeCell ref="J995:N995"/>
    <mergeCell ref="E996:N996"/>
    <mergeCell ref="E997:G997"/>
    <mergeCell ref="E998:G998"/>
    <mergeCell ref="E999:G999"/>
    <mergeCell ref="E1000:G1000"/>
    <mergeCell ref="D1002:N1002"/>
    <mergeCell ref="E1004:N1004"/>
    <mergeCell ref="E1005:N1005"/>
    <mergeCell ref="E1006:N1006"/>
    <mergeCell ref="E1008:N1008"/>
    <mergeCell ref="F1010:G1010"/>
    <mergeCell ref="F1011:G1011"/>
    <mergeCell ref="F1012:G1012"/>
    <mergeCell ref="F1013:G1013"/>
    <mergeCell ref="F1014:G1014"/>
    <mergeCell ref="F1015:G1015"/>
    <mergeCell ref="F1016:G1016"/>
    <mergeCell ref="F1017:G1017"/>
    <mergeCell ref="F1018:G1018"/>
    <mergeCell ref="F1019:G1019"/>
    <mergeCell ref="F1020:G1020"/>
    <mergeCell ref="E1021:G1021"/>
    <mergeCell ref="D1024:N1024"/>
    <mergeCell ref="D1026:H1026"/>
    <mergeCell ref="I1026:N1026"/>
    <mergeCell ref="E1028:M1028"/>
    <mergeCell ref="E1030:N1030"/>
    <mergeCell ref="E1031:N1031"/>
    <mergeCell ref="E1032:G1032"/>
    <mergeCell ref="E1033:G1033"/>
    <mergeCell ref="E1035:N1035"/>
    <mergeCell ref="E1036:G1036"/>
    <mergeCell ref="E1037:G1037"/>
    <mergeCell ref="E1038:G1038"/>
    <mergeCell ref="E1040:N1040"/>
    <mergeCell ref="E1041:K1041"/>
    <mergeCell ref="E1042:N1042"/>
    <mergeCell ref="E1043:H1043"/>
    <mergeCell ref="I1043:M1043"/>
    <mergeCell ref="E1045:G1045"/>
    <mergeCell ref="E1046:G1046"/>
    <mergeCell ref="E1047:G1047"/>
    <mergeCell ref="E1048:G1048"/>
    <mergeCell ref="E1049:G1049"/>
    <mergeCell ref="E1050:G1050"/>
    <mergeCell ref="E1051:G1051"/>
    <mergeCell ref="E1052:G1052"/>
    <mergeCell ref="E1053:G1053"/>
    <mergeCell ref="E1055:H1055"/>
    <mergeCell ref="I1055:M1055"/>
    <mergeCell ref="E1057:G1057"/>
    <mergeCell ref="E1058:G1058"/>
    <mergeCell ref="E1059:G1059"/>
    <mergeCell ref="E1060:G1060"/>
    <mergeCell ref="E1061:G1061"/>
    <mergeCell ref="E1062:G1062"/>
    <mergeCell ref="E1063:G1063"/>
    <mergeCell ref="E1064:G1064"/>
    <mergeCell ref="E1065:G1065"/>
    <mergeCell ref="E1067:N1067"/>
    <mergeCell ref="E1068:G1068"/>
    <mergeCell ref="E1069:G1069"/>
    <mergeCell ref="E1071:N1071"/>
    <mergeCell ref="E1072:M1072"/>
    <mergeCell ref="E1073:G1073"/>
    <mergeCell ref="E1074:G1074"/>
    <mergeCell ref="E1075:G1075"/>
    <mergeCell ref="E1077:G1077"/>
    <mergeCell ref="E1078:G1078"/>
    <mergeCell ref="E1079:G1079"/>
    <mergeCell ref="E1081:G1081"/>
    <mergeCell ref="E1082:G1082"/>
    <mergeCell ref="E1083:G1083"/>
    <mergeCell ref="E1085:N1085"/>
    <mergeCell ref="E1086:N1086"/>
    <mergeCell ref="E1087:K1087"/>
    <mergeCell ref="E1088:N1088"/>
    <mergeCell ref="E1089:H1089"/>
    <mergeCell ref="I1089:M1089"/>
    <mergeCell ref="E1090:N1090"/>
    <mergeCell ref="E1091:G1091"/>
    <mergeCell ref="E1092:G1092"/>
    <mergeCell ref="E1093:G1093"/>
    <mergeCell ref="E1094:G1094"/>
    <mergeCell ref="E1095:G1095"/>
    <mergeCell ref="E1097:H1097"/>
    <mergeCell ref="I1097:M1097"/>
    <mergeCell ref="E1098:N1098"/>
    <mergeCell ref="E1099:G1099"/>
    <mergeCell ref="E1100:G1100"/>
    <mergeCell ref="E1101:G1101"/>
    <mergeCell ref="E1102:G1102"/>
    <mergeCell ref="E1103:G1103"/>
    <mergeCell ref="E1105:H1105"/>
    <mergeCell ref="I1105:M1105"/>
    <mergeCell ref="E1106:N1106"/>
    <mergeCell ref="E1107:G1107"/>
    <mergeCell ref="E1108:G1108"/>
    <mergeCell ref="E1109:G1109"/>
    <mergeCell ref="E1110:G1110"/>
    <mergeCell ref="E1111:G1111"/>
    <mergeCell ref="E1113:H1113"/>
    <mergeCell ref="I1113:M1113"/>
    <mergeCell ref="E1114:N1114"/>
    <mergeCell ref="E1115:G1115"/>
    <mergeCell ref="E1116:G1116"/>
    <mergeCell ref="E1117:G1117"/>
    <mergeCell ref="E1118:G1118"/>
    <mergeCell ref="E1119:G1119"/>
    <mergeCell ref="E1121:H1121"/>
    <mergeCell ref="I1121:M1121"/>
    <mergeCell ref="E1122:N1122"/>
    <mergeCell ref="E1123:G1123"/>
    <mergeCell ref="E1124:G1124"/>
    <mergeCell ref="E1125:G1125"/>
    <mergeCell ref="E1126:G1126"/>
    <mergeCell ref="E1127:G1127"/>
    <mergeCell ref="E1129:N1129"/>
    <mergeCell ref="E1130:G1130"/>
    <mergeCell ref="E1131:G1131"/>
    <mergeCell ref="E1133:N1133"/>
    <mergeCell ref="E1134:G1134"/>
    <mergeCell ref="E1136:N1136"/>
    <mergeCell ref="E1137:K1137"/>
    <mergeCell ref="E1139:G1139"/>
    <mergeCell ref="E1140:G1140"/>
    <mergeCell ref="E1141:G1141"/>
    <mergeCell ref="E1143:G1143"/>
    <mergeCell ref="E1144:G1144"/>
    <mergeCell ref="E1145:G1145"/>
    <mergeCell ref="E1147:M1147"/>
    <mergeCell ref="E1148:M1148"/>
    <mergeCell ref="E1149:M1149"/>
    <mergeCell ref="D1153:H1153"/>
    <mergeCell ref="I1153:N1153"/>
    <mergeCell ref="E1155:N1155"/>
    <mergeCell ref="E1157:N1157"/>
    <mergeCell ref="E1158:G1158"/>
    <mergeCell ref="E1159:G1159"/>
    <mergeCell ref="E1160:G1160"/>
    <mergeCell ref="E1161:G1161"/>
    <mergeCell ref="E1163:G1163"/>
    <mergeCell ref="H1163:N1163"/>
    <mergeCell ref="D1165:N1165"/>
    <mergeCell ref="E1167:I1167"/>
    <mergeCell ref="J1167:N1167"/>
    <mergeCell ref="E1168:G1168"/>
    <mergeCell ref="E1169:G1169"/>
    <mergeCell ref="E1170:G1170"/>
    <mergeCell ref="E1171:G1171"/>
    <mergeCell ref="E1172:G1172"/>
    <mergeCell ref="E1173:G1173"/>
    <mergeCell ref="E1175:I1175"/>
    <mergeCell ref="J1175:N1175"/>
    <mergeCell ref="E1176:N1176"/>
    <mergeCell ref="E1177:G1177"/>
    <mergeCell ref="E1178:G1178"/>
    <mergeCell ref="E1179:G1179"/>
    <mergeCell ref="E1180:G1180"/>
    <mergeCell ref="D1182:N1182"/>
    <mergeCell ref="E1184:N1184"/>
    <mergeCell ref="E1185:N1185"/>
    <mergeCell ref="E1186:N1186"/>
    <mergeCell ref="E1188:N1188"/>
    <mergeCell ref="F1190:G1190"/>
    <mergeCell ref="F1191:G1191"/>
    <mergeCell ref="F1192:G1192"/>
    <mergeCell ref="F1193:G1193"/>
    <mergeCell ref="F1194:G1194"/>
    <mergeCell ref="F1195:G1195"/>
    <mergeCell ref="F1196:G1196"/>
    <mergeCell ref="F1197:G1197"/>
    <mergeCell ref="F1198:G1198"/>
    <mergeCell ref="F1199:G1199"/>
    <mergeCell ref="F1200:G1200"/>
    <mergeCell ref="E1201:G1201"/>
    <mergeCell ref="D1204:N1204"/>
    <mergeCell ref="D1206:H1206"/>
    <mergeCell ref="I1206:N1206"/>
    <mergeCell ref="E1208:M1208"/>
    <mergeCell ref="E1210:N1210"/>
    <mergeCell ref="E1211:N1211"/>
    <mergeCell ref="E1212:G1212"/>
    <mergeCell ref="E1213:G1213"/>
    <mergeCell ref="E1215:N1215"/>
    <mergeCell ref="E1216:G1216"/>
    <mergeCell ref="E1217:G1217"/>
    <mergeCell ref="E1218:G1218"/>
    <mergeCell ref="E1220:N1220"/>
    <mergeCell ref="E1221:K1221"/>
    <mergeCell ref="E1222:N1222"/>
    <mergeCell ref="E1223:H1223"/>
    <mergeCell ref="I1223:M1223"/>
    <mergeCell ref="E1225:G1225"/>
    <mergeCell ref="E1226:G1226"/>
    <mergeCell ref="E1227:G1227"/>
    <mergeCell ref="E1228:G1228"/>
    <mergeCell ref="E1229:G1229"/>
    <mergeCell ref="E1230:G1230"/>
    <mergeCell ref="E1231:G1231"/>
    <mergeCell ref="E1232:G1232"/>
    <mergeCell ref="E1233:G1233"/>
    <mergeCell ref="E1235:H1235"/>
    <mergeCell ref="I1235:M1235"/>
    <mergeCell ref="E1237:G1237"/>
    <mergeCell ref="E1238:G1238"/>
    <mergeCell ref="E1239:G1239"/>
    <mergeCell ref="E1240:G1240"/>
    <mergeCell ref="E1241:G1241"/>
    <mergeCell ref="E1242:G1242"/>
    <mergeCell ref="E1243:G1243"/>
    <mergeCell ref="E1244:G1244"/>
    <mergeCell ref="E1245:G1245"/>
    <mergeCell ref="E1247:N1247"/>
    <mergeCell ref="E1248:G1248"/>
    <mergeCell ref="E1249:G1249"/>
    <mergeCell ref="E1251:N1251"/>
    <mergeCell ref="E1252:M1252"/>
    <mergeCell ref="E1253:G1253"/>
    <mergeCell ref="E1254:G1254"/>
    <mergeCell ref="E1255:G1255"/>
    <mergeCell ref="E1257:G1257"/>
    <mergeCell ref="E1258:G1258"/>
    <mergeCell ref="E1259:G1259"/>
    <mergeCell ref="E1261:G1261"/>
    <mergeCell ref="E1262:G1262"/>
    <mergeCell ref="E1263:G1263"/>
    <mergeCell ref="E1265:N1265"/>
    <mergeCell ref="E1266:N1266"/>
    <mergeCell ref="E1267:K1267"/>
    <mergeCell ref="E1268:N1268"/>
    <mergeCell ref="E1269:H1269"/>
    <mergeCell ref="I1269:M1269"/>
    <mergeCell ref="E1270:N1270"/>
    <mergeCell ref="E1271:G1271"/>
    <mergeCell ref="E1272:G1272"/>
    <mergeCell ref="E1273:G1273"/>
    <mergeCell ref="E1274:G1274"/>
    <mergeCell ref="E1275:G1275"/>
    <mergeCell ref="E1277:H1277"/>
    <mergeCell ref="I1277:M1277"/>
    <mergeCell ref="E1278:N1278"/>
    <mergeCell ref="E1279:G1279"/>
    <mergeCell ref="E1280:G1280"/>
    <mergeCell ref="E1281:G1281"/>
    <mergeCell ref="E1282:G1282"/>
    <mergeCell ref="E1283:G1283"/>
    <mergeCell ref="E1285:H1285"/>
    <mergeCell ref="I1285:M1285"/>
    <mergeCell ref="E1286:N1286"/>
    <mergeCell ref="E1287:G1287"/>
    <mergeCell ref="E1288:G1288"/>
    <mergeCell ref="E1289:G1289"/>
    <mergeCell ref="E1290:G1290"/>
    <mergeCell ref="E1291:G1291"/>
    <mergeCell ref="E1293:H1293"/>
    <mergeCell ref="I1293:M1293"/>
    <mergeCell ref="E1294:N1294"/>
    <mergeCell ref="E1295:G1295"/>
    <mergeCell ref="E1296:G1296"/>
    <mergeCell ref="E1297:G1297"/>
    <mergeCell ref="E1298:G1298"/>
    <mergeCell ref="E1299:G1299"/>
    <mergeCell ref="E1301:H1301"/>
    <mergeCell ref="I1301:M1301"/>
    <mergeCell ref="E1302:N1302"/>
    <mergeCell ref="E1303:G1303"/>
    <mergeCell ref="E1304:G1304"/>
    <mergeCell ref="E1305:G1305"/>
    <mergeCell ref="E1306:G1306"/>
    <mergeCell ref="E1307:G1307"/>
    <mergeCell ref="E1309:N1309"/>
    <mergeCell ref="E1310:G1310"/>
    <mergeCell ref="E1311:G1311"/>
    <mergeCell ref="E1313:N1313"/>
    <mergeCell ref="E1314:G1314"/>
    <mergeCell ref="E1316:N1316"/>
    <mergeCell ref="E1317:K1317"/>
    <mergeCell ref="E1319:G1319"/>
    <mergeCell ref="E1320:G1320"/>
    <mergeCell ref="E1321:G1321"/>
    <mergeCell ref="E1323:G1323"/>
    <mergeCell ref="E1324:G1324"/>
    <mergeCell ref="E1325:G1325"/>
    <mergeCell ref="E1327:M1327"/>
    <mergeCell ref="E1328:M1328"/>
    <mergeCell ref="E1329:M1329"/>
    <mergeCell ref="D1333:H1333"/>
    <mergeCell ref="I1333:N1333"/>
    <mergeCell ref="E1335:N1335"/>
    <mergeCell ref="E1337:N1337"/>
    <mergeCell ref="E1338:G1338"/>
    <mergeCell ref="E1339:G1339"/>
    <mergeCell ref="E1340:G1340"/>
    <mergeCell ref="E1341:G1341"/>
    <mergeCell ref="E1343:G1343"/>
    <mergeCell ref="H1343:N1343"/>
    <mergeCell ref="D1345:N1345"/>
    <mergeCell ref="E1347:I1347"/>
    <mergeCell ref="J1347:N1347"/>
    <mergeCell ref="E1348:G1348"/>
    <mergeCell ref="E1349:G1349"/>
    <mergeCell ref="E1350:G1350"/>
    <mergeCell ref="E1351:G1351"/>
    <mergeCell ref="E1352:G1352"/>
    <mergeCell ref="E1353:G1353"/>
    <mergeCell ref="E1355:I1355"/>
    <mergeCell ref="J1355:N1355"/>
    <mergeCell ref="E1356:N1356"/>
    <mergeCell ref="E1357:G1357"/>
    <mergeCell ref="E1358:G1358"/>
    <mergeCell ref="E1359:G1359"/>
    <mergeCell ref="E1360:G1360"/>
    <mergeCell ref="D1362:N1362"/>
    <mergeCell ref="E1364:N1364"/>
    <mergeCell ref="E1365:N1365"/>
    <mergeCell ref="E1366:N1366"/>
    <mergeCell ref="E1368:N1368"/>
    <mergeCell ref="F1370:G1370"/>
    <mergeCell ref="F1371:G1371"/>
    <mergeCell ref="F1372:G1372"/>
    <mergeCell ref="F1373:G1373"/>
    <mergeCell ref="F1374:G1374"/>
    <mergeCell ref="F1375:G1375"/>
    <mergeCell ref="F1376:G1376"/>
    <mergeCell ref="F1377:G1377"/>
    <mergeCell ref="F1378:G1378"/>
    <mergeCell ref="F1379:G1379"/>
    <mergeCell ref="F1380:G1380"/>
    <mergeCell ref="E1381:G1381"/>
    <mergeCell ref="D1384:N1384"/>
    <mergeCell ref="D1386:H1386"/>
    <mergeCell ref="I1386:N1386"/>
    <mergeCell ref="E1388:M1388"/>
    <mergeCell ref="E1390:N1390"/>
    <mergeCell ref="E1391:N1391"/>
    <mergeCell ref="E1392:G1392"/>
    <mergeCell ref="E1393:G1393"/>
    <mergeCell ref="E1395:N1395"/>
    <mergeCell ref="E1396:G1396"/>
    <mergeCell ref="E1397:G1397"/>
    <mergeCell ref="E1398:G1398"/>
    <mergeCell ref="E1400:N1400"/>
    <mergeCell ref="E1401:K1401"/>
    <mergeCell ref="E1402:N1402"/>
    <mergeCell ref="E1403:H1403"/>
    <mergeCell ref="I1403:M1403"/>
    <mergeCell ref="E1405:G1405"/>
    <mergeCell ref="E1406:G1406"/>
    <mergeCell ref="E1407:G1407"/>
    <mergeCell ref="E1408:G1408"/>
    <mergeCell ref="E1409:G1409"/>
    <mergeCell ref="E1410:G1410"/>
    <mergeCell ref="E1411:G1411"/>
    <mergeCell ref="E1412:G1412"/>
    <mergeCell ref="E1413:G1413"/>
    <mergeCell ref="E1415:H1415"/>
    <mergeCell ref="I1415:M1415"/>
    <mergeCell ref="E1417:G1417"/>
    <mergeCell ref="E1418:G1418"/>
    <mergeCell ref="E1419:G1419"/>
    <mergeCell ref="E1420:G1420"/>
    <mergeCell ref="E1421:G1421"/>
    <mergeCell ref="E1422:G1422"/>
    <mergeCell ref="E1423:G1423"/>
    <mergeCell ref="E1424:G1424"/>
    <mergeCell ref="E1425:G1425"/>
    <mergeCell ref="E1427:N1427"/>
    <mergeCell ref="E1428:G1428"/>
    <mergeCell ref="E1429:G1429"/>
    <mergeCell ref="E1431:N1431"/>
    <mergeCell ref="E1432:M1432"/>
    <mergeCell ref="E1433:G1433"/>
    <mergeCell ref="E1434:G1434"/>
    <mergeCell ref="E1435:G1435"/>
    <mergeCell ref="E1437:G1437"/>
    <mergeCell ref="E1438:G1438"/>
    <mergeCell ref="E1439:G1439"/>
    <mergeCell ref="E1441:G1441"/>
    <mergeCell ref="E1442:G1442"/>
    <mergeCell ref="E1443:G1443"/>
    <mergeCell ref="E1445:N1445"/>
    <mergeCell ref="E1446:N1446"/>
    <mergeCell ref="E1447:K1447"/>
    <mergeCell ref="E1448:N1448"/>
    <mergeCell ref="E1449:H1449"/>
    <mergeCell ref="I1449:M1449"/>
    <mergeCell ref="E1450:N1450"/>
    <mergeCell ref="E1451:G1451"/>
    <mergeCell ref="E1452:G1452"/>
    <mergeCell ref="E1453:G1453"/>
    <mergeCell ref="E1454:G1454"/>
    <mergeCell ref="E1455:G1455"/>
    <mergeCell ref="E1457:H1457"/>
    <mergeCell ref="I1457:M1457"/>
    <mergeCell ref="E1458:N1458"/>
    <mergeCell ref="E1459:G1459"/>
    <mergeCell ref="E1460:G1460"/>
    <mergeCell ref="E1461:G1461"/>
    <mergeCell ref="E1462:G1462"/>
    <mergeCell ref="E1463:G1463"/>
    <mergeCell ref="E1465:H1465"/>
    <mergeCell ref="I1465:M1465"/>
    <mergeCell ref="E1466:N1466"/>
    <mergeCell ref="E1467:G1467"/>
    <mergeCell ref="E1468:G1468"/>
    <mergeCell ref="E1469:G1469"/>
    <mergeCell ref="E1470:G1470"/>
    <mergeCell ref="E1471:G1471"/>
    <mergeCell ref="E1473:H1473"/>
    <mergeCell ref="I1473:M1473"/>
    <mergeCell ref="E1474:N1474"/>
    <mergeCell ref="E1475:G1475"/>
    <mergeCell ref="E1476:G1476"/>
    <mergeCell ref="E1477:G1477"/>
    <mergeCell ref="E1478:G1478"/>
    <mergeCell ref="E1479:G1479"/>
    <mergeCell ref="E1481:H1481"/>
    <mergeCell ref="I1481:M1481"/>
    <mergeCell ref="E1482:N1482"/>
    <mergeCell ref="E1483:G1483"/>
    <mergeCell ref="E1484:G1484"/>
    <mergeCell ref="E1485:G1485"/>
    <mergeCell ref="E1486:G1486"/>
    <mergeCell ref="E1487:G1487"/>
    <mergeCell ref="E1489:N1489"/>
    <mergeCell ref="E1490:G1490"/>
    <mergeCell ref="E1491:G1491"/>
    <mergeCell ref="E1493:N1493"/>
    <mergeCell ref="E1494:G1494"/>
    <mergeCell ref="E1496:N1496"/>
    <mergeCell ref="E1497:K1497"/>
    <mergeCell ref="E1499:G1499"/>
    <mergeCell ref="E1500:G1500"/>
    <mergeCell ref="E1501:G1501"/>
    <mergeCell ref="E1503:G1503"/>
    <mergeCell ref="E1504:G1504"/>
    <mergeCell ref="E1505:G1505"/>
    <mergeCell ref="E1507:M1507"/>
    <mergeCell ref="E1508:M1508"/>
    <mergeCell ref="E1509:M1509"/>
    <mergeCell ref="D1513:H1513"/>
    <mergeCell ref="I1513:N1513"/>
    <mergeCell ref="E1515:N1515"/>
    <mergeCell ref="E1517:N1517"/>
    <mergeCell ref="E1518:G1518"/>
    <mergeCell ref="E1519:G1519"/>
    <mergeCell ref="E1520:G1520"/>
    <mergeCell ref="E1521:G1521"/>
    <mergeCell ref="E1523:G1523"/>
    <mergeCell ref="H1523:N1523"/>
    <mergeCell ref="D1525:N1525"/>
    <mergeCell ref="E1527:I1527"/>
    <mergeCell ref="J1527:N1527"/>
    <mergeCell ref="E1528:G1528"/>
    <mergeCell ref="E1529:G1529"/>
    <mergeCell ref="E1530:G1530"/>
    <mergeCell ref="E1531:G1531"/>
    <mergeCell ref="E1532:G1532"/>
    <mergeCell ref="E1533:G1533"/>
    <mergeCell ref="E1535:I1535"/>
    <mergeCell ref="J1535:N1535"/>
    <mergeCell ref="E1536:N1536"/>
    <mergeCell ref="E1537:G1537"/>
    <mergeCell ref="E1538:G1538"/>
    <mergeCell ref="E1539:G1539"/>
    <mergeCell ref="E1540:G1540"/>
    <mergeCell ref="D1542:N1542"/>
    <mergeCell ref="E1544:N1544"/>
    <mergeCell ref="E1545:N1545"/>
    <mergeCell ref="E1546:N1546"/>
    <mergeCell ref="E1548:N1548"/>
    <mergeCell ref="F1550:G1550"/>
    <mergeCell ref="F1551:G1551"/>
    <mergeCell ref="F1552:G1552"/>
    <mergeCell ref="F1553:G1553"/>
    <mergeCell ref="F1554:G1554"/>
    <mergeCell ref="F1555:G1555"/>
    <mergeCell ref="F1556:G1556"/>
    <mergeCell ref="F1557:G1557"/>
    <mergeCell ref="F1558:G1558"/>
    <mergeCell ref="F1559:G1559"/>
    <mergeCell ref="F1560:G1560"/>
    <mergeCell ref="E1561:G1561"/>
    <mergeCell ref="D1564:N1564"/>
    <mergeCell ref="D1566:H1566"/>
    <mergeCell ref="I1566:N1566"/>
    <mergeCell ref="E1568:M1568"/>
    <mergeCell ref="E1570:N1570"/>
    <mergeCell ref="E1571:N1571"/>
    <mergeCell ref="E1572:G1572"/>
    <mergeCell ref="E1573:G1573"/>
    <mergeCell ref="E1575:N1575"/>
    <mergeCell ref="E1576:G1576"/>
    <mergeCell ref="E1577:G1577"/>
    <mergeCell ref="E1578:G1578"/>
    <mergeCell ref="E1580:N1580"/>
    <mergeCell ref="E1581:K1581"/>
    <mergeCell ref="E1582:N1582"/>
    <mergeCell ref="E1583:H1583"/>
    <mergeCell ref="I1583:M1583"/>
    <mergeCell ref="E1585:G1585"/>
    <mergeCell ref="E1586:G1586"/>
    <mergeCell ref="E1587:G1587"/>
    <mergeCell ref="E1588:G1588"/>
    <mergeCell ref="E1589:G1589"/>
    <mergeCell ref="E1590:G1590"/>
    <mergeCell ref="E1591:G1591"/>
    <mergeCell ref="E1592:G1592"/>
    <mergeCell ref="E1593:G1593"/>
    <mergeCell ref="E1595:H1595"/>
    <mergeCell ref="I1595:M1595"/>
    <mergeCell ref="E1597:G1597"/>
    <mergeCell ref="E1598:G1598"/>
    <mergeCell ref="E1599:G1599"/>
    <mergeCell ref="E1600:G1600"/>
    <mergeCell ref="E1601:G1601"/>
    <mergeCell ref="E1602:G1602"/>
    <mergeCell ref="E1603:G1603"/>
    <mergeCell ref="E1604:G1604"/>
    <mergeCell ref="E1605:G1605"/>
    <mergeCell ref="E1607:N1607"/>
    <mergeCell ref="E1608:G1608"/>
    <mergeCell ref="E1609:G1609"/>
    <mergeCell ref="E1611:N1611"/>
    <mergeCell ref="E1612:M1612"/>
    <mergeCell ref="E1613:G1613"/>
    <mergeCell ref="E1614:G1614"/>
    <mergeCell ref="E1615:G1615"/>
    <mergeCell ref="E1617:G1617"/>
    <mergeCell ref="E1618:G1618"/>
    <mergeCell ref="E1619:G1619"/>
    <mergeCell ref="E1621:G1621"/>
    <mergeCell ref="E1622:G1622"/>
    <mergeCell ref="E1623:G1623"/>
    <mergeCell ref="E1625:N1625"/>
    <mergeCell ref="E1626:N1626"/>
    <mergeCell ref="E1627:K1627"/>
    <mergeCell ref="E1628:N1628"/>
    <mergeCell ref="E1629:H1629"/>
    <mergeCell ref="I1629:M1629"/>
    <mergeCell ref="E1630:N1630"/>
    <mergeCell ref="E1631:G1631"/>
    <mergeCell ref="E1632:G1632"/>
    <mergeCell ref="E1633:G1633"/>
    <mergeCell ref="E1634:G1634"/>
    <mergeCell ref="E1635:G1635"/>
    <mergeCell ref="E1637:H1637"/>
    <mergeCell ref="I1637:M1637"/>
    <mergeCell ref="E1638:N1638"/>
    <mergeCell ref="E1639:G1639"/>
    <mergeCell ref="E1640:G1640"/>
    <mergeCell ref="E1641:G1641"/>
    <mergeCell ref="E1642:G1642"/>
    <mergeCell ref="E1643:G1643"/>
    <mergeCell ref="E1645:H1645"/>
    <mergeCell ref="I1645:M1645"/>
    <mergeCell ref="E1646:N1646"/>
    <mergeCell ref="E1647:G1647"/>
    <mergeCell ref="E1648:G1648"/>
    <mergeCell ref="E1649:G1649"/>
    <mergeCell ref="E1650:G1650"/>
    <mergeCell ref="E1651:G1651"/>
    <mergeCell ref="E1653:H1653"/>
    <mergeCell ref="I1653:M1653"/>
    <mergeCell ref="E1654:N1654"/>
    <mergeCell ref="E1655:G1655"/>
    <mergeCell ref="E1656:G1656"/>
    <mergeCell ref="E1657:G1657"/>
    <mergeCell ref="E1658:G1658"/>
    <mergeCell ref="E1659:G1659"/>
    <mergeCell ref="E1661:H1661"/>
    <mergeCell ref="I1661:M1661"/>
    <mergeCell ref="E1662:N1662"/>
    <mergeCell ref="E1663:G1663"/>
    <mergeCell ref="E1664:G1664"/>
    <mergeCell ref="E1665:G1665"/>
    <mergeCell ref="E1666:G1666"/>
    <mergeCell ref="E1667:G1667"/>
    <mergeCell ref="E1669:N1669"/>
    <mergeCell ref="E1670:G1670"/>
    <mergeCell ref="E1671:G1671"/>
    <mergeCell ref="E1673:N1673"/>
    <mergeCell ref="E1674:G1674"/>
    <mergeCell ref="E1676:N1676"/>
    <mergeCell ref="E1677:K1677"/>
    <mergeCell ref="E1679:G1679"/>
    <mergeCell ref="E1680:G1680"/>
    <mergeCell ref="E1681:G1681"/>
    <mergeCell ref="E1683:G1683"/>
    <mergeCell ref="E1684:G1684"/>
    <mergeCell ref="E1685:G1685"/>
    <mergeCell ref="E1687:M1687"/>
    <mergeCell ref="E1688:M1688"/>
    <mergeCell ref="E1689:M1689"/>
    <mergeCell ref="D1693:H1693"/>
    <mergeCell ref="I1693:N1693"/>
    <mergeCell ref="E1695:N1695"/>
    <mergeCell ref="E1697:N1697"/>
    <mergeCell ref="E1698:G1698"/>
    <mergeCell ref="E1699:G1699"/>
    <mergeCell ref="E1700:G1700"/>
    <mergeCell ref="E1701:G1701"/>
    <mergeCell ref="E1703:G1703"/>
    <mergeCell ref="H1703:N1703"/>
    <mergeCell ref="D1705:N1705"/>
    <mergeCell ref="E1707:I1707"/>
    <mergeCell ref="J1707:N1707"/>
    <mergeCell ref="E1708:G1708"/>
    <mergeCell ref="E1709:G1709"/>
    <mergeCell ref="E1710:G1710"/>
    <mergeCell ref="E1711:G1711"/>
    <mergeCell ref="E1712:G1712"/>
    <mergeCell ref="E1713:G1713"/>
    <mergeCell ref="E1715:I1715"/>
    <mergeCell ref="J1715:N1715"/>
    <mergeCell ref="E1716:N1716"/>
    <mergeCell ref="E1717:G1717"/>
    <mergeCell ref="E1718:G1718"/>
    <mergeCell ref="E1719:G1719"/>
    <mergeCell ref="E1720:G1720"/>
    <mergeCell ref="D1722:N1722"/>
    <mergeCell ref="E1724:N1724"/>
    <mergeCell ref="E1725:N1725"/>
    <mergeCell ref="E1726:N1726"/>
    <mergeCell ref="E1728:N1728"/>
    <mergeCell ref="F1730:G1730"/>
    <mergeCell ref="F1731:G1731"/>
    <mergeCell ref="F1732:G1732"/>
    <mergeCell ref="F1733:G1733"/>
    <mergeCell ref="F1734:G1734"/>
    <mergeCell ref="F1735:G1735"/>
    <mergeCell ref="F1736:G1736"/>
    <mergeCell ref="F1737:G1737"/>
    <mergeCell ref="F1738:G1738"/>
    <mergeCell ref="F1739:G1739"/>
    <mergeCell ref="F1740:G1740"/>
    <mergeCell ref="E1741:G1741"/>
    <mergeCell ref="D1744:N1744"/>
    <mergeCell ref="D1746:H1746"/>
    <mergeCell ref="I1746:N1746"/>
    <mergeCell ref="E1748:M1748"/>
    <mergeCell ref="E1750:N1750"/>
    <mergeCell ref="E1751:N1751"/>
    <mergeCell ref="E1752:G1752"/>
    <mergeCell ref="E1753:G1753"/>
    <mergeCell ref="E1755:N1755"/>
    <mergeCell ref="E1756:G1756"/>
    <mergeCell ref="E1757:G1757"/>
    <mergeCell ref="E1758:G1758"/>
    <mergeCell ref="E1760:N1760"/>
    <mergeCell ref="E1761:K1761"/>
    <mergeCell ref="E1762:N1762"/>
    <mergeCell ref="E1763:H1763"/>
    <mergeCell ref="I1763:M1763"/>
    <mergeCell ref="E1765:G1765"/>
    <mergeCell ref="E1766:G1766"/>
    <mergeCell ref="E1767:G1767"/>
    <mergeCell ref="E1768:G1768"/>
    <mergeCell ref="E1769:G1769"/>
    <mergeCell ref="E1770:G1770"/>
    <mergeCell ref="E1771:G1771"/>
    <mergeCell ref="E1772:G1772"/>
    <mergeCell ref="E1773:G1773"/>
    <mergeCell ref="E1775:H1775"/>
    <mergeCell ref="I1775:M1775"/>
    <mergeCell ref="E1777:G1777"/>
    <mergeCell ref="E1778:G1778"/>
    <mergeCell ref="E1779:G1779"/>
    <mergeCell ref="E1780:G1780"/>
    <mergeCell ref="E1781:G1781"/>
    <mergeCell ref="E1782:G1782"/>
    <mergeCell ref="E1783:G1783"/>
    <mergeCell ref="E1784:G1784"/>
    <mergeCell ref="E1785:G1785"/>
    <mergeCell ref="E1787:N1787"/>
    <mergeCell ref="E1788:G1788"/>
    <mergeCell ref="E1789:G1789"/>
    <mergeCell ref="E1791:N1791"/>
    <mergeCell ref="E1792:M1792"/>
    <mergeCell ref="E1793:G1793"/>
    <mergeCell ref="E1794:G1794"/>
    <mergeCell ref="E1795:G1795"/>
    <mergeCell ref="E1797:G1797"/>
    <mergeCell ref="E1798:G1798"/>
    <mergeCell ref="E1799:G1799"/>
    <mergeCell ref="E1801:G1801"/>
    <mergeCell ref="E1802:G1802"/>
    <mergeCell ref="E1803:G1803"/>
    <mergeCell ref="E1805:N1805"/>
    <mergeCell ref="E1806:N1806"/>
    <mergeCell ref="E1807:K1807"/>
    <mergeCell ref="E1808:N1808"/>
    <mergeCell ref="E1809:H1809"/>
    <mergeCell ref="I1809:M1809"/>
    <mergeCell ref="E1810:N1810"/>
    <mergeCell ref="E1811:G1811"/>
    <mergeCell ref="E1812:G1812"/>
    <mergeCell ref="E1813:G1813"/>
    <mergeCell ref="E1814:G1814"/>
    <mergeCell ref="E1815:G1815"/>
    <mergeCell ref="E1817:H1817"/>
    <mergeCell ref="I1817:M1817"/>
    <mergeCell ref="E1818:N1818"/>
    <mergeCell ref="E1819:G1819"/>
    <mergeCell ref="E1820:G1820"/>
    <mergeCell ref="E1821:G1821"/>
    <mergeCell ref="E1822:G1822"/>
    <mergeCell ref="E1823:G1823"/>
    <mergeCell ref="E1825:H1825"/>
    <mergeCell ref="I1825:M1825"/>
    <mergeCell ref="E1826:N1826"/>
    <mergeCell ref="E1827:G1827"/>
    <mergeCell ref="E1828:G1828"/>
    <mergeCell ref="E1829:G1829"/>
    <mergeCell ref="E1830:G1830"/>
    <mergeCell ref="E1831:G1831"/>
    <mergeCell ref="E1833:H1833"/>
    <mergeCell ref="I1833:M1833"/>
    <mergeCell ref="E1834:N1834"/>
    <mergeCell ref="E1854:G1854"/>
    <mergeCell ref="E1856:N1856"/>
    <mergeCell ref="E1857:K1857"/>
    <mergeCell ref="E1867:M1867"/>
    <mergeCell ref="E1868:M1868"/>
    <mergeCell ref="E1869:M1869"/>
    <mergeCell ref="E1859:G1859"/>
    <mergeCell ref="E1860:G1860"/>
    <mergeCell ref="E1861:G1861"/>
    <mergeCell ref="E1863:G1863"/>
    <mergeCell ref="E1864:G1864"/>
    <mergeCell ref="E1865:G1865"/>
    <mergeCell ref="E1835:G1835"/>
    <mergeCell ref="E1836:G1836"/>
    <mergeCell ref="E1837:G1837"/>
    <mergeCell ref="E1838:G1838"/>
    <mergeCell ref="E1839:G1839"/>
    <mergeCell ref="E1841:H1841"/>
    <mergeCell ref="I1841:M1841"/>
    <mergeCell ref="E1842:N1842"/>
    <mergeCell ref="E1843:G1843"/>
    <mergeCell ref="E1844:G1844"/>
    <mergeCell ref="E1845:G1845"/>
    <mergeCell ref="E1846:G1846"/>
    <mergeCell ref="E1847:G1847"/>
    <mergeCell ref="E1849:N1849"/>
    <mergeCell ref="E1850:G1850"/>
    <mergeCell ref="E1851:G1851"/>
    <mergeCell ref="E1853:N1853"/>
  </mergeCells>
  <phoneticPr fontId="31" type="noConversion"/>
  <conditionalFormatting sqref="B2:D4">
    <cfRule type="expression" dxfId="233" priority="239" stopIfTrue="1">
      <formula>$G$1908</formula>
    </cfRule>
  </conditionalFormatting>
  <conditionalFormatting sqref="C254:N430 C434:N610 C614:N790 C794:N970 C974:N1150 C1154:N1330 C1334:N1510 C1514:N1690 C1694:N1870 C14:N250">
    <cfRule type="expression" dxfId="232" priority="145" stopIfTrue="1">
      <formula>INDEX($AA:$AA,MATCH(MAX(INDIRECT(ADDRESS(1,3)&amp;":"&amp;ADDRESS(ROW(D14),3))),$C:$C,0))</formula>
    </cfRule>
  </conditionalFormatting>
  <conditionalFormatting sqref="E67:F76 H67:M76 I122:M122 I125:M128 I134:M134 I179:M180 I182:M182 I188:M189 I191:M191 I198:M199 I201:M201 I203 I207:M208 I210:M210 I212 I216:M217 I219:M219 I231:M232 E239:G240 I239:M240 E243:G244 I243:M244 E248:M249">
    <cfRule type="expression" dxfId="231" priority="193" stopIfTrue="1">
      <formula>$AA67</formula>
    </cfRule>
  </conditionalFormatting>
  <conditionalFormatting sqref="E291:F300 H291:M300 I323:M323 I326:M329 I335:M335 I372:M373 I375:M375 I380:M381 I383:M383 I388:M389 I391:M391 I393 I396:M397 I399:M399 I401 I404:M405 I407:M407 I414:M415 E420:G421 I420:M421 E424:G425 I424:M425 E428:M429">
    <cfRule type="expression" dxfId="230" priority="141" stopIfTrue="1">
      <formula>$AA291</formula>
    </cfRule>
  </conditionalFormatting>
  <conditionalFormatting sqref="E471:F480 H471:M480 I503:M503 I506:M509 I515:M515 I552:M553 I555:M555 I560:M561 I563:M563 I568:M569 I571:M571 I573 I576:M577 I579:M579 I581 I584:M585 I587:M587 I594:M595 E600:G601 I600:M601 E604:G605 I604:M605 E608:M609">
    <cfRule type="expression" dxfId="229" priority="120" stopIfTrue="1">
      <formula>$AA471</formula>
    </cfRule>
  </conditionalFormatting>
  <conditionalFormatting sqref="E651:F660 H651:M660 I683:M683 I686:M689 I695:M695 I732:M733 I735:M735 I740:M741 I743:M743 I748:M749 I751:M751 I753 I756:M757 I759:M759 I761 I764:M765 I767:M767 I774:M775 E780:G781 I780:M781 E784:G785 I784:M785 E788:M789">
    <cfRule type="expression" dxfId="228" priority="105" stopIfTrue="1">
      <formula>$AA651</formula>
    </cfRule>
  </conditionalFormatting>
  <conditionalFormatting sqref="E831:F840 H831:M840 I863:M863 I866:M869 I875:M875 I912:M913 I915:M915 I920:M921 I923:M923 I928:M929 I931:M931 I933 I936:M937 I939:M939 I941 I944:M945 I947:M947 I954:M955 E960:G961 I960:M961 E964:G965 I964:M965 E968:M969">
    <cfRule type="expression" dxfId="227" priority="90" stopIfTrue="1">
      <formula>$AA831</formula>
    </cfRule>
  </conditionalFormatting>
  <conditionalFormatting sqref="E1011:F1020 H1011:M1020 I1043:M1043 I1046:M1049 I1055:M1055 I1092:M1093 I1095:M1095 I1100:M1101 I1103:M1103 I1108:M1109 I1111:M1111 I1113 I1116:M1117 I1119:M1119 I1121 I1124:M1125 I1127:M1127 I1134:M1135 E1140:G1141 I1140:M1141 E1144:G1145 I1144:M1145 E1148:M1149">
    <cfRule type="expression" dxfId="226" priority="75" stopIfTrue="1">
      <formula>$AA1011</formula>
    </cfRule>
  </conditionalFormatting>
  <conditionalFormatting sqref="E1191:F1200 H1191:M1200 I1223:M1223 I1226:M1229 I1235:M1235 I1272:M1273 I1275:M1275 I1280:M1281 I1283:M1283 I1288:M1289 I1291:M1291 I1293 I1296:M1297 I1299:M1299 I1301 I1304:M1305 I1307:M1307 I1314:M1315 E1320:G1321 I1320:M1321 E1324:G1325 I1324:M1325 E1328:M1329">
    <cfRule type="expression" dxfId="225" priority="60" stopIfTrue="1">
      <formula>$AA1191</formula>
    </cfRule>
  </conditionalFormatting>
  <conditionalFormatting sqref="E1371:F1380 H1371:M1380 I1403:M1403 I1406:M1409 I1415:M1415 I1452:M1453 I1455:M1455 I1460:M1461 I1463:M1463 I1468:M1469 I1471:M1471 I1473 I1476:M1477 I1479:M1479 I1481 I1484:M1485 I1487:M1487 I1494:M1495 E1500:G1501 I1500:M1501 E1504:G1505 I1504:M1505 E1508:M1509">
    <cfRule type="expression" dxfId="224" priority="45" stopIfTrue="1">
      <formula>$AA1371</formula>
    </cfRule>
  </conditionalFormatting>
  <conditionalFormatting sqref="E1551:F1560 H1551:M1560 I1583:M1583 I1586:M1589 I1595:M1595 I1632:M1633 I1635:M1635 I1640:M1641 I1643:M1643 I1648:M1649 I1651:M1651 I1653 I1656:M1657 I1659:M1659 I1661 I1664:M1665 I1667:M1667 I1674:M1675 E1680:G1681 I1680:M1681 E1684:G1685 I1684:M1685 E1688:M1689">
    <cfRule type="expression" dxfId="223" priority="30" stopIfTrue="1">
      <formula>$AA1551</formula>
    </cfRule>
  </conditionalFormatting>
  <conditionalFormatting sqref="E1731:F1740 H1731:M1740 I1763:M1763 I1766:M1769 I1775:M1775 I1812:M1813 I1815:M1815 I1820:M1821 I1823:M1823 I1828:M1829 I1831:M1831 I1833 I1836:M1837 I1839:M1839 I1841 I1844:M1845 I1847:M1847 I1854:M1855 E1860:G1861 I1860:M1861 E1864:G1865 I1864:M1865 E1868:M1869">
    <cfRule type="expression" dxfId="222" priority="15" stopIfTrue="1">
      <formula>$AA1731</formula>
    </cfRule>
  </conditionalFormatting>
  <conditionalFormatting sqref="G3:N5">
    <cfRule type="expression" dxfId="221" priority="169" stopIfTrue="1">
      <formula>INDEX($G$1898:$G$1907,MATCH("BM"&amp;P3,$F$1898:$F$1907,0))</formula>
    </cfRule>
  </conditionalFormatting>
  <conditionalFormatting sqref="I175">
    <cfRule type="expression" dxfId="220" priority="160" stopIfTrue="1">
      <formula>$AA175</formula>
    </cfRule>
  </conditionalFormatting>
  <conditionalFormatting sqref="I184">
    <cfRule type="expression" dxfId="219" priority="158" stopIfTrue="1">
      <formula>$AA184</formula>
    </cfRule>
  </conditionalFormatting>
  <conditionalFormatting sqref="I193">
    <cfRule type="expression" dxfId="218" priority="159" stopIfTrue="1">
      <formula>$AA193</formula>
    </cfRule>
  </conditionalFormatting>
  <conditionalFormatting sqref="I369">
    <cfRule type="expression" dxfId="217" priority="136" stopIfTrue="1">
      <formula>$AA369</formula>
    </cfRule>
  </conditionalFormatting>
  <conditionalFormatting sqref="I377">
    <cfRule type="expression" dxfId="216" priority="134" stopIfTrue="1">
      <formula>$AA377</formula>
    </cfRule>
  </conditionalFormatting>
  <conditionalFormatting sqref="I385">
    <cfRule type="expression" dxfId="215" priority="135" stopIfTrue="1">
      <formula>$AA385</formula>
    </cfRule>
  </conditionalFormatting>
  <conditionalFormatting sqref="I549">
    <cfRule type="expression" dxfId="214" priority="115" stopIfTrue="1">
      <formula>$AA549</formula>
    </cfRule>
  </conditionalFormatting>
  <conditionalFormatting sqref="I557">
    <cfRule type="expression" dxfId="213" priority="113" stopIfTrue="1">
      <formula>$AA557</formula>
    </cfRule>
  </conditionalFormatting>
  <conditionalFormatting sqref="I565">
    <cfRule type="expression" dxfId="212" priority="114" stopIfTrue="1">
      <formula>$AA565</formula>
    </cfRule>
  </conditionalFormatting>
  <conditionalFormatting sqref="I729">
    <cfRule type="expression" dxfId="211" priority="100" stopIfTrue="1">
      <formula>$AA729</formula>
    </cfRule>
  </conditionalFormatting>
  <conditionalFormatting sqref="I737">
    <cfRule type="expression" dxfId="210" priority="98" stopIfTrue="1">
      <formula>$AA737</formula>
    </cfRule>
  </conditionalFormatting>
  <conditionalFormatting sqref="I745">
    <cfRule type="expression" dxfId="209" priority="99" stopIfTrue="1">
      <formula>$AA745</formula>
    </cfRule>
  </conditionalFormatting>
  <conditionalFormatting sqref="I909">
    <cfRule type="expression" dxfId="208" priority="85" stopIfTrue="1">
      <formula>$AA909</formula>
    </cfRule>
  </conditionalFormatting>
  <conditionalFormatting sqref="I917">
    <cfRule type="expression" dxfId="207" priority="83" stopIfTrue="1">
      <formula>$AA917</formula>
    </cfRule>
  </conditionalFormatting>
  <conditionalFormatting sqref="I925">
    <cfRule type="expression" dxfId="206" priority="84" stopIfTrue="1">
      <formula>$AA925</formula>
    </cfRule>
  </conditionalFormatting>
  <conditionalFormatting sqref="I1089">
    <cfRule type="expression" dxfId="205" priority="70" stopIfTrue="1">
      <formula>$AA1089</formula>
    </cfRule>
  </conditionalFormatting>
  <conditionalFormatting sqref="I1097">
    <cfRule type="expression" dxfId="204" priority="68" stopIfTrue="1">
      <formula>$AA1097</formula>
    </cfRule>
  </conditionalFormatting>
  <conditionalFormatting sqref="I1105">
    <cfRule type="expression" dxfId="203" priority="69" stopIfTrue="1">
      <formula>$AA1105</formula>
    </cfRule>
  </conditionalFormatting>
  <conditionalFormatting sqref="I1269">
    <cfRule type="expression" dxfId="202" priority="55" stopIfTrue="1">
      <formula>$AA1269</formula>
    </cfRule>
  </conditionalFormatting>
  <conditionalFormatting sqref="I1277">
    <cfRule type="expression" dxfId="201" priority="53" stopIfTrue="1">
      <formula>$AA1277</formula>
    </cfRule>
  </conditionalFormatting>
  <conditionalFormatting sqref="I1285">
    <cfRule type="expression" dxfId="200" priority="54" stopIfTrue="1">
      <formula>$AA1285</formula>
    </cfRule>
  </conditionalFormatting>
  <conditionalFormatting sqref="I1449">
    <cfRule type="expression" dxfId="199" priority="40" stopIfTrue="1">
      <formula>$AA1449</formula>
    </cfRule>
  </conditionalFormatting>
  <conditionalFormatting sqref="I1457">
    <cfRule type="expression" dxfId="198" priority="38" stopIfTrue="1">
      <formula>$AA1457</formula>
    </cfRule>
  </conditionalFormatting>
  <conditionalFormatting sqref="I1465">
    <cfRule type="expression" dxfId="197" priority="39" stopIfTrue="1">
      <formula>$AA1465</formula>
    </cfRule>
  </conditionalFormatting>
  <conditionalFormatting sqref="I1629">
    <cfRule type="expression" dxfId="196" priority="25" stopIfTrue="1">
      <formula>$AA1629</formula>
    </cfRule>
  </conditionalFormatting>
  <conditionalFormatting sqref="I1637">
    <cfRule type="expression" dxfId="195" priority="23" stopIfTrue="1">
      <formula>$AA1637</formula>
    </cfRule>
  </conditionalFormatting>
  <conditionalFormatting sqref="I1645">
    <cfRule type="expression" dxfId="194" priority="24" stopIfTrue="1">
      <formula>$AA1645</formula>
    </cfRule>
  </conditionalFormatting>
  <conditionalFormatting sqref="I1809">
    <cfRule type="expression" dxfId="193" priority="10" stopIfTrue="1">
      <formula>$AA1809</formula>
    </cfRule>
  </conditionalFormatting>
  <conditionalFormatting sqref="I1817">
    <cfRule type="expression" dxfId="192" priority="8" stopIfTrue="1">
      <formula>$AA1817</formula>
    </cfRule>
  </conditionalFormatting>
  <conditionalFormatting sqref="I1825">
    <cfRule type="expression" dxfId="191" priority="9" stopIfTrue="1">
      <formula>$AA1825</formula>
    </cfRule>
  </conditionalFormatting>
  <conditionalFormatting sqref="I26:M27">
    <cfRule type="expression" dxfId="190" priority="157" stopIfTrue="1">
      <formula>$AA26</formula>
    </cfRule>
  </conditionalFormatting>
  <conditionalFormatting sqref="I40:M41">
    <cfRule type="expression" dxfId="189" priority="168" stopIfTrue="1">
      <formula>($AA40=TRUE)</formula>
    </cfRule>
  </conditionalFormatting>
  <conditionalFormatting sqref="I42:M42">
    <cfRule type="expression" dxfId="188" priority="164" stopIfTrue="1">
      <formula>$AA42</formula>
    </cfRule>
  </conditionalFormatting>
  <conditionalFormatting sqref="I43:M44">
    <cfRule type="expression" dxfId="187" priority="167" stopIfTrue="1">
      <formula>($AA43=TRUE)</formula>
    </cfRule>
  </conditionalFormatting>
  <conditionalFormatting sqref="I137:M140">
    <cfRule type="expression" dxfId="186" priority="163" stopIfTrue="1">
      <formula>$AA137</formula>
    </cfRule>
  </conditionalFormatting>
  <conditionalFormatting sqref="I259:M260">
    <cfRule type="expression" dxfId="185" priority="133" stopIfTrue="1">
      <formula>$AA259</formula>
    </cfRule>
  </conditionalFormatting>
  <conditionalFormatting sqref="I269:M270">
    <cfRule type="expression" dxfId="184" priority="140" stopIfTrue="1">
      <formula>($AA269=TRUE)</formula>
    </cfRule>
  </conditionalFormatting>
  <conditionalFormatting sqref="I271:M271">
    <cfRule type="expression" dxfId="183" priority="138" stopIfTrue="1">
      <formula>$AA271</formula>
    </cfRule>
  </conditionalFormatting>
  <conditionalFormatting sqref="I272:M273">
    <cfRule type="expression" dxfId="182" priority="139" stopIfTrue="1">
      <formula>($AA272=TRUE)</formula>
    </cfRule>
  </conditionalFormatting>
  <conditionalFormatting sqref="I338:M341">
    <cfRule type="expression" dxfId="181" priority="137" stopIfTrue="1">
      <formula>$AA338</formula>
    </cfRule>
  </conditionalFormatting>
  <conditionalFormatting sqref="I439:M440">
    <cfRule type="expression" dxfId="180" priority="112" stopIfTrue="1">
      <formula>$AA439</formula>
    </cfRule>
  </conditionalFormatting>
  <conditionalFormatting sqref="I449:M450">
    <cfRule type="expression" dxfId="179" priority="119" stopIfTrue="1">
      <formula>($AA449=TRUE)</formula>
    </cfRule>
  </conditionalFormatting>
  <conditionalFormatting sqref="I451:M451">
    <cfRule type="expression" dxfId="178" priority="117" stopIfTrue="1">
      <formula>$AA451</formula>
    </cfRule>
  </conditionalFormatting>
  <conditionalFormatting sqref="I452:M453">
    <cfRule type="expression" dxfId="177" priority="118" stopIfTrue="1">
      <formula>($AA452=TRUE)</formula>
    </cfRule>
  </conditionalFormatting>
  <conditionalFormatting sqref="I518:M521">
    <cfRule type="expression" dxfId="176" priority="116" stopIfTrue="1">
      <formula>$AA518</formula>
    </cfRule>
  </conditionalFormatting>
  <conditionalFormatting sqref="I619:M620">
    <cfRule type="expression" dxfId="175" priority="97" stopIfTrue="1">
      <formula>$AA619</formula>
    </cfRule>
  </conditionalFormatting>
  <conditionalFormatting sqref="I629:M630">
    <cfRule type="expression" dxfId="174" priority="104" stopIfTrue="1">
      <formula>($AA629=TRUE)</formula>
    </cfRule>
  </conditionalFormatting>
  <conditionalFormatting sqref="I631:M631">
    <cfRule type="expression" dxfId="173" priority="102" stopIfTrue="1">
      <formula>$AA631</formula>
    </cfRule>
  </conditionalFormatting>
  <conditionalFormatting sqref="I632:M633">
    <cfRule type="expression" dxfId="172" priority="103" stopIfTrue="1">
      <formula>($AA632=TRUE)</formula>
    </cfRule>
  </conditionalFormatting>
  <conditionalFormatting sqref="I698:M701">
    <cfRule type="expression" dxfId="171" priority="101" stopIfTrue="1">
      <formula>$AA698</formula>
    </cfRule>
  </conditionalFormatting>
  <conditionalFormatting sqref="I799:M800">
    <cfRule type="expression" dxfId="170" priority="82" stopIfTrue="1">
      <formula>$AA799</formula>
    </cfRule>
  </conditionalFormatting>
  <conditionalFormatting sqref="I809:M810">
    <cfRule type="expression" dxfId="169" priority="89" stopIfTrue="1">
      <formula>($AA809=TRUE)</formula>
    </cfRule>
  </conditionalFormatting>
  <conditionalFormatting sqref="I811:M811">
    <cfRule type="expression" dxfId="168" priority="87" stopIfTrue="1">
      <formula>$AA811</formula>
    </cfRule>
  </conditionalFormatting>
  <conditionalFormatting sqref="I812:M813">
    <cfRule type="expression" dxfId="167" priority="88" stopIfTrue="1">
      <formula>($AA812=TRUE)</formula>
    </cfRule>
  </conditionalFormatting>
  <conditionalFormatting sqref="I878:M881">
    <cfRule type="expression" dxfId="166" priority="86" stopIfTrue="1">
      <formula>$AA878</formula>
    </cfRule>
  </conditionalFormatting>
  <conditionalFormatting sqref="I979:M980">
    <cfRule type="expression" dxfId="165" priority="67" stopIfTrue="1">
      <formula>$AA979</formula>
    </cfRule>
  </conditionalFormatting>
  <conditionalFormatting sqref="I989:M990">
    <cfRule type="expression" dxfId="164" priority="74" stopIfTrue="1">
      <formula>($AA989=TRUE)</formula>
    </cfRule>
  </conditionalFormatting>
  <conditionalFormatting sqref="I991:M991">
    <cfRule type="expression" dxfId="163" priority="72" stopIfTrue="1">
      <formula>$AA991</formula>
    </cfRule>
  </conditionalFormatting>
  <conditionalFormatting sqref="I992:M993">
    <cfRule type="expression" dxfId="162" priority="73" stopIfTrue="1">
      <formula>($AA992=TRUE)</formula>
    </cfRule>
  </conditionalFormatting>
  <conditionalFormatting sqref="I1058:M1061">
    <cfRule type="expression" dxfId="161" priority="71" stopIfTrue="1">
      <formula>$AA1058</formula>
    </cfRule>
  </conditionalFormatting>
  <conditionalFormatting sqref="I1159:M1160">
    <cfRule type="expression" dxfId="160" priority="52" stopIfTrue="1">
      <formula>$AA1159</formula>
    </cfRule>
  </conditionalFormatting>
  <conditionalFormatting sqref="I1169:M1170">
    <cfRule type="expression" dxfId="159" priority="59" stopIfTrue="1">
      <formula>($AA1169=TRUE)</formula>
    </cfRule>
  </conditionalFormatting>
  <conditionalFormatting sqref="I1171:M1171">
    <cfRule type="expression" dxfId="158" priority="57" stopIfTrue="1">
      <formula>$AA1171</formula>
    </cfRule>
  </conditionalFormatting>
  <conditionalFormatting sqref="I1172:M1173">
    <cfRule type="expression" dxfId="157" priority="58" stopIfTrue="1">
      <formula>($AA1172=TRUE)</formula>
    </cfRule>
  </conditionalFormatting>
  <conditionalFormatting sqref="I1238:M1241">
    <cfRule type="expression" dxfId="156" priority="56" stopIfTrue="1">
      <formula>$AA1238</formula>
    </cfRule>
  </conditionalFormatting>
  <conditionalFormatting sqref="I1339:M1340">
    <cfRule type="expression" dxfId="155" priority="37" stopIfTrue="1">
      <formula>$AA1339</formula>
    </cfRule>
  </conditionalFormatting>
  <conditionalFormatting sqref="I1349:M1350">
    <cfRule type="expression" dxfId="154" priority="44" stopIfTrue="1">
      <formula>($AA1349=TRUE)</formula>
    </cfRule>
  </conditionalFormatting>
  <conditionalFormatting sqref="I1351:M1351">
    <cfRule type="expression" dxfId="153" priority="42" stopIfTrue="1">
      <formula>$AA1351</formula>
    </cfRule>
  </conditionalFormatting>
  <conditionalFormatting sqref="I1352:M1353">
    <cfRule type="expression" dxfId="152" priority="43" stopIfTrue="1">
      <formula>($AA1352=TRUE)</formula>
    </cfRule>
  </conditionalFormatting>
  <conditionalFormatting sqref="I1418:M1421">
    <cfRule type="expression" dxfId="151" priority="41" stopIfTrue="1">
      <formula>$AA1418</formula>
    </cfRule>
  </conditionalFormatting>
  <conditionalFormatting sqref="I1519:M1520">
    <cfRule type="expression" dxfId="150" priority="22" stopIfTrue="1">
      <formula>$AA1519</formula>
    </cfRule>
  </conditionalFormatting>
  <conditionalFormatting sqref="I1529:M1530">
    <cfRule type="expression" dxfId="149" priority="29" stopIfTrue="1">
      <formula>($AA1529=TRUE)</formula>
    </cfRule>
  </conditionalFormatting>
  <conditionalFormatting sqref="I1531:M1531">
    <cfRule type="expression" dxfId="148" priority="27" stopIfTrue="1">
      <formula>$AA1531</formula>
    </cfRule>
  </conditionalFormatting>
  <conditionalFormatting sqref="I1532:M1533">
    <cfRule type="expression" dxfId="147" priority="28" stopIfTrue="1">
      <formula>($AA1532=TRUE)</formula>
    </cfRule>
  </conditionalFormatting>
  <conditionalFormatting sqref="I1598:M1601">
    <cfRule type="expression" dxfId="146" priority="26" stopIfTrue="1">
      <formula>$AA1598</formula>
    </cfRule>
  </conditionalFormatting>
  <conditionalFormatting sqref="I1699:M1700">
    <cfRule type="expression" dxfId="145" priority="7" stopIfTrue="1">
      <formula>$AA1699</formula>
    </cfRule>
  </conditionalFormatting>
  <conditionalFormatting sqref="I1709:M1710">
    <cfRule type="expression" dxfId="144" priority="14" stopIfTrue="1">
      <formula>($AA1709=TRUE)</formula>
    </cfRule>
  </conditionalFormatting>
  <conditionalFormatting sqref="I1711:M1711">
    <cfRule type="expression" dxfId="143" priority="12" stopIfTrue="1">
      <formula>$AA1711</formula>
    </cfRule>
  </conditionalFormatting>
  <conditionalFormatting sqref="I1712:M1713">
    <cfRule type="expression" dxfId="142" priority="13" stopIfTrue="1">
      <formula>($AA1712=TRUE)</formula>
    </cfRule>
  </conditionalFormatting>
  <conditionalFormatting sqref="I1778:M1781">
    <cfRule type="expression" dxfId="141" priority="11" stopIfTrue="1">
      <formula>$AA1778</formula>
    </cfRule>
  </conditionalFormatting>
  <conditionalFormatting sqref="I52:N52">
    <cfRule type="expression" dxfId="140" priority="147" stopIfTrue="1">
      <formula>$AA52</formula>
    </cfRule>
  </conditionalFormatting>
  <conditionalFormatting sqref="I278:N278">
    <cfRule type="expression" dxfId="139" priority="129" stopIfTrue="1">
      <formula>$AA278</formula>
    </cfRule>
  </conditionalFormatting>
  <conditionalFormatting sqref="I458:N458">
    <cfRule type="expression" dxfId="138" priority="108" stopIfTrue="1">
      <formula>$AA458</formula>
    </cfRule>
  </conditionalFormatting>
  <conditionalFormatting sqref="I638:N638">
    <cfRule type="expression" dxfId="137" priority="93" stopIfTrue="1">
      <formula>$AA638</formula>
    </cfRule>
  </conditionalFormatting>
  <conditionalFormatting sqref="I818:N818">
    <cfRule type="expression" dxfId="136" priority="78" stopIfTrue="1">
      <formula>$AA818</formula>
    </cfRule>
  </conditionalFormatting>
  <conditionalFormatting sqref="I998:N998">
    <cfRule type="expression" dxfId="135" priority="63" stopIfTrue="1">
      <formula>$AA998</formula>
    </cfRule>
  </conditionalFormatting>
  <conditionalFormatting sqref="I1178:N1178">
    <cfRule type="expression" dxfId="134" priority="48" stopIfTrue="1">
      <formula>$AA1178</formula>
    </cfRule>
  </conditionalFormatting>
  <conditionalFormatting sqref="I1358:N1358">
    <cfRule type="expression" dxfId="133" priority="33" stopIfTrue="1">
      <formula>$AA1358</formula>
    </cfRule>
  </conditionalFormatting>
  <conditionalFormatting sqref="I1538:N1538">
    <cfRule type="expression" dxfId="132" priority="18" stopIfTrue="1">
      <formula>$AA1538</formula>
    </cfRule>
  </conditionalFormatting>
  <conditionalFormatting sqref="I1718:N1718">
    <cfRule type="expression" dxfId="131" priority="3" stopIfTrue="1">
      <formula>$AA1718</formula>
    </cfRule>
  </conditionalFormatting>
  <conditionalFormatting sqref="N25:N28">
    <cfRule type="expression" dxfId="130" priority="153" stopIfTrue="1">
      <formula>$Y25</formula>
    </cfRule>
  </conditionalFormatting>
  <conditionalFormatting sqref="N39:N44">
    <cfRule type="expression" dxfId="129" priority="151" stopIfTrue="1">
      <formula>$Y39</formula>
    </cfRule>
  </conditionalFormatting>
  <conditionalFormatting sqref="N51:N52">
    <cfRule type="expression" dxfId="128" priority="146" stopIfTrue="1">
      <formula>$Y51</formula>
    </cfRule>
  </conditionalFormatting>
  <conditionalFormatting sqref="N258:N261">
    <cfRule type="expression" dxfId="127" priority="131" stopIfTrue="1">
      <formula>$Y258</formula>
    </cfRule>
  </conditionalFormatting>
  <conditionalFormatting sqref="N268:N273">
    <cfRule type="expression" dxfId="126" priority="130" stopIfTrue="1">
      <formula>$Y268</formula>
    </cfRule>
  </conditionalFormatting>
  <conditionalFormatting sqref="N277:N278">
    <cfRule type="expression" dxfId="125" priority="128" stopIfTrue="1">
      <formula>$Y277</formula>
    </cfRule>
  </conditionalFormatting>
  <conditionalFormatting sqref="N438:N441">
    <cfRule type="expression" dxfId="124" priority="110" stopIfTrue="1">
      <formula>$Y438</formula>
    </cfRule>
  </conditionalFormatting>
  <conditionalFormatting sqref="N448:N453">
    <cfRule type="expression" dxfId="123" priority="109" stopIfTrue="1">
      <formula>$Y448</formula>
    </cfRule>
  </conditionalFormatting>
  <conditionalFormatting sqref="N457:N458">
    <cfRule type="expression" dxfId="122" priority="107" stopIfTrue="1">
      <formula>$Y457</formula>
    </cfRule>
  </conditionalFormatting>
  <conditionalFormatting sqref="N618:N621">
    <cfRule type="expression" dxfId="121" priority="95" stopIfTrue="1">
      <formula>$Y618</formula>
    </cfRule>
  </conditionalFormatting>
  <conditionalFormatting sqref="N628:N633">
    <cfRule type="expression" dxfId="120" priority="94" stopIfTrue="1">
      <formula>$Y628</formula>
    </cfRule>
  </conditionalFormatting>
  <conditionalFormatting sqref="N637:N638">
    <cfRule type="expression" dxfId="119" priority="92" stopIfTrue="1">
      <formula>$Y637</formula>
    </cfRule>
  </conditionalFormatting>
  <conditionalFormatting sqref="N798:N801">
    <cfRule type="expression" dxfId="118" priority="80" stopIfTrue="1">
      <formula>$Y798</formula>
    </cfRule>
  </conditionalFormatting>
  <conditionalFormatting sqref="N808:N813">
    <cfRule type="expression" dxfId="117" priority="79" stopIfTrue="1">
      <formula>$Y808</formula>
    </cfRule>
  </conditionalFormatting>
  <conditionalFormatting sqref="N817:N818">
    <cfRule type="expression" dxfId="116" priority="77" stopIfTrue="1">
      <formula>$Y817</formula>
    </cfRule>
  </conditionalFormatting>
  <conditionalFormatting sqref="N978:N981">
    <cfRule type="expression" dxfId="115" priority="65" stopIfTrue="1">
      <formula>$Y978</formula>
    </cfRule>
  </conditionalFormatting>
  <conditionalFormatting sqref="N988:N993">
    <cfRule type="expression" dxfId="114" priority="64" stopIfTrue="1">
      <formula>$Y988</formula>
    </cfRule>
  </conditionalFormatting>
  <conditionalFormatting sqref="N997:N998">
    <cfRule type="expression" dxfId="113" priority="62" stopIfTrue="1">
      <formula>$Y997</formula>
    </cfRule>
  </conditionalFormatting>
  <conditionalFormatting sqref="N1158:N1161">
    <cfRule type="expression" dxfId="112" priority="50" stopIfTrue="1">
      <formula>$Y1158</formula>
    </cfRule>
  </conditionalFormatting>
  <conditionalFormatting sqref="N1168:N1173">
    <cfRule type="expression" dxfId="111" priority="49" stopIfTrue="1">
      <formula>$Y1168</formula>
    </cfRule>
  </conditionalFormatting>
  <conditionalFormatting sqref="N1177:N1178">
    <cfRule type="expression" dxfId="110" priority="47" stopIfTrue="1">
      <formula>$Y1177</formula>
    </cfRule>
  </conditionalFormatting>
  <conditionalFormatting sqref="N1338:N1341">
    <cfRule type="expression" dxfId="109" priority="35" stopIfTrue="1">
      <formula>$Y1338</formula>
    </cfRule>
  </conditionalFormatting>
  <conditionalFormatting sqref="N1348:N1353">
    <cfRule type="expression" dxfId="108" priority="34" stopIfTrue="1">
      <formula>$Y1348</formula>
    </cfRule>
  </conditionalFormatting>
  <conditionalFormatting sqref="N1357:N1358">
    <cfRule type="expression" dxfId="107" priority="32" stopIfTrue="1">
      <formula>$Y1357</formula>
    </cfRule>
  </conditionalFormatting>
  <conditionalFormatting sqref="N1518:N1521">
    <cfRule type="expression" dxfId="106" priority="20" stopIfTrue="1">
      <formula>$Y1518</formula>
    </cfRule>
  </conditionalFormatting>
  <conditionalFormatting sqref="N1528:N1533">
    <cfRule type="expression" dxfId="105" priority="19" stopIfTrue="1">
      <formula>$Y1528</formula>
    </cfRule>
  </conditionalFormatting>
  <conditionalFormatting sqref="N1537:N1538">
    <cfRule type="expression" dxfId="104" priority="17" stopIfTrue="1">
      <formula>$Y1537</formula>
    </cfRule>
  </conditionalFormatting>
  <conditionalFormatting sqref="N1698:N1701">
    <cfRule type="expression" dxfId="103" priority="5" stopIfTrue="1">
      <formula>$Y1698</formula>
    </cfRule>
  </conditionalFormatting>
  <conditionalFormatting sqref="N1708:N1713">
    <cfRule type="expression" dxfId="102" priority="4" stopIfTrue="1">
      <formula>$Y1708</formula>
    </cfRule>
  </conditionalFormatting>
  <conditionalFormatting sqref="N1717:N1718">
    <cfRule type="expression" dxfId="101" priority="2" stopIfTrue="1">
      <formula>$Y1717</formula>
    </cfRule>
  </conditionalFormatting>
  <dataValidations disablePrompts="1" count="5">
    <dataValidation type="list" allowBlank="1" showInputMessage="1" showErrorMessage="1" sqref="L173 L120 L236 L367 L321 L417 L547 L501 L597 L727 L681 L777 L907 L861 L957 L1087 L1041 L1137 L1267 L1221 L1317 L1447 L1401 L1497 L1627 L1581 L1677 L1807 L1761 L1857" xr:uid="{ADCFAC22-1CAF-43EB-AF2E-E5E9FD476E31}">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xr:uid="{EFA6DE85-1DD2-4F82-B7E7-046B60C9FF9B}">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xr:uid="{4C512EC4-52D4-4FF4-A19C-7AE5AC3D1A8C}">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xr:uid="{5A3FD8C5-6D3D-4653-AE66-BEC734D86D15}">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xr:uid="{76F18DC2-5D5D-4669-8CDA-E5214896E8FD}">
      <formula1>0</formula1>
    </dataValidation>
  </dataValidations>
  <hyperlinks>
    <hyperlink ref="G2:H2" location="JUMP_TOC_Home" display="Table of contents" xr:uid="{A41F8192-D814-4C9D-A9E5-73D0E041D99D}"/>
    <hyperlink ref="M2:N2" location="JUMP_K_I" display="Summary" xr:uid="{7528538E-9628-4D8D-A2A9-25A9BD9AD02E}"/>
    <hyperlink ref="E3:F3" location="JUMP_F_Top" display="Top of sheet" xr:uid="{CD58E1F2-D7B8-4EA7-9B63-3B231920B21D}"/>
    <hyperlink ref="I2:J2" location="JUMP_E_Top" display="Previous sheet" xr:uid="{2CBE4DBE-2603-4B82-A405-4DF1D565EDF2}"/>
    <hyperlink ref="E4:F4" location="JUMP_F_Bottom" display="End of sheet" xr:uid="{A64D7A24-938A-488F-846B-A7FAC78FE05E}"/>
    <hyperlink ref="D1874:N1874" location="JUMP_G_Top" display="&lt;&lt;&lt; Click here to proceed to next sheet &gt;&gt;&gt; " xr:uid="{84024216-1D78-4B40-9229-1118635ADED9}"/>
    <hyperlink ref="K2:L2" location="JUMP_G_Top" display="Next sheet" xr:uid="{6C390DC0-A902-4517-90B5-D47921C3EAC3}"/>
    <hyperlink ref="E158:M158" location="JUMP_D_III" display="For attributing emissions from cogeneration (CHP) to production of heat and electricity, the &quot;CHP tool&quot; in section D.III. has to be used." xr:uid="{FDC16B84-9FB6-4FA6-81B3-DB21C0B36046}"/>
    <hyperlink ref="E89:M89" location="JUMP_K_III2" display="Upon entries made below, the attributable emissions are calculated in section K.III.2 of the summary sheet." xr:uid="{2051C883-57E7-4E37-AB5F-587B9C7F679A}"/>
    <hyperlink ref="E308:M308" location="JUMP_K_III2" display="Upon entries made below, the attributable emissions are calculated in section K.III.2 of the summary sheet." xr:uid="{B28AC44D-30F1-46A0-8C6C-61A4E483ED51}"/>
    <hyperlink ref="E255:N255" location="JUMP_F1" display="JUMP_F1" xr:uid="{B9BF414D-4C18-4662-A534-623DBE736FE4}"/>
    <hyperlink ref="E352:M352" location="JUMP_D_III" display="For attributing emissions from cogeneration (CHP) to production of heat and electricity, the &quot;CHP tool&quot; in section D.III. has to be used." xr:uid="{B6A7C9A1-717A-4435-BA8E-A6B312526DBF}"/>
    <hyperlink ref="E488:M488" location="JUMP_K_III2" display="Upon entries made below, the attributable emissions are calculated in section K.III.2 of the summary sheet." xr:uid="{F23EA66C-2C5E-4181-8EB6-2DDB107BBBEE}"/>
    <hyperlink ref="E435:N435" location="JUMP_F1" display="JUMP_F1" xr:uid="{37C67E57-F99E-46EF-A994-8377A72DA82B}"/>
    <hyperlink ref="E532:M532" location="JUMP_D_III" display="For attributing emissions from cogeneration (CHP) to production of heat and electricity, the &quot;CHP tool&quot; in section D.III. has to be used." xr:uid="{98C8BE2B-F37C-42C4-844D-DB3EC23AE519}"/>
    <hyperlink ref="E668:M668" location="JUMP_K_III2" display="Upon entries made below, the attributable emissions are calculated in section K.III.2 of the summary sheet." xr:uid="{B6378975-7626-4761-B497-BCDF193D352C}"/>
    <hyperlink ref="E615:N615" location="JUMP_F1" display="JUMP_F1" xr:uid="{A981CA90-0054-4C42-A7BB-49BA26D2ED40}"/>
    <hyperlink ref="E712:M712" location="JUMP_D_III" display="For attributing emissions from cogeneration (CHP) to production of heat and electricity, the &quot;CHP tool&quot; in section D.III. has to be used." xr:uid="{7C8D2E64-F3B1-4F66-9F48-20C9ED72B869}"/>
    <hyperlink ref="E848:M848" location="JUMP_K_III2" display="Upon entries made below, the attributable emissions are calculated in section K.III.2 of the summary sheet." xr:uid="{3ADF777D-B0EB-4DA8-B577-5D83B2C5C49E}"/>
    <hyperlink ref="E795:N795" location="JUMP_F1" display="JUMP_F1" xr:uid="{1ECB0B93-D0A5-4482-86FE-A72C629411AC}"/>
    <hyperlink ref="E892:M892" location="JUMP_D_III" display="For attributing emissions from cogeneration (CHP) to production of heat and electricity, the &quot;CHP tool&quot; in section D.III. has to be used." xr:uid="{23C9A87F-6862-464E-B796-29029DF63A7F}"/>
    <hyperlink ref="E1028:M1028" location="JUMP_K_III2" display="Upon entries made below, the attributable emissions are calculated in section K.III.2 of the summary sheet." xr:uid="{06A925E5-93CB-4FF4-A59C-FFD6A338407C}"/>
    <hyperlink ref="E975:N975" location="JUMP_F1" display="JUMP_F1" xr:uid="{FE5CF261-7F55-4C8C-AC0F-3AD9C6D27889}"/>
    <hyperlink ref="E1072:M1072" location="JUMP_D_III" display="For attributing emissions from cogeneration (CHP) to production of heat and electricity, the &quot;CHP tool&quot; in section D.III. has to be used." xr:uid="{5467A57C-CDC4-4236-9FA1-5996546B6B0A}"/>
    <hyperlink ref="E1208:M1208" location="JUMP_K_III2" display="Upon entries made below, the attributable emissions are calculated in section K.III.2 of the summary sheet." xr:uid="{016A9DCF-E898-4672-A98A-6DD4AEBF66A1}"/>
    <hyperlink ref="E1155:N1155" location="JUMP_F1" display="JUMP_F1" xr:uid="{280EBCE7-8D5A-4054-9D6B-056D99184CC5}"/>
    <hyperlink ref="E1252:M1252" location="JUMP_D_III" display="For attributing emissions from cogeneration (CHP) to production of heat and electricity, the &quot;CHP tool&quot; in section D.III. has to be used." xr:uid="{4C1A46AD-B89E-4FE6-B0EB-53BE8B019D63}"/>
    <hyperlink ref="E1388:M1388" location="JUMP_K_III2" display="Upon entries made below, the attributable emissions are calculated in section K.III.2 of the summary sheet." xr:uid="{4CF4D7AF-7077-48A2-93B1-FCD50C93166D}"/>
    <hyperlink ref="E1335:N1335" location="JUMP_F1" display="JUMP_F1" xr:uid="{48A742B8-92A8-46CA-AFBF-3E68EFF4223B}"/>
    <hyperlink ref="E1432:M1432" location="JUMP_D_III" display="For attributing emissions from cogeneration (CHP) to production of heat and electricity, the &quot;CHP tool&quot; in section D.III. has to be used." xr:uid="{5BA248E5-CBB4-4D5D-8433-AF15955593C5}"/>
    <hyperlink ref="E1568:M1568" location="JUMP_K_III2" display="Upon entries made below, the attributable emissions are calculated in section K.III.2 of the summary sheet." xr:uid="{766F03B3-0326-4327-A995-DB2B3626042F}"/>
    <hyperlink ref="E1515:N1515" location="JUMP_F1" display="JUMP_F1" xr:uid="{3865C3D1-4F04-4B15-AC66-4468BD37D6C6}"/>
    <hyperlink ref="E1612:M1612" location="JUMP_D_III" display="For attributing emissions from cogeneration (CHP) to production of heat and electricity, the &quot;CHP tool&quot; in section D.III. has to be used." xr:uid="{37EE964E-773A-45E6-B4FF-154D2050403E}"/>
    <hyperlink ref="E1748:M1748" location="JUMP_K_III2" display="Upon entries made below, the attributable emissions are calculated in section K.III.2 of the summary sheet." xr:uid="{2E8E256F-E86A-4170-835E-B761714FCFED}"/>
    <hyperlink ref="E1695:N1695" location="JUMP_F1" display="JUMP_F1" xr:uid="{8F7D1854-7EC8-45AC-A487-A4F83EC1A460}"/>
    <hyperlink ref="E1792:M1792" location="JUMP_D_III" display="For attributing emissions from cogeneration (CHP) to production of heat and electricity, the &quot;CHP tool&quot; in section D.III. has to be used." xr:uid="{4D51E0A7-AAF5-4BE9-8965-62FBFD2A263F}"/>
    <hyperlink ref="E286" r:id="rId1" xr:uid="{E8B0E9F2-313F-4E07-99EC-02DA1B55CFE6}"/>
    <hyperlink ref="E286:N286" r:id="rId2" display="https://www.legislation.gov.uk/eudn/2019/708/annex" xr:uid="{E3315642-1509-40D4-83DD-BBE3EC60995A}"/>
    <hyperlink ref="E466" r:id="rId3" xr:uid="{F69178E5-2337-476F-82CF-24802B20A6A1}"/>
    <hyperlink ref="E466:N466" r:id="rId4" display="https://www.legislation.gov.uk/eudn/2019/708/annex" xr:uid="{986814DA-EACF-4C59-AE35-E63816807891}"/>
    <hyperlink ref="E646" r:id="rId5" xr:uid="{054433FB-633A-4B1C-AFB3-6A778E1425E4}"/>
    <hyperlink ref="E646:N646" r:id="rId6" display="https://www.legislation.gov.uk/eudn/2019/708/annex" xr:uid="{8E01F4D6-9B7D-41D6-8802-D9D6F4353C03}"/>
    <hyperlink ref="E826" r:id="rId7" xr:uid="{79724634-6AF6-4FD9-9567-C5972CF88D8A}"/>
    <hyperlink ref="E826:N826" r:id="rId8" display="https://www.legislation.gov.uk/eudn/2019/708/annex" xr:uid="{3875C3A8-0411-44EB-9304-EBADCA6E30B5}"/>
    <hyperlink ref="E1006" r:id="rId9" xr:uid="{F8AE28E6-D375-43E2-9BC6-AFED55A2CBC1}"/>
    <hyperlink ref="E1006:N1006" r:id="rId10" display="https://www.legislation.gov.uk/eudn/2019/708/annex" xr:uid="{8DB6F8F4-6FE6-4428-8E2F-56B3AF6A4F82}"/>
    <hyperlink ref="E1186" r:id="rId11" xr:uid="{CE95EB8B-9736-4625-BE93-4373920B2FD7}"/>
    <hyperlink ref="E1186:N1186" r:id="rId12" display="https://www.legislation.gov.uk/eudn/2019/708/annex" xr:uid="{4BCD2B7F-AE38-4DC2-9E22-42836831BDFA}"/>
    <hyperlink ref="E1366" r:id="rId13" xr:uid="{96A8DF6B-AB15-40A5-BFA4-F2165F7F7FD4}"/>
    <hyperlink ref="E1366:N1366" r:id="rId14" display="https://www.legislation.gov.uk/eudn/2019/708/annex" xr:uid="{E3C9D3E1-8510-4861-B242-98AF9E455D08}"/>
    <hyperlink ref="E1546" r:id="rId15" xr:uid="{7E7CE207-7418-4157-9A10-54F76FFADB91}"/>
    <hyperlink ref="E1546:N1546" r:id="rId16" display="https://www.legislation.gov.uk/eudn/2019/708/annex" xr:uid="{84354781-9CEF-479C-AB89-96079F0FC635}"/>
    <hyperlink ref="E1726" r:id="rId17" xr:uid="{16B3656E-A70B-4F87-985D-6393941DD573}"/>
    <hyperlink ref="E1726:N1726" r:id="rId18" display="https://www.legislation.gov.uk/eudn/2019/708/annex" xr:uid="{2148461F-3F65-4C83-8EB2-BD92E2FCF76F}"/>
    <hyperlink ref="E62" r:id="rId19" xr:uid="{B14DFA1A-70E3-4B65-B3FF-D1378BDC2138}"/>
  </hyperlinks>
  <pageMargins left="0.78740157480314965" right="0.78740157480314965" top="0.78740157480314965" bottom="0.78740157480314965" header="0.51181102362204722" footer="0.51181102362204722"/>
  <pageSetup paperSize="9" scale="59" fitToHeight="40" orientation="portrait" r:id="rId20"/>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08B-6A09-432F-B24D-9E359227532F}">
  <sheetPr codeName="Tabelle9">
    <tabColor indexed="48"/>
    <pageSetUpPr fitToPage="1"/>
  </sheetPr>
  <dimension ref="A1:AC577"/>
  <sheetViews>
    <sheetView topLeftCell="B1" zoomScaleNormal="100" workbookViewId="0">
      <pane ySplit="4" topLeftCell="A5" activePane="bottomLeft" state="frozen"/>
      <selection activeCell="B2" sqref="B2"/>
      <selection pane="bottomLeft" activeCell="B5" sqref="B5"/>
    </sheetView>
  </sheetViews>
  <sheetFormatPr defaultColWidth="0" defaultRowHeight="13.2" zeroHeight="1" x14ac:dyDescent="0.25"/>
  <cols>
    <col min="1" max="1" width="5.44140625" style="145" hidden="1" customWidth="1"/>
    <col min="2" max="2" width="2.6640625" style="220" customWidth="1"/>
    <col min="3" max="4" width="4.6640625" style="220" customWidth="1"/>
    <col min="5" max="14" width="12.6640625" style="220" customWidth="1"/>
    <col min="15" max="15" width="11.33203125" style="220" customWidth="1"/>
    <col min="16" max="24" width="12.6640625" style="145" hidden="1" customWidth="1"/>
    <col min="25" max="29" width="11.44140625" style="145" hidden="1" customWidth="1"/>
    <col min="30" max="16384" width="8.88671875" style="276" hidden="1"/>
  </cols>
  <sheetData>
    <row r="1" spans="1:29" s="145" customFormat="1" ht="13.8" hidden="1" thickBot="1" x14ac:dyDescent="0.3">
      <c r="A1" s="145" t="s">
        <v>187</v>
      </c>
      <c r="P1" s="145" t="s">
        <v>187</v>
      </c>
      <c r="Q1" s="145" t="s">
        <v>187</v>
      </c>
      <c r="R1" s="145" t="s">
        <v>187</v>
      </c>
      <c r="S1" s="145" t="s">
        <v>187</v>
      </c>
      <c r="T1" s="145" t="s">
        <v>187</v>
      </c>
      <c r="U1" s="145" t="s">
        <v>187</v>
      </c>
      <c r="V1" s="145" t="s">
        <v>187</v>
      </c>
      <c r="W1" s="145" t="s">
        <v>187</v>
      </c>
      <c r="X1" s="145" t="s">
        <v>187</v>
      </c>
      <c r="Y1" s="145" t="s">
        <v>187</v>
      </c>
      <c r="Z1" s="145" t="s">
        <v>187</v>
      </c>
      <c r="AA1" s="145" t="s">
        <v>187</v>
      </c>
      <c r="AB1" s="145" t="s">
        <v>187</v>
      </c>
      <c r="AC1" s="145" t="s">
        <v>187</v>
      </c>
    </row>
    <row r="2" spans="1:29" ht="13.8" thickBot="1" x14ac:dyDescent="0.3">
      <c r="B2" s="1282" t="str">
        <f>Translations!$B$821</f>
        <v>G. 
Fall-back</v>
      </c>
      <c r="C2" s="1283"/>
      <c r="D2" s="1284"/>
      <c r="E2" s="318" t="str">
        <f>Translations!$B$2</f>
        <v>Navigation area:</v>
      </c>
      <c r="F2" s="752"/>
      <c r="G2" s="1291" t="str">
        <f>Translations!$B$18</f>
        <v>Table of contents</v>
      </c>
      <c r="H2" s="1147"/>
      <c r="I2" s="1147" t="str">
        <f>Translations!$B$19</f>
        <v>Previous sheet</v>
      </c>
      <c r="J2" s="1147"/>
      <c r="K2" s="1147" t="str">
        <f>Translations!$B$3</f>
        <v>Next sheet</v>
      </c>
      <c r="L2" s="1147"/>
      <c r="M2" s="1147" t="str">
        <f>Translations!$B$4</f>
        <v>Summary</v>
      </c>
      <c r="N2" s="1147"/>
      <c r="O2" s="8"/>
      <c r="P2" s="9"/>
      <c r="Q2" s="9"/>
      <c r="R2" s="9"/>
      <c r="S2" s="9"/>
      <c r="T2" s="9"/>
      <c r="U2" s="9"/>
      <c r="V2" s="9"/>
      <c r="W2" s="9"/>
      <c r="X2" s="9"/>
      <c r="Y2" s="125"/>
      <c r="Z2" s="125"/>
      <c r="AA2" s="125"/>
      <c r="AB2" s="125"/>
      <c r="AC2" s="9"/>
    </row>
    <row r="3" spans="1:29" ht="13.5" customHeight="1" thickBot="1" x14ac:dyDescent="0.3">
      <c r="B3" s="1285"/>
      <c r="C3" s="1286"/>
      <c r="D3" s="1287"/>
      <c r="E3" s="1147" t="str">
        <f>Translations!$B$5</f>
        <v>Top of sheet</v>
      </c>
      <c r="F3" s="1276"/>
      <c r="G3" s="1634" t="str">
        <f>IF(AND(CNTR_ExistSubInstEntries,INDEX(CNTR_FallBackSubInstRelevant,P3)=FALSE),"",HYPERLINK("#JUMP_G"&amp;P3,INDEX(EUconst_FallBackListNames,P3)))</f>
        <v>Heat benchmark sub-installation, CL</v>
      </c>
      <c r="H3" s="1635"/>
      <c r="I3" s="1634" t="str">
        <f>IF(AND(CNTR_ExistSubInstEntries,INDEX(CNTR_FallBackSubInstRelevant,R3)=FALSE),"",HYPERLINK("#JUMP_G"&amp;R3,INDEX(EUconst_FallBackListNames,R3)))</f>
        <v>Heat benchmark sub-installation, non-CL</v>
      </c>
      <c r="J3" s="1635"/>
      <c r="K3" s="1634" t="str">
        <f>IF(AND(CNTR_ExistSubInstEntries,INDEX(CNTR_FallBackSubInstRelevant,T3)=FALSE),"",HYPERLINK("#JUMP_G"&amp;T3,INDEX(EUconst_FallBackListNames,T3)))</f>
        <v>District heating sub-installation</v>
      </c>
      <c r="L3" s="1635"/>
      <c r="M3" s="1634" t="str">
        <f>IF(AND(CNTR_ExistSubInstEntries,INDEX(CNTR_FallBackSubInstRelevant,V3)=FALSE),"",HYPERLINK("#JUMP_G"&amp;V3,INDEX(EUconst_FallBackListNames,V3)))</f>
        <v>Fuel benchmark sub-installation, CL</v>
      </c>
      <c r="N3" s="1635"/>
      <c r="O3" s="8"/>
      <c r="P3" s="1186">
        <v>1</v>
      </c>
      <c r="Q3" s="1186"/>
      <c r="R3" s="1186">
        <v>2</v>
      </c>
      <c r="S3" s="1186"/>
      <c r="T3" s="1186">
        <v>3</v>
      </c>
      <c r="U3" s="1186" t="s">
        <v>462</v>
      </c>
      <c r="V3" s="1186">
        <v>4</v>
      </c>
      <c r="W3" s="1186"/>
      <c r="X3" s="9"/>
      <c r="Y3" s="9"/>
      <c r="Z3" s="9"/>
      <c r="AA3" s="9"/>
      <c r="AB3" s="9"/>
      <c r="AC3" s="9"/>
    </row>
    <row r="4" spans="1:29" ht="13.5" customHeight="1" thickBot="1" x14ac:dyDescent="0.3">
      <c r="B4" s="1288"/>
      <c r="C4" s="1289"/>
      <c r="D4" s="1290"/>
      <c r="E4" s="1147" t="str">
        <f>Translations!$B$6</f>
        <v>End of sheet</v>
      </c>
      <c r="F4" s="1147"/>
      <c r="G4" s="1634" t="str">
        <f>IF(AND(CNTR_ExistSubInstEntries,INDEX(CNTR_FallBackSubInstRelevant,P4)=FALSE),"",HYPERLINK("#JUMP_G"&amp;P4,INDEX(EUconst_FallBackListNames,P4)))</f>
        <v>Fuel benchmark sub-installation, non-CL</v>
      </c>
      <c r="H4" s="1635"/>
      <c r="I4" s="1634" t="str">
        <f>IF(AND(CNTR_ExistSubInstEntries,INDEX(CNTR_FallBackSubInstRelevant,R4)=FALSE),"",HYPERLINK("#JUMP_G"&amp;R4,INDEX(EUconst_FallBackListNames,R4)))</f>
        <v>Process emissions sub-installation, CL</v>
      </c>
      <c r="J4" s="1635"/>
      <c r="K4" s="1634" t="str">
        <f>IF(AND(CNTR_ExistSubInstEntries,INDEX(CNTR_FallBackSubInstRelevant,T4)=FALSE),"",HYPERLINK("#JUMP_G"&amp;T4,INDEX(EUconst_FallBackListNames,T4)))</f>
        <v>Process emissions sub-installation, non-CL</v>
      </c>
      <c r="L4" s="1635"/>
      <c r="M4" s="1634"/>
      <c r="N4" s="1635"/>
      <c r="O4" s="8"/>
      <c r="P4" s="1186">
        <v>5</v>
      </c>
      <c r="Q4" s="1186"/>
      <c r="R4" s="1186">
        <v>6</v>
      </c>
      <c r="S4" s="1186"/>
      <c r="T4" s="1186">
        <v>7</v>
      </c>
      <c r="U4" s="1186"/>
      <c r="V4" s="1186"/>
      <c r="W4" s="1186"/>
      <c r="X4" s="9"/>
      <c r="Y4" s="9"/>
      <c r="Z4" s="9"/>
      <c r="AA4" s="9"/>
      <c r="AB4" s="9"/>
      <c r="AC4" s="9"/>
    </row>
    <row r="5" spans="1:29" x14ac:dyDescent="0.25">
      <c r="B5" s="8"/>
      <c r="C5" s="6"/>
      <c r="D5" s="8"/>
      <c r="E5" s="8"/>
      <c r="F5" s="202"/>
      <c r="G5" s="202"/>
      <c r="H5" s="202"/>
      <c r="I5" s="8"/>
      <c r="J5" s="8"/>
      <c r="K5" s="8"/>
      <c r="L5" s="8"/>
      <c r="M5" s="8"/>
      <c r="N5" s="8"/>
      <c r="O5" s="8"/>
      <c r="P5" s="9"/>
      <c r="Q5" s="9"/>
      <c r="R5" s="9"/>
      <c r="S5" s="9"/>
      <c r="T5" s="9"/>
      <c r="U5" s="9"/>
      <c r="V5" s="9"/>
      <c r="W5" s="9"/>
      <c r="X5" s="9"/>
      <c r="Y5" s="9"/>
      <c r="Z5" s="9"/>
      <c r="AA5" s="9"/>
      <c r="AB5" s="9"/>
      <c r="AC5" s="9"/>
    </row>
    <row r="6" spans="1:29" ht="23.25" customHeight="1" x14ac:dyDescent="0.25">
      <c r="B6" s="8"/>
      <c r="C6" s="10" t="s">
        <v>10</v>
      </c>
      <c r="D6" s="1207" t="str">
        <f>Translations!$B$822</f>
        <v>Sheet "Fall-back" - SUB-INSTALLATION DATA RELATING TO FALL-BACK SUB-INSTALLATIONS</v>
      </c>
      <c r="E6" s="1176"/>
      <c r="F6" s="1176"/>
      <c r="G6" s="1176"/>
      <c r="H6" s="1176"/>
      <c r="I6" s="1176"/>
      <c r="J6" s="1176"/>
      <c r="K6" s="1176"/>
      <c r="L6" s="1176"/>
      <c r="M6" s="1176"/>
      <c r="N6" s="1176"/>
      <c r="O6" s="8"/>
    </row>
    <row r="7" spans="1:29" ht="5.0999999999999996" customHeight="1" x14ac:dyDescent="0.25">
      <c r="B7" s="8"/>
      <c r="C7" s="8"/>
      <c r="D7" s="8"/>
      <c r="E7" s="8"/>
      <c r="F7" s="8"/>
      <c r="G7" s="8"/>
      <c r="H7" s="8"/>
      <c r="I7" s="8"/>
      <c r="J7" s="8"/>
      <c r="K7" s="8"/>
      <c r="L7" s="8"/>
      <c r="M7" s="8"/>
      <c r="N7" s="8"/>
      <c r="O7" s="8"/>
      <c r="P7" s="125"/>
      <c r="Q7" s="125"/>
      <c r="R7" s="125"/>
      <c r="S7" s="125"/>
      <c r="T7" s="125"/>
      <c r="U7" s="125"/>
      <c r="V7" s="125"/>
      <c r="W7" s="125"/>
      <c r="X7" s="125"/>
      <c r="Y7" s="125"/>
      <c r="Z7" s="125"/>
      <c r="AA7" s="125"/>
      <c r="AB7" s="125"/>
      <c r="AC7" s="125"/>
    </row>
    <row r="8" spans="1:29" ht="15" customHeight="1" x14ac:dyDescent="0.25">
      <c r="B8" s="8"/>
      <c r="C8" s="8"/>
      <c r="D8" s="8"/>
      <c r="E8" s="1622" t="str">
        <f>Translations!$B$823</f>
        <v>The navigation bar above only contains links to sub-installations that are selected as "relevant" in section A.III.2.</v>
      </c>
      <c r="F8" s="1622"/>
      <c r="G8" s="1622"/>
      <c r="H8" s="1622"/>
      <c r="I8" s="1622"/>
      <c r="J8" s="1622"/>
      <c r="K8" s="1622"/>
      <c r="L8" s="1622"/>
      <c r="M8" s="1622"/>
      <c r="N8" s="8"/>
      <c r="O8" s="8"/>
      <c r="P8" s="125"/>
      <c r="Q8" s="125"/>
      <c r="R8" s="125"/>
      <c r="S8" s="125"/>
      <c r="T8" s="125"/>
      <c r="U8" s="125"/>
      <c r="V8" s="125"/>
      <c r="W8" s="125"/>
      <c r="X8" s="125"/>
      <c r="Y8" s="125"/>
      <c r="Z8" s="125"/>
      <c r="AA8" s="125"/>
      <c r="AB8" s="125"/>
      <c r="AC8" s="125"/>
    </row>
    <row r="9" spans="1:29" ht="12.75" customHeight="1" thickBot="1" x14ac:dyDescent="0.3">
      <c r="B9" s="8"/>
      <c r="C9" s="8"/>
      <c r="D9" s="8"/>
      <c r="E9" s="8"/>
      <c r="F9" s="8"/>
      <c r="G9" s="8"/>
      <c r="H9" s="8"/>
      <c r="I9" s="8"/>
      <c r="J9" s="8"/>
      <c r="K9" s="8"/>
      <c r="L9" s="8"/>
      <c r="M9" s="8"/>
      <c r="N9" s="8"/>
      <c r="O9" s="8"/>
    </row>
    <row r="10" spans="1:29" ht="16.2" thickBot="1" x14ac:dyDescent="0.35">
      <c r="B10" s="8"/>
      <c r="C10" s="13" t="s">
        <v>3</v>
      </c>
      <c r="D10" s="1175" t="str">
        <f>Translations!$B$666</f>
        <v>Historic Activity levels and disaggregated production details</v>
      </c>
      <c r="E10" s="1175"/>
      <c r="F10" s="1175"/>
      <c r="G10" s="1175"/>
      <c r="H10" s="1175"/>
      <c r="I10" s="1175"/>
      <c r="J10" s="1175"/>
      <c r="K10" s="1175"/>
      <c r="L10" s="1175"/>
      <c r="M10" s="1175"/>
      <c r="N10" s="1175"/>
      <c r="O10" s="8"/>
      <c r="Y10" s="443" t="s">
        <v>389</v>
      </c>
    </row>
    <row r="11" spans="1:29" ht="5.0999999999999996" customHeight="1" thickBot="1" x14ac:dyDescent="0.3">
      <c r="B11" s="8"/>
      <c r="C11" s="8"/>
      <c r="D11" s="8"/>
      <c r="E11" s="8"/>
      <c r="F11" s="8"/>
      <c r="G11" s="8"/>
      <c r="H11" s="8"/>
      <c r="I11" s="8"/>
      <c r="J11" s="8"/>
      <c r="K11" s="8"/>
      <c r="L11" s="8"/>
      <c r="M11" s="8"/>
      <c r="N11" s="8"/>
      <c r="O11" s="8"/>
      <c r="P11" s="9"/>
      <c r="Q11" s="9"/>
      <c r="R11" s="9"/>
      <c r="S11" s="9"/>
      <c r="T11" s="9"/>
      <c r="U11" s="9"/>
      <c r="V11" s="9"/>
      <c r="W11" s="9"/>
      <c r="X11" s="9"/>
    </row>
    <row r="12" spans="1:29" ht="14.4" thickBot="1" x14ac:dyDescent="0.3">
      <c r="B12" s="8"/>
      <c r="C12" s="19">
        <v>1</v>
      </c>
      <c r="D12" s="1234" t="str">
        <f>EUconst_FBSubinst &amp; ":"</f>
        <v>Fall-Back sub-installation:</v>
      </c>
      <c r="E12" s="1176"/>
      <c r="F12" s="1176"/>
      <c r="G12" s="1176"/>
      <c r="H12" s="1260"/>
      <c r="I12" s="1550" t="str">
        <f>INDEX(EUconst_FallBackListNames,$C12)</f>
        <v>Heat benchmark sub-installation, CL</v>
      </c>
      <c r="J12" s="1509"/>
      <c r="K12" s="1509"/>
      <c r="L12" s="1551"/>
      <c r="M12" s="1608" t="str">
        <f>IF(ISBLANK(INDEX(CNTR_FallBackSubInstRelevant,C12)),"",IF(INDEX(CNTR_FallBackSubInstRelevant,C12),EUconst_Relevant,EUconst_NotRelevant))</f>
        <v/>
      </c>
      <c r="N12" s="1609"/>
      <c r="O12" s="8"/>
      <c r="P12" s="219">
        <f>C12</f>
        <v>1</v>
      </c>
      <c r="Q12" s="124" t="s">
        <v>296</v>
      </c>
      <c r="R12" s="354" t="str">
        <f>IF(M12&lt;&gt;EUconst_Relevant,"",INDEX(CNTR_SubInstStartDate,MATCH($I12,CNTR_SubInstListNames,0)))</f>
        <v/>
      </c>
      <c r="S12" s="352" t="b">
        <f>IF($M12&lt;&gt;EUconst_Relevant,FALSE,AND(I$562, IF($R12&lt;DATE($L$559,1,1),YEAR($R12)&lt;=I$559,YEAR($R12-1)&lt;I$559) ) )</f>
        <v>0</v>
      </c>
      <c r="T12" s="352" t="b">
        <f>IF($M12&lt;&gt;EUconst_Relevant,FALSE,AND(J$562, IF($R12&lt;DATE($L$559,1,1),YEAR($R12)&lt;=J$559,YEAR($R12-1)&lt;J$559) ) )</f>
        <v>0</v>
      </c>
      <c r="U12" s="352" t="b">
        <f>IF($M12&lt;&gt;EUconst_Relevant,FALSE,AND(K$562, IF($R12&lt;DATE($L$559,1,1),YEAR($R12)&lt;=K$559,YEAR($R12-1)&lt;K$559) ) )</f>
        <v>0</v>
      </c>
      <c r="V12" s="352" t="b">
        <f>IF($M12&lt;&gt;EUconst_Relevant,FALSE,AND(L$562, IF($R12&lt;DATE($L$559,1,1),YEAR($R12)&lt;=L$559,YEAR($R12-1)&lt;L$559) ) )</f>
        <v>0</v>
      </c>
      <c r="W12" s="352" t="b">
        <f>IF($M12&lt;&gt;EUconst_Relevant,FALSE,AND(M$562, IF($R12&lt;DATE($L$559,1,1),YEAR($R12)&lt;=M$559,YEAR($R12-1)&lt;M$559) ) )</f>
        <v>0</v>
      </c>
      <c r="X12" s="9"/>
      <c r="Y12" s="9"/>
      <c r="AB12" s="288" t="s">
        <v>390</v>
      </c>
      <c r="AC12" s="410" t="b">
        <f>AND(CNTR_ExistSubInstEntries,M12=EUconst_NotRelevant)</f>
        <v>0</v>
      </c>
    </row>
    <row r="13" spans="1:29" ht="12.75" customHeight="1" x14ac:dyDescent="0.25">
      <c r="B13" s="17"/>
      <c r="C13" s="17"/>
      <c r="D13" s="17"/>
      <c r="E13" s="17"/>
      <c r="F13" s="17"/>
      <c r="G13" s="17"/>
      <c r="H13" s="80"/>
      <c r="I13" s="1602" t="str">
        <f>IF(M12="","",IF(M12=EUconst_Relevant,HYPERLINK("",EUconst_MsgEnterThisSection),HYPERLINK(Q13,EUconst_MsgGoToNextSubInst)))</f>
        <v/>
      </c>
      <c r="J13" s="1603"/>
      <c r="K13" s="1603"/>
      <c r="L13" s="1603"/>
      <c r="M13" s="1604"/>
      <c r="N13" s="1605"/>
      <c r="O13" s="8"/>
      <c r="P13" s="145" t="s">
        <v>334</v>
      </c>
      <c r="Q13" s="877" t="str">
        <f>"#JUMP_G"&amp;P12+1</f>
        <v>#JUMP_G2</v>
      </c>
    </row>
    <row r="14" spans="1:29" ht="12.75" customHeight="1" x14ac:dyDescent="0.25">
      <c r="B14" s="8"/>
      <c r="C14" s="8"/>
      <c r="D14" s="17"/>
      <c r="E14" s="1223" t="str">
        <f>Translations!$B$824</f>
        <v>The name of the fall-back sub-installation is displayed automatically based on the overall list of possible fall-back installations.</v>
      </c>
      <c r="F14" s="1176"/>
      <c r="G14" s="1176"/>
      <c r="H14" s="1176"/>
      <c r="I14" s="1176"/>
      <c r="J14" s="1176"/>
      <c r="K14" s="1176"/>
      <c r="L14" s="1176"/>
      <c r="M14" s="1176"/>
      <c r="N14" s="1176"/>
      <c r="O14" s="8"/>
      <c r="P14" s="9"/>
      <c r="Q14" s="9"/>
      <c r="R14" s="9"/>
      <c r="S14" s="9"/>
      <c r="T14" s="9"/>
      <c r="U14" s="9"/>
      <c r="V14" s="9"/>
      <c r="W14" s="9"/>
      <c r="X14" s="9"/>
    </row>
    <row r="15" spans="1:29" ht="12.75" customHeight="1" x14ac:dyDescent="0.25">
      <c r="B15" s="8"/>
      <c r="C15" s="8"/>
      <c r="D15" s="17"/>
      <c r="E15" s="1585" t="str">
        <f>Translations!$B$667</f>
        <v>This sheet serves the following two purposes:</v>
      </c>
      <c r="F15" s="1586"/>
      <c r="G15" s="1586"/>
      <c r="H15" s="1586"/>
      <c r="I15" s="1586"/>
      <c r="J15" s="1586"/>
      <c r="K15" s="1586"/>
      <c r="L15" s="1586"/>
      <c r="M15" s="1586"/>
      <c r="N15" s="1586"/>
      <c r="O15" s="8"/>
      <c r="P15" s="9"/>
      <c r="R15" s="9"/>
      <c r="S15" s="9"/>
    </row>
    <row r="16" spans="1:29" ht="12.75" customHeight="1" x14ac:dyDescent="0.25">
      <c r="B16" s="8"/>
      <c r="C16" s="8"/>
      <c r="D16" s="17"/>
      <c r="E16" s="878" t="s">
        <v>214</v>
      </c>
      <c r="F16" s="1585" t="str">
        <f>Translations!$B$825</f>
        <v>data needed to determine the amount of free allocation of fall-back benchmark sub-installations</v>
      </c>
      <c r="G16" s="1586"/>
      <c r="H16" s="1586"/>
      <c r="I16" s="1586"/>
      <c r="J16" s="1586"/>
      <c r="K16" s="1586"/>
      <c r="L16" s="1586"/>
      <c r="M16" s="1586"/>
      <c r="N16" s="1586"/>
      <c r="O16" s="8"/>
      <c r="P16" s="9"/>
      <c r="R16" s="9"/>
      <c r="S16" s="9"/>
    </row>
    <row r="17" spans="2:28" ht="12.75" customHeight="1" x14ac:dyDescent="0.25">
      <c r="B17" s="8"/>
      <c r="C17" s="8"/>
      <c r="D17" s="17"/>
      <c r="E17" s="878" t="s">
        <v>214</v>
      </c>
      <c r="F17" s="1585" t="str">
        <f>Translations!$B$826</f>
        <v>data needed to determine improvement rates of fall-back benchmark values</v>
      </c>
      <c r="G17" s="1586"/>
      <c r="H17" s="1586"/>
      <c r="I17" s="1586"/>
      <c r="J17" s="1586"/>
      <c r="K17" s="1586"/>
      <c r="L17" s="1586"/>
      <c r="M17" s="1586"/>
      <c r="N17" s="1586"/>
      <c r="O17" s="8"/>
      <c r="P17" s="9"/>
      <c r="R17" s="9"/>
      <c r="S17" s="9"/>
    </row>
    <row r="18" spans="2:28" ht="5.0999999999999996" customHeight="1" x14ac:dyDescent="0.25">
      <c r="B18" s="8"/>
      <c r="C18" s="8"/>
      <c r="D18" s="8"/>
      <c r="E18" s="8"/>
      <c r="F18" s="8"/>
      <c r="G18" s="8"/>
      <c r="H18" s="8"/>
      <c r="I18" s="8"/>
      <c r="J18" s="8"/>
      <c r="K18" s="8"/>
      <c r="L18" s="8"/>
      <c r="M18" s="8"/>
      <c r="N18" s="8"/>
      <c r="O18" s="8"/>
      <c r="P18" s="9"/>
      <c r="Q18" s="9"/>
      <c r="R18" s="9"/>
      <c r="S18" s="9"/>
      <c r="T18" s="9"/>
      <c r="U18" s="9"/>
      <c r="V18" s="9"/>
      <c r="W18" s="9"/>
      <c r="X18" s="9"/>
    </row>
    <row r="19" spans="2:28" ht="12.75" customHeight="1" x14ac:dyDescent="0.25">
      <c r="B19" s="8"/>
      <c r="C19" s="15"/>
      <c r="D19" s="15" t="s">
        <v>190</v>
      </c>
      <c r="E19" s="1165" t="str">
        <f>Translations!$B$670</f>
        <v>Historic activity levels</v>
      </c>
      <c r="F19" s="1176"/>
      <c r="G19" s="1176"/>
      <c r="H19" s="1176"/>
      <c r="I19" s="1176"/>
      <c r="J19" s="1176"/>
      <c r="K19" s="1176"/>
      <c r="L19" s="1176"/>
      <c r="M19" s="1176"/>
      <c r="N19" s="1176"/>
      <c r="O19" s="8"/>
      <c r="P19" s="9"/>
      <c r="Q19" s="9"/>
      <c r="R19" s="9"/>
      <c r="S19" s="9"/>
      <c r="T19" s="9"/>
      <c r="U19" s="9"/>
      <c r="V19" s="9"/>
      <c r="W19" s="9"/>
      <c r="X19" s="9"/>
    </row>
    <row r="20" spans="2:28" ht="12.75" customHeight="1" x14ac:dyDescent="0.25">
      <c r="B20" s="8"/>
      <c r="C20" s="17"/>
      <c r="D20" s="17"/>
      <c r="E20" s="1607" t="str">
        <f>Translations!$B$827</f>
        <v>The following data is taken automatically from sheet "E_EnergyFlows", section E.II.r. Thus, data input is mandatory there.</v>
      </c>
      <c r="F20" s="1607"/>
      <c r="G20" s="1607"/>
      <c r="H20" s="1607"/>
      <c r="I20" s="1607"/>
      <c r="J20" s="1607"/>
      <c r="K20" s="1607"/>
      <c r="L20" s="1607"/>
      <c r="M20" s="1607"/>
      <c r="N20" s="1607"/>
      <c r="O20" s="8"/>
      <c r="P20" s="9"/>
    </row>
    <row r="21" spans="2:28" ht="38.85" customHeight="1" thickBot="1" x14ac:dyDescent="0.3">
      <c r="B21" s="8"/>
      <c r="C21" s="8"/>
      <c r="D21" s="17"/>
      <c r="E21" s="1223" t="s">
        <v>463</v>
      </c>
      <c r="F21" s="1176"/>
      <c r="G21" s="1176"/>
      <c r="H21" s="1176"/>
      <c r="I21" s="1176"/>
      <c r="J21" s="1176"/>
      <c r="K21" s="1176"/>
      <c r="L21" s="1176"/>
      <c r="M21" s="1176"/>
      <c r="N21" s="1176"/>
      <c r="O21" s="8"/>
      <c r="P21" s="9"/>
      <c r="R21" s="9"/>
      <c r="S21" s="9"/>
    </row>
    <row r="22" spans="2:28" ht="25.5" customHeight="1" thickBot="1" x14ac:dyDescent="0.3">
      <c r="B22" s="8"/>
      <c r="C22" s="8"/>
      <c r="D22" s="17"/>
      <c r="E22" s="1223" t="s">
        <v>464</v>
      </c>
      <c r="F22" s="1176"/>
      <c r="G22" s="1176"/>
      <c r="H22" s="1176"/>
      <c r="I22" s="1176"/>
      <c r="J22" s="1176"/>
      <c r="K22" s="1176"/>
      <c r="L22" s="1176"/>
      <c r="M22" s="1176"/>
      <c r="N22" s="1176"/>
      <c r="O22" s="8"/>
      <c r="P22" s="9"/>
      <c r="Q22" s="147" t="s">
        <v>395</v>
      </c>
      <c r="R22" s="459" t="s">
        <v>465</v>
      </c>
      <c r="S22" s="879"/>
      <c r="T22" s="879"/>
      <c r="U22" s="879"/>
      <c r="V22" s="879"/>
      <c r="W22" s="879"/>
      <c r="X22" s="387"/>
      <c r="AA22" s="145" t="s">
        <v>394</v>
      </c>
    </row>
    <row r="23" spans="2:28" ht="12.75" customHeight="1" x14ac:dyDescent="0.25">
      <c r="B23" s="17"/>
      <c r="C23" s="15"/>
      <c r="D23" s="15"/>
      <c r="E23" s="1259" t="str">
        <f>Translations!$B$829</f>
        <v>Main activity level:</v>
      </c>
      <c r="F23" s="1212"/>
      <c r="G23" s="1212"/>
      <c r="H23" s="23" t="str">
        <f>EUconst_Unit</f>
        <v>Unit</v>
      </c>
      <c r="I23" s="128">
        <f>I$559</f>
        <v>2019</v>
      </c>
      <c r="J23" s="128">
        <f>J$559</f>
        <v>2020</v>
      </c>
      <c r="K23" s="128">
        <f>K$559</f>
        <v>2021</v>
      </c>
      <c r="L23" s="128">
        <f>L$559</f>
        <v>2022</v>
      </c>
      <c r="M23" s="144">
        <f>M$559</f>
        <v>2023</v>
      </c>
      <c r="N23" s="376" t="str">
        <f>IF(M12&lt;&gt;EUconst_Relevant,"",IF(Z24,YEAR(R12)+1,""))</f>
        <v/>
      </c>
      <c r="O23" s="8"/>
      <c r="P23" s="392" t="s">
        <v>397</v>
      </c>
      <c r="Q23" s="582" t="s">
        <v>398</v>
      </c>
      <c r="R23" s="59" t="s">
        <v>399</v>
      </c>
      <c r="S23" s="880">
        <f>I23</f>
        <v>2019</v>
      </c>
      <c r="T23" s="63">
        <f>J23</f>
        <v>2020</v>
      </c>
      <c r="U23" s="63">
        <f>K23</f>
        <v>2021</v>
      </c>
      <c r="V23" s="63">
        <f>L23</f>
        <v>2022</v>
      </c>
      <c r="W23" s="63">
        <f>M23</f>
        <v>2023</v>
      </c>
      <c r="X23" s="803"/>
      <c r="AA23" s="398" t="b">
        <f>IF(CNTR_ExistSubInstEntries,IF(M12=EUconst_Relevant,NOT(Z24),TRUE),FALSE)</f>
        <v>0</v>
      </c>
    </row>
    <row r="24" spans="2:28" ht="12.75" customHeight="1" thickBot="1" x14ac:dyDescent="0.3">
      <c r="B24" s="17"/>
      <c r="C24" s="17"/>
      <c r="D24" s="17"/>
      <c r="E24" s="1560" t="str">
        <f>I12</f>
        <v>Heat benchmark sub-installation, CL</v>
      </c>
      <c r="F24" s="1560"/>
      <c r="G24" s="1560"/>
      <c r="H24" s="820" t="str">
        <f>INDEX(EUconst_FallBackListUnits,MATCH(E24,EUconst_FallBackListNames,0))</f>
        <v>TJ</v>
      </c>
      <c r="I24" s="818" t="str">
        <f>IF($M12=EUconst_Relevant,IF(ISNUMBER(INDEX(E_EnergyFlows!I$387:I$393,MATCH($E24,E_EnergyFlows!$E$387:$E$393,0))),INDEX(E_EnergyFlows!I$387:I$393,MATCH($E24,E_EnergyFlows!$E$387:$E$393,0)),INDEX(EUconst_FallbackListMissing,$P12)),"")</f>
        <v/>
      </c>
      <c r="J24" s="818" t="str">
        <f>IF($M12=EUconst_Relevant,IF(ISNUMBER(INDEX(E_EnergyFlows!J$387:J$393,MATCH($E24,E_EnergyFlows!$E$387:$E$393,0))),INDEX(E_EnergyFlows!J$387:J$393,MATCH($E24,E_EnergyFlows!$E$387:$E$393,0)),INDEX(EUconst_FallbackListMissing,$P12)),"")</f>
        <v/>
      </c>
      <c r="K24" s="818" t="str">
        <f>IF($M12=EUconst_Relevant,IF(ISNUMBER(INDEX(E_EnergyFlows!K$387:K$393,MATCH($E24,E_EnergyFlows!$E$387:$E$393,0))),INDEX(E_EnergyFlows!K$387:K$393,MATCH($E24,E_EnergyFlows!$E$387:$E$393,0)),INDEX(EUconst_FallbackListMissing,$P12)),"")</f>
        <v/>
      </c>
      <c r="L24" s="818" t="str">
        <f>IF($M12=EUconst_Relevant,IF(ISNUMBER(INDEX(E_EnergyFlows!L$387:L$393,MATCH($E24,E_EnergyFlows!$E$387:$E$393,0))),INDEX(E_EnergyFlows!L$387:L$393,MATCH($E24,E_EnergyFlows!$E$387:$E$393,0)),INDEX(EUconst_FallbackListMissing,$P12)),"")</f>
        <v/>
      </c>
      <c r="M24" s="881" t="str">
        <f>IF($M12=EUconst_Relevant,IF(ISNUMBER(INDEX(E_EnergyFlows!M$387:M$393,MATCH($E24,E_EnergyFlows!$E$387:$E$393,0))),INDEX(E_EnergyFlows!M$387:M$393,MATCH($E24,E_EnergyFlows!$E$387:$E$393,0)),INDEX(EUconst_FallbackListMissing,$P12)),"")</f>
        <v/>
      </c>
      <c r="N24" s="397"/>
      <c r="O24" s="8"/>
      <c r="P24" s="58" t="str">
        <f>EUconst_CNTR_HAL&amp;E24</f>
        <v>HAL_Heat benchmark sub-installation, CL</v>
      </c>
      <c r="Q24" s="286" t="str">
        <f>IF(COUNT($K24:$L24)&gt;0,AVERAGE($K24:$L24),"")</f>
        <v/>
      </c>
      <c r="R24" s="57" t="str">
        <f>IF(COUNT(S24:W24)&gt;0,AVERAGE(S24:W24),"")</f>
        <v/>
      </c>
      <c r="S24" s="882" t="str">
        <f>IF(S12,IF(ISNUMBER(I24),I24,0),"")</f>
        <v/>
      </c>
      <c r="T24" s="389" t="str">
        <f>IF(T12,IF(ISNUMBER(J24),J24,0),"")</f>
        <v/>
      </c>
      <c r="U24" s="389" t="str">
        <f>IF(U12,IF(ISNUMBER(K24),K24,0),"")</f>
        <v/>
      </c>
      <c r="V24" s="389" t="str">
        <f>IF(V12,IF(ISNUMBER(L24),L24,0),"")</f>
        <v/>
      </c>
      <c r="W24" s="389" t="str">
        <f>IF(W12,IF(ISNUMBER(M24),M24,0),"")</f>
        <v/>
      </c>
      <c r="X24" s="390"/>
      <c r="Y24" s="124" t="s">
        <v>304</v>
      </c>
      <c r="Z24" s="392" t="b">
        <f>IF(M12&lt;&gt;EUconst_Relevant,FALSE,INDEX(CNTR_SubInstLess1Year,MATCH(I12,CNTR_SubInstListNames,0)))</f>
        <v>0</v>
      </c>
      <c r="AA24" s="399" t="b">
        <f>AA23</f>
        <v>0</v>
      </c>
      <c r="AB24" s="124"/>
    </row>
    <row r="25" spans="2:28" ht="12.75" customHeight="1" x14ac:dyDescent="0.25">
      <c r="B25" s="17"/>
      <c r="C25" s="8"/>
      <c r="D25" s="8"/>
      <c r="E25" s="8"/>
      <c r="F25" s="8"/>
      <c r="G25" s="8"/>
      <c r="H25" s="8"/>
      <c r="I25" s="8"/>
      <c r="J25" s="8"/>
      <c r="K25" s="8"/>
      <c r="L25" s="8"/>
      <c r="M25" s="8"/>
      <c r="N25" s="8"/>
      <c r="O25" s="8"/>
    </row>
    <row r="26" spans="2:28" ht="13.8" x14ac:dyDescent="0.25">
      <c r="B26" s="17"/>
      <c r="C26" s="20"/>
      <c r="D26" s="1234" t="str">
        <f>Translations!$B$700</f>
        <v>Production details</v>
      </c>
      <c r="E26" s="1176"/>
      <c r="F26" s="1176"/>
      <c r="G26" s="1176"/>
      <c r="H26" s="1176"/>
      <c r="I26" s="1176"/>
      <c r="J26" s="1176"/>
      <c r="K26" s="1176"/>
      <c r="L26" s="1176"/>
      <c r="M26" s="1176"/>
      <c r="N26" s="1176"/>
      <c r="O26" s="8"/>
      <c r="Y26" s="9"/>
      <c r="Z26" s="9"/>
      <c r="AA26" s="9"/>
      <c r="AB26" s="9"/>
    </row>
    <row r="27" spans="2:28" ht="5.0999999999999996" customHeight="1" x14ac:dyDescent="0.25">
      <c r="B27" s="8"/>
      <c r="C27" s="8"/>
      <c r="D27" s="8"/>
      <c r="E27" s="8"/>
      <c r="F27" s="8"/>
      <c r="G27" s="8"/>
      <c r="H27" s="8"/>
      <c r="I27" s="8"/>
      <c r="J27" s="8"/>
      <c r="K27" s="8"/>
      <c r="L27" s="8"/>
      <c r="M27" s="8"/>
      <c r="N27" s="8"/>
      <c r="O27" s="8"/>
      <c r="P27" s="9"/>
      <c r="Q27" s="9"/>
    </row>
    <row r="28" spans="2:28" ht="12.75" customHeight="1" x14ac:dyDescent="0.25">
      <c r="B28" s="8"/>
      <c r="C28" s="15"/>
      <c r="D28" s="15" t="s">
        <v>192</v>
      </c>
      <c r="E28" s="1165" t="str">
        <f>Translations!$B$830</f>
        <v>Identification of relevant products or services associated with this sub-installation</v>
      </c>
      <c r="F28" s="1176"/>
      <c r="G28" s="1176"/>
      <c r="H28" s="1176"/>
      <c r="I28" s="1176"/>
      <c r="J28" s="1176"/>
      <c r="K28" s="1176"/>
      <c r="L28" s="1176"/>
      <c r="M28" s="1176"/>
      <c r="N28" s="1176"/>
      <c r="O28" s="8"/>
      <c r="P28" s="9"/>
    </row>
    <row r="29" spans="2:28" ht="12.75" customHeight="1" x14ac:dyDescent="0.25">
      <c r="B29" s="8"/>
      <c r="C29" s="17"/>
      <c r="D29" s="17"/>
      <c r="E29" s="1223" t="str">
        <f>Translations!$B$831</f>
        <v>Please list here to which production processes or services this sub-installation relates. This may include the following items:</v>
      </c>
      <c r="F29" s="1176"/>
      <c r="G29" s="1176"/>
      <c r="H29" s="1176"/>
      <c r="I29" s="1176"/>
      <c r="J29" s="1176"/>
      <c r="K29" s="1176"/>
      <c r="L29" s="1176"/>
      <c r="M29" s="1176"/>
      <c r="N29" s="1176"/>
      <c r="O29" s="8"/>
      <c r="P29" s="9"/>
      <c r="Q29" s="9"/>
      <c r="R29" s="9"/>
      <c r="S29" s="9"/>
      <c r="T29" s="9"/>
      <c r="U29" s="9"/>
      <c r="V29" s="9"/>
      <c r="W29" s="9"/>
      <c r="X29" s="9"/>
      <c r="Y29" s="9"/>
      <c r="Z29" s="9"/>
      <c r="AA29" s="9"/>
      <c r="AB29" s="9"/>
    </row>
    <row r="30" spans="2:28" ht="12.75" customHeight="1" x14ac:dyDescent="0.25">
      <c r="B30" s="8"/>
      <c r="C30" s="17"/>
      <c r="D30" s="17"/>
      <c r="E30" s="883" t="s">
        <v>466</v>
      </c>
      <c r="F30" s="1223" t="str">
        <f>Translations!$B$832</f>
        <v>Production of goods not covered by product benchmarks within the installation (please provide types of product);</v>
      </c>
      <c r="G30" s="1176"/>
      <c r="H30" s="1176"/>
      <c r="I30" s="1176"/>
      <c r="J30" s="1176"/>
      <c r="K30" s="1176"/>
      <c r="L30" s="1176"/>
      <c r="M30" s="1176"/>
      <c r="N30" s="1176"/>
      <c r="O30" s="8"/>
      <c r="P30" s="9"/>
      <c r="Q30" s="9"/>
      <c r="R30" s="9"/>
      <c r="S30" s="9"/>
      <c r="T30" s="9"/>
      <c r="U30" s="9"/>
      <c r="V30" s="9"/>
      <c r="W30" s="9"/>
      <c r="X30" s="9"/>
      <c r="Y30" s="9"/>
      <c r="Z30" s="9"/>
      <c r="AA30" s="9"/>
      <c r="AB30" s="9"/>
    </row>
    <row r="31" spans="2:28" ht="12.75" customHeight="1" x14ac:dyDescent="0.25">
      <c r="B31" s="8"/>
      <c r="C31" s="17"/>
      <c r="D31" s="17"/>
      <c r="E31" s="883" t="s">
        <v>466</v>
      </c>
      <c r="F31" s="1223" t="str">
        <f>Translations!$B$833</f>
        <v>production of mechanical energy, heating or cooling (all uses excluding production of electricity);</v>
      </c>
      <c r="G31" s="1176"/>
      <c r="H31" s="1176"/>
      <c r="I31" s="1176"/>
      <c r="J31" s="1176"/>
      <c r="K31" s="1176"/>
      <c r="L31" s="1176"/>
      <c r="M31" s="1176"/>
      <c r="N31" s="1176"/>
      <c r="O31" s="8"/>
      <c r="P31" s="9"/>
      <c r="Q31" s="9"/>
      <c r="R31" s="9"/>
      <c r="S31" s="9"/>
      <c r="T31" s="9"/>
      <c r="U31" s="9"/>
      <c r="V31" s="9"/>
      <c r="W31" s="9"/>
      <c r="X31" s="9"/>
    </row>
    <row r="32" spans="2:28" ht="12.75" customHeight="1" x14ac:dyDescent="0.25">
      <c r="B32" s="8"/>
      <c r="C32" s="17"/>
      <c r="D32" s="17"/>
      <c r="E32" s="883" t="s">
        <v>466</v>
      </c>
      <c r="F32" s="1223" t="str">
        <f>Translations!$B$834</f>
        <v>export of heat to installations or other entities (other than district heating). In this case please indicate the use of heat in that installation or entity, if known.</v>
      </c>
      <c r="G32" s="1176"/>
      <c r="H32" s="1176"/>
      <c r="I32" s="1176"/>
      <c r="J32" s="1176"/>
      <c r="K32" s="1176"/>
      <c r="L32" s="1176"/>
      <c r="M32" s="1176"/>
      <c r="N32" s="1176"/>
      <c r="O32" s="8"/>
      <c r="P32" s="9"/>
      <c r="Q32" s="9"/>
      <c r="R32" s="9"/>
      <c r="S32" s="9"/>
      <c r="T32" s="9"/>
      <c r="U32" s="9"/>
      <c r="V32" s="9"/>
      <c r="W32" s="9"/>
      <c r="X32" s="9"/>
    </row>
    <row r="33" spans="2:28" ht="25.5" customHeight="1" x14ac:dyDescent="0.25">
      <c r="B33" s="8"/>
      <c r="C33" s="17"/>
      <c r="D33" s="17"/>
      <c r="E33" s="1223" t="str">
        <f>Translations!$B$703</f>
        <v>PRODCOM codes shall be entered in the form "nnnnnnnn", i.e. without any dots or other delimiters in between. Only if PRODCOM are not available, at least a 4-digit level NACE code should be provided in the form of "nnnn".</v>
      </c>
      <c r="F33" s="1176"/>
      <c r="G33" s="1176"/>
      <c r="H33" s="1176"/>
      <c r="I33" s="1176"/>
      <c r="J33" s="1176"/>
      <c r="K33" s="1176"/>
      <c r="L33" s="1176"/>
      <c r="M33" s="1176"/>
      <c r="N33" s="1176"/>
      <c r="O33" s="8"/>
      <c r="P33" s="9"/>
    </row>
    <row r="34" spans="2:28" ht="12.75" customHeight="1" x14ac:dyDescent="0.25">
      <c r="B34" s="8"/>
      <c r="C34" s="17"/>
      <c r="D34" s="17"/>
      <c r="E34" s="1223" t="s">
        <v>467</v>
      </c>
      <c r="F34" s="1176"/>
      <c r="G34" s="1176"/>
      <c r="H34" s="1176"/>
      <c r="I34" s="1176"/>
      <c r="J34" s="1176"/>
      <c r="K34" s="1176"/>
      <c r="L34" s="1176"/>
      <c r="M34" s="1176"/>
      <c r="N34" s="1176"/>
      <c r="O34" s="8"/>
      <c r="P34" s="9"/>
    </row>
    <row r="35" spans="2:28" ht="12.75" customHeight="1" x14ac:dyDescent="0.25">
      <c r="B35" s="8"/>
      <c r="C35" s="17"/>
      <c r="D35" s="17"/>
      <c r="E35" s="1198" t="s">
        <v>408</v>
      </c>
      <c r="F35" s="1631"/>
      <c r="G35" s="1631"/>
      <c r="H35" s="1631"/>
      <c r="I35" s="1631"/>
      <c r="J35" s="1631"/>
      <c r="K35" s="1631"/>
      <c r="L35" s="1631"/>
      <c r="M35" s="1631"/>
      <c r="N35" s="1631"/>
      <c r="O35" s="8"/>
      <c r="P35" s="9"/>
    </row>
    <row r="36" spans="2:28" ht="12.75" customHeight="1" x14ac:dyDescent="0.25">
      <c r="B36" s="8"/>
      <c r="C36" s="17"/>
      <c r="D36" s="17"/>
      <c r="E36" s="1223" t="str">
        <f>Translations!$B$835</f>
        <v>NACE codes can be used instead of PRODCOM if several similar products within the same NACE group are covered.</v>
      </c>
      <c r="F36" s="1176"/>
      <c r="G36" s="1176"/>
      <c r="H36" s="1176"/>
      <c r="I36" s="1176"/>
      <c r="J36" s="1176"/>
      <c r="K36" s="1176"/>
      <c r="L36" s="1176"/>
      <c r="M36" s="1176"/>
      <c r="N36" s="1176"/>
      <c r="O36" s="8"/>
      <c r="P36" s="9"/>
      <c r="Q36" s="9"/>
      <c r="R36" s="9"/>
      <c r="S36" s="9"/>
      <c r="T36" s="9"/>
      <c r="U36" s="9"/>
      <c r="V36" s="9"/>
      <c r="W36" s="9"/>
      <c r="X36" s="9"/>
    </row>
    <row r="37" spans="2:28" ht="12.75" customHeight="1" x14ac:dyDescent="0.25">
      <c r="B37" s="8"/>
      <c r="C37" s="17"/>
      <c r="D37" s="17"/>
      <c r="E37" s="1223" t="str">
        <f>Translations!$B$836</f>
        <v>If the heat is exported, the connected installation or entity as input in sheet A_InstallationData section IV can be selected.</v>
      </c>
      <c r="F37" s="1176"/>
      <c r="G37" s="1176"/>
      <c r="H37" s="1176"/>
      <c r="I37" s="1176"/>
      <c r="J37" s="1176"/>
      <c r="K37" s="1176"/>
      <c r="L37" s="1176"/>
      <c r="M37" s="1176"/>
      <c r="N37" s="1176"/>
      <c r="O37" s="8"/>
      <c r="P37" s="9"/>
      <c r="Q37" s="9"/>
      <c r="R37" s="9"/>
      <c r="S37" s="9"/>
      <c r="T37" s="9"/>
      <c r="U37" s="9"/>
      <c r="V37" s="9"/>
      <c r="W37" s="9"/>
      <c r="X37" s="9"/>
    </row>
    <row r="38" spans="2:28" ht="5.0999999999999996" customHeight="1" x14ac:dyDescent="0.25">
      <c r="B38" s="8"/>
      <c r="C38" s="17"/>
      <c r="D38" s="17"/>
      <c r="E38" s="884"/>
      <c r="F38" s="884"/>
      <c r="G38" s="884"/>
      <c r="H38" s="884"/>
      <c r="I38" s="884"/>
      <c r="J38" s="77"/>
      <c r="K38" s="77"/>
      <c r="L38" s="77"/>
      <c r="M38" s="8"/>
      <c r="N38" s="8"/>
      <c r="O38" s="8"/>
      <c r="P38" s="9"/>
    </row>
    <row r="39" spans="2:28" x14ac:dyDescent="0.25">
      <c r="B39" s="17"/>
      <c r="C39" s="15"/>
      <c r="D39" s="26"/>
      <c r="E39" s="1616" t="str">
        <f>Translations!$B$837</f>
        <v>Use type</v>
      </c>
      <c r="F39" s="1402"/>
      <c r="G39" s="1616" t="str">
        <f>Translations!$B$838</f>
        <v>Within installation or export?</v>
      </c>
      <c r="H39" s="1402"/>
      <c r="I39" s="1616" t="str">
        <f>Translations!$B$839</f>
        <v>Product name, or heat export other than "district heating"</v>
      </c>
      <c r="J39" s="1212"/>
      <c r="K39" s="1212"/>
      <c r="L39" s="1402"/>
      <c r="M39" s="129" t="s">
        <v>468</v>
      </c>
      <c r="N39" s="8"/>
      <c r="O39" s="8"/>
      <c r="Y39" s="9"/>
      <c r="Z39" s="9"/>
      <c r="AA39" s="9"/>
      <c r="AB39" s="9"/>
    </row>
    <row r="40" spans="2:28" ht="12.75" customHeight="1" x14ac:dyDescent="0.25">
      <c r="B40" s="17"/>
      <c r="C40" s="80"/>
      <c r="D40" s="222">
        <v>1</v>
      </c>
      <c r="E40" s="1324"/>
      <c r="F40" s="1323"/>
      <c r="G40" s="1623"/>
      <c r="H40" s="1624"/>
      <c r="I40" s="1625"/>
      <c r="J40" s="1626"/>
      <c r="K40" s="1626"/>
      <c r="L40" s="1627"/>
      <c r="M40" s="885"/>
      <c r="N40" s="8"/>
      <c r="O40" s="8"/>
    </row>
    <row r="41" spans="2:28" ht="12.75" customHeight="1" x14ac:dyDescent="0.25">
      <c r="B41" s="17"/>
      <c r="C41" s="80"/>
      <c r="D41" s="225">
        <f>D40+1</f>
        <v>2</v>
      </c>
      <c r="E41" s="1325"/>
      <c r="F41" s="1301"/>
      <c r="G41" s="1611"/>
      <c r="H41" s="1612"/>
      <c r="I41" s="1296"/>
      <c r="J41" s="1632"/>
      <c r="K41" s="1632"/>
      <c r="L41" s="1633"/>
      <c r="M41" s="886"/>
      <c r="N41" s="8"/>
      <c r="O41" s="8"/>
    </row>
    <row r="42" spans="2:28" ht="12.75" customHeight="1" x14ac:dyDescent="0.25">
      <c r="B42" s="17"/>
      <c r="C42" s="80"/>
      <c r="D42" s="225">
        <f t="shared" ref="D42:D49" si="0">D41+1</f>
        <v>3</v>
      </c>
      <c r="E42" s="1325"/>
      <c r="F42" s="1301"/>
      <c r="G42" s="1611"/>
      <c r="H42" s="1612"/>
      <c r="I42" s="1296"/>
      <c r="J42" s="1632"/>
      <c r="K42" s="1632"/>
      <c r="L42" s="1633"/>
      <c r="M42" s="886"/>
      <c r="N42" s="8"/>
      <c r="O42" s="8"/>
    </row>
    <row r="43" spans="2:28" ht="12.75" customHeight="1" x14ac:dyDescent="0.25">
      <c r="B43" s="17"/>
      <c r="C43" s="80"/>
      <c r="D43" s="225">
        <f t="shared" si="0"/>
        <v>4</v>
      </c>
      <c r="E43" s="1325"/>
      <c r="F43" s="1301"/>
      <c r="G43" s="1611"/>
      <c r="H43" s="1612"/>
      <c r="I43" s="1296"/>
      <c r="J43" s="1632"/>
      <c r="K43" s="1632"/>
      <c r="L43" s="1633"/>
      <c r="M43" s="886"/>
      <c r="N43" s="8"/>
      <c r="O43" s="8"/>
    </row>
    <row r="44" spans="2:28" ht="12.75" customHeight="1" x14ac:dyDescent="0.25">
      <c r="B44" s="17"/>
      <c r="C44" s="80"/>
      <c r="D44" s="225">
        <f t="shared" si="0"/>
        <v>5</v>
      </c>
      <c r="E44" s="1325"/>
      <c r="F44" s="1301"/>
      <c r="G44" s="1611"/>
      <c r="H44" s="1612"/>
      <c r="I44" s="1296"/>
      <c r="J44" s="1632"/>
      <c r="K44" s="1632"/>
      <c r="L44" s="1633"/>
      <c r="M44" s="886"/>
      <c r="N44" s="8"/>
      <c r="O44" s="8"/>
      <c r="Y44" s="9"/>
      <c r="Z44" s="9"/>
      <c r="AA44" s="9"/>
      <c r="AB44" s="9"/>
    </row>
    <row r="45" spans="2:28" ht="12.75" customHeight="1" x14ac:dyDescent="0.25">
      <c r="B45" s="17"/>
      <c r="C45" s="80"/>
      <c r="D45" s="225">
        <f t="shared" si="0"/>
        <v>6</v>
      </c>
      <c r="E45" s="1325"/>
      <c r="F45" s="1301"/>
      <c r="G45" s="1611"/>
      <c r="H45" s="1612"/>
      <c r="I45" s="1296"/>
      <c r="J45" s="1632"/>
      <c r="K45" s="1632"/>
      <c r="L45" s="1633"/>
      <c r="M45" s="886"/>
      <c r="N45" s="8"/>
      <c r="O45" s="8"/>
    </row>
    <row r="46" spans="2:28" ht="12.75" customHeight="1" x14ac:dyDescent="0.25">
      <c r="B46" s="17"/>
      <c r="C46" s="80"/>
      <c r="D46" s="225">
        <f t="shared" si="0"/>
        <v>7</v>
      </c>
      <c r="E46" s="1325"/>
      <c r="F46" s="1301"/>
      <c r="G46" s="1611"/>
      <c r="H46" s="1612"/>
      <c r="I46" s="1296"/>
      <c r="J46" s="1632"/>
      <c r="K46" s="1632"/>
      <c r="L46" s="1633"/>
      <c r="M46" s="886"/>
      <c r="N46" s="8"/>
      <c r="O46" s="8"/>
    </row>
    <row r="47" spans="2:28" ht="12.75" customHeight="1" x14ac:dyDescent="0.25">
      <c r="B47" s="17"/>
      <c r="C47" s="80"/>
      <c r="D47" s="225">
        <f t="shared" si="0"/>
        <v>8</v>
      </c>
      <c r="E47" s="1325"/>
      <c r="F47" s="1301"/>
      <c r="G47" s="1611"/>
      <c r="H47" s="1612"/>
      <c r="I47" s="1296"/>
      <c r="J47" s="1632"/>
      <c r="K47" s="1632"/>
      <c r="L47" s="1633"/>
      <c r="M47" s="886"/>
      <c r="N47" s="8"/>
      <c r="O47" s="8"/>
    </row>
    <row r="48" spans="2:28" ht="12.75" customHeight="1" x14ac:dyDescent="0.25">
      <c r="B48" s="17"/>
      <c r="C48" s="80"/>
      <c r="D48" s="225">
        <f t="shared" si="0"/>
        <v>9</v>
      </c>
      <c r="E48" s="1325"/>
      <c r="F48" s="1301"/>
      <c r="G48" s="1611"/>
      <c r="H48" s="1612"/>
      <c r="I48" s="1296"/>
      <c r="J48" s="1632"/>
      <c r="K48" s="1632"/>
      <c r="L48" s="1633"/>
      <c r="M48" s="886"/>
      <c r="N48" s="8"/>
      <c r="O48" s="8"/>
    </row>
    <row r="49" spans="2:28" ht="12.75" customHeight="1" x14ac:dyDescent="0.25">
      <c r="B49" s="17"/>
      <c r="C49" s="80"/>
      <c r="D49" s="227">
        <f t="shared" si="0"/>
        <v>10</v>
      </c>
      <c r="E49" s="1320"/>
      <c r="F49" s="1321"/>
      <c r="G49" s="1636"/>
      <c r="H49" s="1637"/>
      <c r="I49" s="1326"/>
      <c r="J49" s="1638"/>
      <c r="K49" s="1638"/>
      <c r="L49" s="1639"/>
      <c r="M49" s="887"/>
      <c r="N49" s="8"/>
      <c r="O49" s="8"/>
      <c r="Y49" s="9"/>
      <c r="Z49" s="9"/>
      <c r="AA49" s="9"/>
      <c r="AB49" s="9"/>
    </row>
    <row r="50" spans="2:28" ht="5.0999999999999996" customHeight="1" x14ac:dyDescent="0.25">
      <c r="B50" s="8"/>
      <c r="C50" s="8"/>
      <c r="D50" s="8"/>
      <c r="E50" s="8"/>
      <c r="F50" s="8"/>
      <c r="G50" s="8"/>
      <c r="H50" s="8"/>
      <c r="I50" s="8"/>
      <c r="J50" s="8"/>
      <c r="K50" s="8"/>
      <c r="L50" s="8"/>
      <c r="M50" s="8"/>
      <c r="N50" s="8"/>
      <c r="O50" s="8"/>
      <c r="P50" s="9"/>
      <c r="Q50" s="9"/>
    </row>
    <row r="51" spans="2:28" ht="12.75" customHeight="1" x14ac:dyDescent="0.25">
      <c r="B51" s="8"/>
      <c r="C51" s="15"/>
      <c r="D51" s="15"/>
      <c r="E51" s="1165" t="str">
        <f>Translations!$B$840</f>
        <v>Production levels:</v>
      </c>
      <c r="F51" s="1176"/>
      <c r="G51" s="1176"/>
      <c r="H51" s="1176"/>
      <c r="I51" s="1176"/>
      <c r="J51" s="1176"/>
      <c r="K51" s="1176"/>
      <c r="L51" s="1176"/>
      <c r="M51" s="1176"/>
      <c r="N51" s="1176"/>
      <c r="O51" s="8"/>
      <c r="P51" s="9"/>
    </row>
    <row r="52" spans="2:28" ht="5.0999999999999996" customHeight="1" x14ac:dyDescent="0.25">
      <c r="B52" s="8"/>
      <c r="C52" s="17"/>
      <c r="D52" s="17"/>
      <c r="E52" s="884"/>
      <c r="F52" s="884"/>
      <c r="G52" s="884"/>
      <c r="H52" s="884"/>
      <c r="I52" s="884"/>
      <c r="J52" s="77"/>
      <c r="K52" s="77"/>
      <c r="L52" s="77"/>
      <c r="M52" s="8"/>
      <c r="N52" s="8"/>
      <c r="O52" s="8"/>
      <c r="P52" s="9"/>
    </row>
    <row r="53" spans="2:28" ht="25.5" customHeight="1" x14ac:dyDescent="0.25">
      <c r="B53" s="17"/>
      <c r="C53" s="15"/>
      <c r="D53" s="26"/>
      <c r="E53" s="1616" t="str">
        <f>I39</f>
        <v>Product name, or heat export other than "district heating"</v>
      </c>
      <c r="F53" s="1212"/>
      <c r="G53" s="1402"/>
      <c r="H53" s="23" t="str">
        <f>EUconst_Unit</f>
        <v>Unit</v>
      </c>
      <c r="I53" s="128">
        <f>I$559</f>
        <v>2019</v>
      </c>
      <c r="J53" s="128">
        <f>J$559</f>
        <v>2020</v>
      </c>
      <c r="K53" s="128">
        <f>K$559</f>
        <v>2021</v>
      </c>
      <c r="L53" s="128">
        <f>L$559</f>
        <v>2022</v>
      </c>
      <c r="M53" s="144">
        <f>M$559</f>
        <v>2023</v>
      </c>
      <c r="N53" s="8"/>
      <c r="O53" s="8"/>
    </row>
    <row r="54" spans="2:28" ht="12.75" customHeight="1" x14ac:dyDescent="0.25">
      <c r="B54" s="17"/>
      <c r="C54" s="80"/>
      <c r="D54" s="222">
        <v>1</v>
      </c>
      <c r="E54" s="1595" t="str">
        <f t="shared" ref="E54:E63" si="1">IF(ISBLANK(I40),"",I40)</f>
        <v/>
      </c>
      <c r="F54" s="1596"/>
      <c r="G54" s="1597"/>
      <c r="H54" s="888"/>
      <c r="I54" s="889"/>
      <c r="J54" s="889"/>
      <c r="K54" s="889"/>
      <c r="L54" s="889"/>
      <c r="M54" s="890"/>
      <c r="N54" s="8"/>
      <c r="O54" s="8"/>
    </row>
    <row r="55" spans="2:28" ht="12.75" customHeight="1" x14ac:dyDescent="0.25">
      <c r="B55" s="17"/>
      <c r="C55" s="80"/>
      <c r="D55" s="225">
        <f>D54+1</f>
        <v>2</v>
      </c>
      <c r="E55" s="1591" t="str">
        <f t="shared" si="1"/>
        <v/>
      </c>
      <c r="F55" s="1335"/>
      <c r="G55" s="1592"/>
      <c r="H55" s="891"/>
      <c r="I55" s="892"/>
      <c r="J55" s="892"/>
      <c r="K55" s="892"/>
      <c r="L55" s="892"/>
      <c r="M55" s="893"/>
      <c r="N55" s="8"/>
      <c r="O55" s="8"/>
    </row>
    <row r="56" spans="2:28" ht="12.75" customHeight="1" x14ac:dyDescent="0.25">
      <c r="B56" s="17"/>
      <c r="C56" s="80"/>
      <c r="D56" s="225">
        <f t="shared" ref="D56:D63" si="2">D55+1</f>
        <v>3</v>
      </c>
      <c r="E56" s="1591" t="str">
        <f t="shared" si="1"/>
        <v/>
      </c>
      <c r="F56" s="1335"/>
      <c r="G56" s="1592"/>
      <c r="H56" s="891"/>
      <c r="I56" s="892"/>
      <c r="J56" s="892"/>
      <c r="K56" s="892"/>
      <c r="L56" s="892"/>
      <c r="M56" s="893"/>
      <c r="N56" s="8"/>
      <c r="O56" s="8"/>
    </row>
    <row r="57" spans="2:28" ht="12.75" customHeight="1" x14ac:dyDescent="0.25">
      <c r="B57" s="17"/>
      <c r="C57" s="80"/>
      <c r="D57" s="225">
        <f t="shared" si="2"/>
        <v>4</v>
      </c>
      <c r="E57" s="1591" t="str">
        <f t="shared" si="1"/>
        <v/>
      </c>
      <c r="F57" s="1335"/>
      <c r="G57" s="1592"/>
      <c r="H57" s="891"/>
      <c r="I57" s="892"/>
      <c r="J57" s="892"/>
      <c r="K57" s="892"/>
      <c r="L57" s="892"/>
      <c r="M57" s="893"/>
      <c r="N57" s="8"/>
      <c r="O57" s="8"/>
    </row>
    <row r="58" spans="2:28" ht="12.75" customHeight="1" x14ac:dyDescent="0.25">
      <c r="B58" s="17"/>
      <c r="C58" s="80"/>
      <c r="D58" s="225">
        <f t="shared" si="2"/>
        <v>5</v>
      </c>
      <c r="E58" s="1591" t="str">
        <f t="shared" si="1"/>
        <v/>
      </c>
      <c r="F58" s="1335"/>
      <c r="G58" s="1592"/>
      <c r="H58" s="891"/>
      <c r="I58" s="892"/>
      <c r="J58" s="892"/>
      <c r="K58" s="892"/>
      <c r="L58" s="892"/>
      <c r="M58" s="893"/>
      <c r="N58" s="8"/>
      <c r="O58" s="8"/>
    </row>
    <row r="59" spans="2:28" ht="12.75" customHeight="1" x14ac:dyDescent="0.25">
      <c r="B59" s="17"/>
      <c r="C59" s="80"/>
      <c r="D59" s="225">
        <f t="shared" si="2"/>
        <v>6</v>
      </c>
      <c r="E59" s="1591" t="str">
        <f t="shared" si="1"/>
        <v/>
      </c>
      <c r="F59" s="1335"/>
      <c r="G59" s="1592"/>
      <c r="H59" s="891"/>
      <c r="I59" s="892"/>
      <c r="J59" s="892"/>
      <c r="K59" s="892"/>
      <c r="L59" s="892"/>
      <c r="M59" s="893"/>
      <c r="N59" s="8"/>
      <c r="O59" s="8"/>
    </row>
    <row r="60" spans="2:28" ht="12.75" customHeight="1" x14ac:dyDescent="0.25">
      <c r="B60" s="17"/>
      <c r="C60" s="80"/>
      <c r="D60" s="225">
        <f t="shared" si="2"/>
        <v>7</v>
      </c>
      <c r="E60" s="1591" t="str">
        <f t="shared" si="1"/>
        <v/>
      </c>
      <c r="F60" s="1335"/>
      <c r="G60" s="1592"/>
      <c r="H60" s="891"/>
      <c r="I60" s="892"/>
      <c r="J60" s="892"/>
      <c r="K60" s="892"/>
      <c r="L60" s="892"/>
      <c r="M60" s="893"/>
      <c r="N60" s="8"/>
      <c r="O60" s="8"/>
    </row>
    <row r="61" spans="2:28" ht="12.75" customHeight="1" x14ac:dyDescent="0.25">
      <c r="B61" s="17"/>
      <c r="C61" s="80"/>
      <c r="D61" s="225">
        <f t="shared" si="2"/>
        <v>8</v>
      </c>
      <c r="E61" s="1591" t="str">
        <f t="shared" si="1"/>
        <v/>
      </c>
      <c r="F61" s="1335"/>
      <c r="G61" s="1592"/>
      <c r="H61" s="891"/>
      <c r="I61" s="892"/>
      <c r="J61" s="892"/>
      <c r="K61" s="892"/>
      <c r="L61" s="892"/>
      <c r="M61" s="893"/>
      <c r="N61" s="8"/>
      <c r="O61" s="8"/>
    </row>
    <row r="62" spans="2:28" ht="12.75" customHeight="1" x14ac:dyDescent="0.25">
      <c r="B62" s="17"/>
      <c r="C62" s="80"/>
      <c r="D62" s="225">
        <f t="shared" si="2"/>
        <v>9</v>
      </c>
      <c r="E62" s="1591" t="str">
        <f t="shared" si="1"/>
        <v/>
      </c>
      <c r="F62" s="1335"/>
      <c r="G62" s="1592"/>
      <c r="H62" s="891"/>
      <c r="I62" s="892"/>
      <c r="J62" s="892"/>
      <c r="K62" s="892"/>
      <c r="L62" s="892"/>
      <c r="M62" s="893"/>
      <c r="N62" s="8"/>
      <c r="O62" s="8"/>
    </row>
    <row r="63" spans="2:28" ht="12.75" customHeight="1" x14ac:dyDescent="0.25">
      <c r="B63" s="17"/>
      <c r="C63" s="80"/>
      <c r="D63" s="227">
        <f t="shared" si="2"/>
        <v>10</v>
      </c>
      <c r="E63" s="1593" t="str">
        <f t="shared" si="1"/>
        <v/>
      </c>
      <c r="F63" s="1386"/>
      <c r="G63" s="1594"/>
      <c r="H63" s="894"/>
      <c r="I63" s="895"/>
      <c r="J63" s="895"/>
      <c r="K63" s="895"/>
      <c r="L63" s="895"/>
      <c r="M63" s="896"/>
      <c r="N63" s="8"/>
      <c r="O63" s="8"/>
    </row>
    <row r="64" spans="2:28" ht="12.75" customHeight="1" x14ac:dyDescent="0.25">
      <c r="B64" s="17"/>
      <c r="C64" s="17"/>
      <c r="D64" s="262"/>
      <c r="E64" s="1619" t="str">
        <f>Translations!$B$708</f>
        <v>Sum of production levels</v>
      </c>
      <c r="F64" s="1509"/>
      <c r="G64" s="1189"/>
      <c r="H64" s="1068"/>
      <c r="I64" s="841" t="str">
        <f>IF(COUNT(I54:I63)&gt;0,SUM(I54:I63),"")</f>
        <v/>
      </c>
      <c r="J64" s="841" t="str">
        <f>IF(COUNT(J54:J63)&gt;0,SUM(J54:J63),"")</f>
        <v/>
      </c>
      <c r="K64" s="841" t="str">
        <f>IF(COUNT(K54:K63)&gt;0,SUM(K54:K63),"")</f>
        <v/>
      </c>
      <c r="L64" s="841" t="str">
        <f>IF(COUNT(L54:L63)&gt;0,SUM(L54:L63),"")</f>
        <v/>
      </c>
      <c r="M64" s="897" t="str">
        <f>IF(COUNT(M54:M63)&gt;0,SUM(M54:M63),"")</f>
        <v/>
      </c>
      <c r="N64" s="8"/>
      <c r="O64" s="8"/>
    </row>
    <row r="65" spans="2:19" ht="12.75" customHeight="1" thickBot="1" x14ac:dyDescent="0.3">
      <c r="B65" s="17"/>
      <c r="C65" s="17"/>
      <c r="D65" s="17"/>
      <c r="E65" s="17"/>
      <c r="F65" s="17"/>
      <c r="G65" s="17"/>
      <c r="H65" s="17"/>
      <c r="I65" s="17"/>
      <c r="J65" s="17"/>
      <c r="K65" s="17"/>
      <c r="L65" s="17"/>
      <c r="M65" s="17"/>
      <c r="N65" s="17"/>
      <c r="O65" s="8"/>
    </row>
    <row r="66" spans="2:19" ht="5.0999999999999996" customHeight="1" x14ac:dyDescent="0.25">
      <c r="B66" s="8"/>
      <c r="C66" s="898"/>
      <c r="D66" s="155"/>
      <c r="E66" s="155"/>
      <c r="F66" s="155"/>
      <c r="G66" s="155"/>
      <c r="H66" s="155"/>
      <c r="I66" s="155"/>
      <c r="J66" s="155"/>
      <c r="K66" s="155"/>
      <c r="L66" s="155"/>
      <c r="M66" s="155"/>
      <c r="N66" s="156"/>
      <c r="O66" s="8"/>
      <c r="P66" s="9"/>
      <c r="R66" s="9"/>
      <c r="S66" s="9"/>
    </row>
    <row r="67" spans="2:19" ht="15" customHeight="1" x14ac:dyDescent="0.25">
      <c r="B67" s="17"/>
      <c r="C67" s="899"/>
      <c r="D67" s="1547" t="s">
        <v>469</v>
      </c>
      <c r="E67" s="1512"/>
      <c r="F67" s="1512"/>
      <c r="G67" s="1512"/>
      <c r="H67" s="1512"/>
      <c r="I67" s="1512"/>
      <c r="J67" s="1512"/>
      <c r="K67" s="1512"/>
      <c r="L67" s="1512"/>
      <c r="M67" s="1512"/>
      <c r="N67" s="1513"/>
      <c r="O67" s="8"/>
      <c r="R67" s="9"/>
      <c r="S67" s="9"/>
    </row>
    <row r="68" spans="2:19" ht="5.0999999999999996" customHeight="1" x14ac:dyDescent="0.25">
      <c r="B68" s="17"/>
      <c r="C68" s="900"/>
      <c r="D68" s="342"/>
      <c r="E68" s="342"/>
      <c r="F68" s="342"/>
      <c r="G68" s="342"/>
      <c r="H68" s="342"/>
      <c r="I68" s="342"/>
      <c r="J68" s="342"/>
      <c r="K68" s="342"/>
      <c r="L68" s="342"/>
      <c r="M68" s="342"/>
      <c r="N68" s="266"/>
      <c r="O68" s="8"/>
      <c r="R68" s="9"/>
      <c r="S68" s="9"/>
    </row>
    <row r="69" spans="2:19" ht="15" customHeight="1" x14ac:dyDescent="0.25">
      <c r="B69" s="17"/>
      <c r="C69" s="900"/>
      <c r="D69" s="1548" t="str">
        <f>EUconst_FBSubinst &amp; ":"</f>
        <v>Fall-Back sub-installation:</v>
      </c>
      <c r="E69" s="1512"/>
      <c r="F69" s="1512"/>
      <c r="G69" s="1512"/>
      <c r="H69" s="1549"/>
      <c r="I69" s="1550" t="str">
        <f>I12</f>
        <v>Heat benchmark sub-installation, CL</v>
      </c>
      <c r="J69" s="1509"/>
      <c r="K69" s="1509"/>
      <c r="L69" s="1509"/>
      <c r="M69" s="1509"/>
      <c r="N69" s="1551"/>
      <c r="O69" s="8"/>
      <c r="R69" s="9"/>
      <c r="S69" s="9"/>
    </row>
    <row r="70" spans="2:19" ht="5.0999999999999996" customHeight="1" x14ac:dyDescent="0.25">
      <c r="B70" s="17"/>
      <c r="C70" s="900"/>
      <c r="D70" s="342"/>
      <c r="E70" s="342"/>
      <c r="F70" s="342"/>
      <c r="G70" s="342"/>
      <c r="H70" s="342"/>
      <c r="I70" s="342"/>
      <c r="J70" s="342"/>
      <c r="K70" s="342"/>
      <c r="L70" s="342"/>
      <c r="M70" s="342"/>
      <c r="N70" s="266"/>
      <c r="O70" s="8"/>
      <c r="R70" s="9"/>
      <c r="S70" s="9"/>
    </row>
    <row r="71" spans="2:19" ht="30" customHeight="1" x14ac:dyDescent="0.25">
      <c r="B71" s="8"/>
      <c r="C71" s="899"/>
      <c r="D71" s="159"/>
      <c r="E71" s="1622" t="s">
        <v>470</v>
      </c>
      <c r="F71" s="1622"/>
      <c r="G71" s="1622"/>
      <c r="H71" s="1622"/>
      <c r="I71" s="1622"/>
      <c r="J71" s="1622"/>
      <c r="K71" s="1622"/>
      <c r="L71" s="1622"/>
      <c r="M71" s="1622"/>
      <c r="N71" s="195"/>
      <c r="O71" s="8"/>
      <c r="P71" s="9"/>
    </row>
    <row r="72" spans="2:19" ht="30" customHeight="1" x14ac:dyDescent="0.25">
      <c r="B72" s="17"/>
      <c r="C72" s="900"/>
      <c r="D72" s="342"/>
      <c r="E72" s="1566" t="s">
        <v>471</v>
      </c>
      <c r="F72" s="1566"/>
      <c r="G72" s="1566"/>
      <c r="H72" s="1566"/>
      <c r="I72" s="1566"/>
      <c r="J72" s="1566"/>
      <c r="K72" s="1566"/>
      <c r="L72" s="1566"/>
      <c r="M72" s="1566"/>
      <c r="N72" s="277"/>
      <c r="O72" s="8"/>
    </row>
    <row r="73" spans="2:19" ht="12.75" customHeight="1" x14ac:dyDescent="0.25">
      <c r="B73" s="17"/>
      <c r="C73" s="900"/>
      <c r="D73" s="342"/>
      <c r="E73" s="1566" t="s">
        <v>472</v>
      </c>
      <c r="F73" s="1195"/>
      <c r="G73" s="1195"/>
      <c r="H73" s="1195"/>
      <c r="I73" s="1195"/>
      <c r="J73" s="1195"/>
      <c r="K73" s="1195"/>
      <c r="L73" s="1195"/>
      <c r="M73" s="1195"/>
      <c r="N73" s="277"/>
      <c r="O73" s="8"/>
    </row>
    <row r="74" spans="2:19" ht="15" customHeight="1" x14ac:dyDescent="0.25">
      <c r="B74" s="17"/>
      <c r="C74" s="900"/>
      <c r="D74" s="342"/>
      <c r="E74" s="342"/>
      <c r="F74" s="342"/>
      <c r="G74" s="342"/>
      <c r="H74" s="342"/>
      <c r="I74" s="342"/>
      <c r="J74" s="342"/>
      <c r="K74" s="342"/>
      <c r="L74" s="342"/>
      <c r="M74" s="342"/>
      <c r="N74" s="277"/>
      <c r="O74" s="8"/>
    </row>
    <row r="75" spans="2:19" ht="15" customHeight="1" x14ac:dyDescent="0.25">
      <c r="B75" s="8"/>
      <c r="C75" s="899"/>
      <c r="D75" s="159"/>
      <c r="E75" s="1439" t="str">
        <f>Translations!$B$714</f>
        <v>Upon entries made below, the attributable emissions are calculated in section K.III.2 of the summary sheet.</v>
      </c>
      <c r="F75" s="1439"/>
      <c r="G75" s="1439"/>
      <c r="H75" s="1439"/>
      <c r="I75" s="1439"/>
      <c r="J75" s="1439"/>
      <c r="K75" s="1439"/>
      <c r="L75" s="1439"/>
      <c r="M75" s="1439"/>
      <c r="N75" s="195"/>
      <c r="O75" s="8"/>
      <c r="P75" s="9"/>
    </row>
    <row r="76" spans="2:19" ht="5.0999999999999996" customHeight="1" x14ac:dyDescent="0.25">
      <c r="B76" s="17"/>
      <c r="C76" s="900"/>
      <c r="D76" s="342"/>
      <c r="E76" s="342"/>
      <c r="F76" s="342"/>
      <c r="G76" s="342"/>
      <c r="H76" s="342"/>
      <c r="I76" s="342"/>
      <c r="J76" s="342"/>
      <c r="K76" s="342"/>
      <c r="L76" s="342"/>
      <c r="M76" s="342"/>
      <c r="N76" s="266"/>
      <c r="O76" s="8"/>
      <c r="R76" s="9"/>
      <c r="S76" s="9"/>
    </row>
    <row r="77" spans="2:19" ht="12.75" customHeight="1" x14ac:dyDescent="0.25">
      <c r="B77" s="8"/>
      <c r="C77" s="899"/>
      <c r="D77" s="157" t="s">
        <v>195</v>
      </c>
      <c r="E77" s="1511" t="str">
        <f>Translations!$B$841</f>
        <v>Directly attributable emissions (DirEm*) to this sub-installation</v>
      </c>
      <c r="F77" s="1512"/>
      <c r="G77" s="1512"/>
      <c r="H77" s="1512"/>
      <c r="I77" s="1512"/>
      <c r="J77" s="1512"/>
      <c r="K77" s="1512"/>
      <c r="L77" s="1512"/>
      <c r="M77" s="1512"/>
      <c r="N77" s="1513"/>
      <c r="O77" s="8"/>
      <c r="P77" s="9"/>
      <c r="R77" s="9"/>
      <c r="S77" s="9"/>
    </row>
    <row r="78" spans="2:19" ht="12.75" customHeight="1" x14ac:dyDescent="0.25">
      <c r="B78" s="8"/>
      <c r="C78" s="899"/>
      <c r="D78" s="157"/>
      <c r="E78" s="1617" t="s">
        <v>417</v>
      </c>
      <c r="F78" s="1617"/>
      <c r="G78" s="1617"/>
      <c r="H78" s="1617"/>
      <c r="I78" s="1617"/>
      <c r="J78" s="1617"/>
      <c r="K78" s="1617"/>
      <c r="L78" s="1617"/>
      <c r="M78" s="1617"/>
      <c r="N78" s="1618"/>
      <c r="O78" s="8"/>
      <c r="P78" s="9"/>
      <c r="R78" s="9"/>
      <c r="S78" s="9"/>
    </row>
    <row r="79" spans="2:19" ht="12.75" customHeight="1" x14ac:dyDescent="0.25">
      <c r="B79" s="8"/>
      <c r="C79" s="899"/>
      <c r="D79" s="159"/>
      <c r="E79" s="1552" t="str">
        <f>Translations!$B$842</f>
        <v>Please enter here the direct emissions taking into account the following provisions:</v>
      </c>
      <c r="F79" s="1552"/>
      <c r="G79" s="1552"/>
      <c r="H79" s="1552"/>
      <c r="I79" s="1552"/>
      <c r="J79" s="1552"/>
      <c r="K79" s="1552"/>
      <c r="L79" s="1552"/>
      <c r="M79" s="1552"/>
      <c r="N79" s="1553"/>
      <c r="O79" s="8"/>
      <c r="P79" s="9"/>
      <c r="R79" s="9"/>
    </row>
    <row r="80" spans="2:19" ht="25.5" customHeight="1" x14ac:dyDescent="0.25">
      <c r="B80" s="8"/>
      <c r="C80" s="899"/>
      <c r="D80" s="159"/>
      <c r="E80" s="901" t="s">
        <v>214</v>
      </c>
      <c r="F80" s="1533"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80" s="1533"/>
      <c r="H80" s="1533"/>
      <c r="I80" s="1533"/>
      <c r="J80" s="1533"/>
      <c r="K80" s="1533"/>
      <c r="L80" s="1533"/>
      <c r="M80" s="1533"/>
      <c r="N80" s="1537"/>
      <c r="O80" s="8"/>
      <c r="P80" s="9"/>
      <c r="R80" s="9"/>
    </row>
    <row r="81" spans="2:23" ht="38.25" customHeight="1" x14ac:dyDescent="0.25">
      <c r="B81" s="17"/>
      <c r="C81" s="900"/>
      <c r="D81" s="342"/>
      <c r="E81" s="901"/>
      <c r="F81" s="1589" t="str">
        <f>Translations!$B$844</f>
        <v>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v>
      </c>
      <c r="G81" s="1195"/>
      <c r="H81" s="1195"/>
      <c r="I81" s="1195"/>
      <c r="J81" s="1195"/>
      <c r="K81" s="1195"/>
      <c r="L81" s="1195"/>
      <c r="M81" s="1195"/>
      <c r="N81" s="1590"/>
      <c r="O81" s="8"/>
    </row>
    <row r="82" spans="2:23" ht="12.75" customHeight="1" x14ac:dyDescent="0.25">
      <c r="B82" s="8"/>
      <c r="C82" s="899"/>
      <c r="D82" s="159"/>
      <c r="E82" s="901" t="s">
        <v>214</v>
      </c>
      <c r="F82" s="1533" t="str">
        <f>Translations!$B$845</f>
        <v xml:space="preserve">Measurable heat: where the heat is exclusively produced for this sub-installation, the emissions may be directly attributed here via the fuel’s emissions. </v>
      </c>
      <c r="G82" s="1533"/>
      <c r="H82" s="1533"/>
      <c r="I82" s="1533"/>
      <c r="J82" s="1533"/>
      <c r="K82" s="1533"/>
      <c r="L82" s="1533"/>
      <c r="M82" s="1533"/>
      <c r="N82" s="1537"/>
      <c r="O82" s="8"/>
      <c r="P82" s="9"/>
      <c r="R82" s="9"/>
    </row>
    <row r="83" spans="2:23" ht="26.1" customHeight="1" x14ac:dyDescent="0.25">
      <c r="B83" s="8"/>
      <c r="C83" s="899"/>
      <c r="D83" s="159"/>
      <c r="E83" s="901"/>
      <c r="F83" s="1533" t="str">
        <f>Translations!$B$846</f>
        <v>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v>
      </c>
      <c r="G83" s="1533"/>
      <c r="H83" s="1533"/>
      <c r="I83" s="1533"/>
      <c r="J83" s="1533"/>
      <c r="K83" s="1533"/>
      <c r="L83" s="1533"/>
      <c r="M83" s="1533"/>
      <c r="N83" s="1537"/>
      <c r="O83" s="8"/>
      <c r="P83" s="9"/>
      <c r="R83" s="9"/>
    </row>
    <row r="84" spans="2:23" ht="25.5" customHeight="1" thickBot="1" x14ac:dyDescent="0.3">
      <c r="B84" s="8"/>
      <c r="C84" s="899"/>
      <c r="D84" s="159"/>
      <c r="E84" s="901" t="s">
        <v>214</v>
      </c>
      <c r="F84" s="1533" t="str">
        <f>Translations!$B$847</f>
        <v>Waste gases: emissions associated with measurable heat produced from waste gases imported from other installations or sub-installations and used in this sub-installation should not be included here, but under point (f).xiii below.</v>
      </c>
      <c r="G84" s="1512"/>
      <c r="H84" s="1512"/>
      <c r="I84" s="1512"/>
      <c r="J84" s="1512"/>
      <c r="K84" s="1512"/>
      <c r="L84" s="1512"/>
      <c r="M84" s="1512"/>
      <c r="N84" s="1513"/>
      <c r="O84" s="8"/>
      <c r="P84" s="9"/>
      <c r="R84" s="9"/>
    </row>
    <row r="85" spans="2:23" ht="12.75" customHeight="1" x14ac:dyDescent="0.25">
      <c r="B85" s="8"/>
      <c r="C85" s="899"/>
      <c r="D85" s="157"/>
      <c r="E85" s="1522" t="str">
        <f>Translations!$B$690</f>
        <v>Total direct emissions</v>
      </c>
      <c r="F85" s="1523"/>
      <c r="G85" s="1523"/>
      <c r="H85" s="152" t="str">
        <f>EUconst_Unit</f>
        <v>Unit</v>
      </c>
      <c r="I85" s="153">
        <f>I$559</f>
        <v>2019</v>
      </c>
      <c r="J85" s="153">
        <f>J$559</f>
        <v>2020</v>
      </c>
      <c r="K85" s="153">
        <f>K$559</f>
        <v>2021</v>
      </c>
      <c r="L85" s="153">
        <f>L$559</f>
        <v>2022</v>
      </c>
      <c r="M85" s="153">
        <f>M$559</f>
        <v>2023</v>
      </c>
      <c r="N85" s="158"/>
      <c r="O85" s="8"/>
      <c r="P85" s="9"/>
      <c r="R85" s="325"/>
      <c r="S85" s="326">
        <f>I85</f>
        <v>2019</v>
      </c>
      <c r="T85" s="326">
        <f>J85</f>
        <v>2020</v>
      </c>
      <c r="U85" s="326">
        <f>K85</f>
        <v>2021</v>
      </c>
      <c r="V85" s="326">
        <f>L85</f>
        <v>2022</v>
      </c>
      <c r="W85" s="327">
        <f>M85</f>
        <v>2023</v>
      </c>
    </row>
    <row r="86" spans="2:23" ht="12.75" customHeight="1" thickBot="1" x14ac:dyDescent="0.3">
      <c r="B86" s="8"/>
      <c r="C86" s="899"/>
      <c r="D86" s="159"/>
      <c r="E86" s="1510" t="str">
        <f>I12</f>
        <v>Heat benchmark sub-installation, CL</v>
      </c>
      <c r="F86" s="1510"/>
      <c r="G86" s="1510"/>
      <c r="H86" s="154" t="str">
        <f>EUconst_tCO2epa</f>
        <v>t CO2e/year</v>
      </c>
      <c r="I86" s="231"/>
      <c r="J86" s="231"/>
      <c r="K86" s="231"/>
      <c r="L86" s="231"/>
      <c r="M86" s="231"/>
      <c r="N86" s="158"/>
      <c r="O86" s="8"/>
      <c r="P86" s="116" t="str">
        <f>EUconst_CNTR_Emissions &amp; I12</f>
        <v>DirEmissions_Heat benchmark sub-installation, CL</v>
      </c>
      <c r="R86" s="328" t="str">
        <f>EUconst_CNTR_AttributedEmissions &amp; I12</f>
        <v>AttrEmissions_Heat benchmark sub-installation, CL</v>
      </c>
      <c r="S86" s="389" t="str">
        <f>IF(S12,SUM(I86),"")</f>
        <v/>
      </c>
      <c r="T86" s="389" t="str">
        <f>IF(T12,SUM(J86),"")</f>
        <v/>
      </c>
      <c r="U86" s="389" t="str">
        <f>IF(U12,SUM(K86),"")</f>
        <v/>
      </c>
      <c r="V86" s="389" t="str">
        <f>IF(V12,SUM(L86),"")</f>
        <v/>
      </c>
      <c r="W86" s="390" t="str">
        <f>IF(W12,SUM(M86),"")</f>
        <v/>
      </c>
    </row>
    <row r="87" spans="2:23" ht="5.0999999999999996" customHeight="1" x14ac:dyDescent="0.25">
      <c r="B87" s="8"/>
      <c r="C87" s="899"/>
      <c r="D87" s="159"/>
      <c r="E87" s="159"/>
      <c r="F87" s="159"/>
      <c r="G87" s="159"/>
      <c r="H87" s="159"/>
      <c r="I87" s="159"/>
      <c r="J87" s="159"/>
      <c r="K87" s="159"/>
      <c r="L87" s="159"/>
      <c r="M87" s="159"/>
      <c r="N87" s="158"/>
      <c r="O87" s="8"/>
      <c r="P87" s="9"/>
      <c r="R87" s="9"/>
    </row>
    <row r="88" spans="2:23" ht="12.75" customHeight="1" x14ac:dyDescent="0.25">
      <c r="B88" s="8"/>
      <c r="C88" s="899"/>
      <c r="D88" s="157" t="s">
        <v>197</v>
      </c>
      <c r="E88" s="1529" t="str">
        <f>Translations!$B$726</f>
        <v>Fuel input to this sub-installation and relevant emission factor</v>
      </c>
      <c r="F88" s="1529"/>
      <c r="G88" s="1529"/>
      <c r="H88" s="1529"/>
      <c r="I88" s="1529"/>
      <c r="J88" s="1529"/>
      <c r="K88" s="1529"/>
      <c r="L88" s="1529"/>
      <c r="M88" s="1529"/>
      <c r="N88" s="1534"/>
      <c r="O88" s="8"/>
      <c r="R88" s="9"/>
    </row>
    <row r="89" spans="2:23" ht="12.75" customHeight="1" x14ac:dyDescent="0.25">
      <c r="B89" s="8"/>
      <c r="C89" s="899"/>
      <c r="D89" s="159"/>
      <c r="E89" s="1533" t="s">
        <v>473</v>
      </c>
      <c r="F89" s="1512"/>
      <c r="G89" s="1512"/>
      <c r="H89" s="1512"/>
      <c r="I89" s="1512"/>
      <c r="J89" s="1512"/>
      <c r="K89" s="1512"/>
      <c r="L89" s="1512"/>
      <c r="M89" s="1512"/>
      <c r="N89" s="1513"/>
      <c r="O89" s="8"/>
      <c r="P89" s="9"/>
      <c r="Q89" s="9"/>
      <c r="R89" s="9"/>
    </row>
    <row r="90" spans="2:23" ht="25.5" customHeight="1" x14ac:dyDescent="0.25">
      <c r="B90" s="8"/>
      <c r="C90" s="899"/>
      <c r="D90" s="159"/>
      <c r="E90" s="1533" t="s">
        <v>474</v>
      </c>
      <c r="F90" s="1512"/>
      <c r="G90" s="1512"/>
      <c r="H90" s="1512"/>
      <c r="I90" s="1512"/>
      <c r="J90" s="1512"/>
      <c r="K90" s="1512"/>
      <c r="L90" s="1512"/>
      <c r="M90" s="1512"/>
      <c r="N90" s="1513"/>
      <c r="O90" s="8"/>
      <c r="P90" s="9"/>
      <c r="R90" s="9"/>
    </row>
    <row r="91" spans="2:23" ht="12.75" customHeight="1" x14ac:dyDescent="0.25">
      <c r="B91" s="8"/>
      <c r="C91" s="899"/>
      <c r="D91" s="159"/>
      <c r="E91" s="1533" t="str">
        <f>Translations!$B$729</f>
        <v>The weighted emission factor should furthermore include emissions from corresponding flue gas cleaning, if applicable.</v>
      </c>
      <c r="F91" s="1512"/>
      <c r="G91" s="1512"/>
      <c r="H91" s="1512"/>
      <c r="I91" s="1512"/>
      <c r="J91" s="1512"/>
      <c r="K91" s="1512"/>
      <c r="L91" s="1512"/>
      <c r="M91" s="1512"/>
      <c r="N91" s="1513"/>
      <c r="O91" s="8"/>
      <c r="P91" s="9"/>
      <c r="R91" s="9"/>
    </row>
    <row r="92" spans="2:23" ht="12.75" customHeight="1" x14ac:dyDescent="0.25">
      <c r="B92" s="8"/>
      <c r="C92" s="899"/>
      <c r="D92" s="159"/>
      <c r="E92" s="1533" t="str">
        <f>Translations!$B$850</f>
        <v>Fuel input from waste gases includes the corresponding energy input to produce the measurable heat used by this sub-installation.</v>
      </c>
      <c r="F92" s="1512"/>
      <c r="G92" s="1512"/>
      <c r="H92" s="1512"/>
      <c r="I92" s="1512"/>
      <c r="J92" s="1512"/>
      <c r="K92" s="1512"/>
      <c r="L92" s="1512"/>
      <c r="M92" s="1512"/>
      <c r="N92" s="1513"/>
      <c r="O92" s="8"/>
      <c r="P92" s="9"/>
      <c r="R92" s="9"/>
    </row>
    <row r="93" spans="2:23" ht="12.75" customHeight="1" x14ac:dyDescent="0.25">
      <c r="B93" s="8"/>
      <c r="C93" s="899"/>
      <c r="D93" s="159"/>
      <c r="E93" s="1533" t="str">
        <f>Translations!$B$851</f>
        <v>The values entered here are used for the waste gas balance in section E.III.h.</v>
      </c>
      <c r="F93" s="1512"/>
      <c r="G93" s="1512"/>
      <c r="H93" s="1512"/>
      <c r="I93" s="1512"/>
      <c r="J93" s="1512"/>
      <c r="K93" s="1512"/>
      <c r="L93" s="1512"/>
      <c r="M93" s="1512"/>
      <c r="N93" s="1513"/>
      <c r="O93" s="8"/>
      <c r="P93" s="9"/>
      <c r="R93" s="9"/>
    </row>
    <row r="94" spans="2:23" ht="12.75" customHeight="1" x14ac:dyDescent="0.25">
      <c r="B94" s="8"/>
      <c r="C94" s="899"/>
      <c r="D94" s="159"/>
      <c r="E94" s="1535" t="str">
        <f>Translations!$B$730</f>
        <v>Data provided here are only used for consistency checking and have no direct impact on either the attributable emissions or the allocation.</v>
      </c>
      <c r="F94" s="1511"/>
      <c r="G94" s="1511"/>
      <c r="H94" s="1511"/>
      <c r="I94" s="1511"/>
      <c r="J94" s="1511"/>
      <c r="K94" s="1511"/>
      <c r="L94" s="1511"/>
      <c r="M94" s="1511"/>
      <c r="N94" s="1536"/>
      <c r="O94" s="8"/>
      <c r="P94" s="9"/>
      <c r="R94" s="9"/>
    </row>
    <row r="95" spans="2:23" ht="12.75" customHeight="1" x14ac:dyDescent="0.25">
      <c r="B95" s="8"/>
      <c r="C95" s="899"/>
      <c r="D95" s="157"/>
      <c r="E95" s="1522"/>
      <c r="F95" s="1523"/>
      <c r="G95" s="1523"/>
      <c r="H95" s="152" t="str">
        <f>EUconst_Unit</f>
        <v>Unit</v>
      </c>
      <c r="I95" s="153">
        <f>I$559</f>
        <v>2019</v>
      </c>
      <c r="J95" s="153">
        <f>J$559</f>
        <v>2020</v>
      </c>
      <c r="K95" s="153">
        <f>K$559</f>
        <v>2021</v>
      </c>
      <c r="L95" s="153">
        <f>L$559</f>
        <v>2022</v>
      </c>
      <c r="M95" s="153">
        <f>M$559</f>
        <v>2023</v>
      </c>
      <c r="N95" s="158"/>
      <c r="O95" s="8"/>
      <c r="P95" s="9"/>
      <c r="R95" s="9"/>
    </row>
    <row r="96" spans="2:23" ht="12.75" customHeight="1" x14ac:dyDescent="0.25">
      <c r="B96" s="8"/>
      <c r="C96" s="899"/>
      <c r="D96" s="160" t="s">
        <v>206</v>
      </c>
      <c r="E96" s="1528" t="str">
        <f>Translations!$B$852</f>
        <v>Total fuel input</v>
      </c>
      <c r="F96" s="1528"/>
      <c r="G96" s="1528"/>
      <c r="H96" s="154" t="str">
        <f>EUconst_TJpa</f>
        <v>TJ / year</v>
      </c>
      <c r="I96" s="293"/>
      <c r="J96" s="293"/>
      <c r="K96" s="293"/>
      <c r="L96" s="293"/>
      <c r="M96" s="293"/>
      <c r="N96" s="195"/>
      <c r="O96" s="8"/>
      <c r="P96" s="116" t="str">
        <f>EUconst_CNTR_FuelInput &amp; I12</f>
        <v>FuelInput_Heat benchmark sub-installation, CL</v>
      </c>
      <c r="R96" s="9"/>
    </row>
    <row r="97" spans="2:23" ht="12.75" customHeight="1" x14ac:dyDescent="0.25">
      <c r="B97" s="8"/>
      <c r="C97" s="899"/>
      <c r="D97" s="160" t="s">
        <v>208</v>
      </c>
      <c r="E97" s="1523" t="str">
        <f>Translations!$B$732</f>
        <v>Weighted emission factor</v>
      </c>
      <c r="F97" s="1523"/>
      <c r="G97" s="1523"/>
      <c r="H97" s="904" t="str">
        <f>EUconst_tCO2pTJ</f>
        <v>t CO2 / TJ</v>
      </c>
      <c r="I97" s="865"/>
      <c r="J97" s="865"/>
      <c r="K97" s="865"/>
      <c r="L97" s="865"/>
      <c r="M97" s="865"/>
      <c r="N97" s="158"/>
      <c r="O97" s="8"/>
      <c r="P97" s="116" t="str">
        <f>EUconst_CNTR_FuelEF &amp; I12</f>
        <v>FuelEF_Heat benchmark sub-installation, CL</v>
      </c>
      <c r="R97" s="9"/>
    </row>
    <row r="98" spans="2:23" ht="5.0999999999999996" customHeight="1" x14ac:dyDescent="0.25">
      <c r="B98" s="8"/>
      <c r="C98" s="899"/>
      <c r="D98" s="159"/>
      <c r="E98" s="159"/>
      <c r="F98" s="159"/>
      <c r="G98" s="159"/>
      <c r="H98" s="159"/>
      <c r="I98" s="159"/>
      <c r="J98" s="159"/>
      <c r="K98" s="159"/>
      <c r="L98" s="159"/>
      <c r="M98" s="159"/>
      <c r="N98" s="158"/>
      <c r="O98" s="8"/>
      <c r="P98" s="9"/>
      <c r="R98" s="9"/>
    </row>
    <row r="99" spans="2:23" ht="12.75" customHeight="1" x14ac:dyDescent="0.25">
      <c r="B99" s="8"/>
      <c r="C99" s="899"/>
      <c r="D99" s="160" t="s">
        <v>209</v>
      </c>
      <c r="E99" s="1528" t="str">
        <f>Translations!$B$853</f>
        <v>Fuel input from waste gases</v>
      </c>
      <c r="F99" s="1528"/>
      <c r="G99" s="1528"/>
      <c r="H99" s="154" t="str">
        <f>EUconst_TJpa</f>
        <v>TJ / year</v>
      </c>
      <c r="I99" s="293"/>
      <c r="J99" s="293"/>
      <c r="K99" s="293"/>
      <c r="L99" s="293"/>
      <c r="M99" s="293"/>
      <c r="N99" s="158"/>
      <c r="O99" s="8"/>
      <c r="P99" s="626" t="str">
        <f>EUconst_CNTR_WGConsumed &amp; I12</f>
        <v>WasteGasCons_Heat benchmark sub-installation, CL</v>
      </c>
      <c r="R99" s="9"/>
    </row>
    <row r="100" spans="2:23" ht="12.75" customHeight="1" x14ac:dyDescent="0.25">
      <c r="B100" s="8"/>
      <c r="C100" s="899"/>
      <c r="D100" s="160" t="s">
        <v>210</v>
      </c>
      <c r="E100" s="1528" t="str">
        <f>Translations!$B$854</f>
        <v>Specific EF (waste gas)</v>
      </c>
      <c r="F100" s="1528"/>
      <c r="G100" s="1528"/>
      <c r="H100" s="904" t="str">
        <f>EUconst_tCO2pTJ</f>
        <v>t CO2 / TJ</v>
      </c>
      <c r="I100" s="865"/>
      <c r="J100" s="865"/>
      <c r="K100" s="865"/>
      <c r="L100" s="865"/>
      <c r="M100" s="865"/>
      <c r="N100" s="158"/>
      <c r="O100" s="8"/>
      <c r="P100" s="116" t="str">
        <f>EUconst_CNTR_WGConsumedEF &amp; I12</f>
        <v>WasteGasConsEF_Heat benchmark sub-installation, CL</v>
      </c>
      <c r="R100" s="9"/>
    </row>
    <row r="101" spans="2:23" ht="5.0999999999999996" customHeight="1" x14ac:dyDescent="0.25">
      <c r="B101" s="17"/>
      <c r="C101" s="900"/>
      <c r="D101" s="342"/>
      <c r="E101" s="342"/>
      <c r="F101" s="342"/>
      <c r="G101" s="342"/>
      <c r="H101" s="342"/>
      <c r="I101" s="342"/>
      <c r="J101" s="342"/>
      <c r="K101" s="342"/>
      <c r="L101" s="342"/>
      <c r="M101" s="342"/>
      <c r="N101" s="266"/>
      <c r="O101" s="8"/>
      <c r="R101" s="9"/>
      <c r="S101" s="9"/>
    </row>
    <row r="102" spans="2:23" ht="12.75" customHeight="1" x14ac:dyDescent="0.25">
      <c r="B102" s="8"/>
      <c r="C102" s="899"/>
      <c r="D102" s="157" t="s">
        <v>202</v>
      </c>
      <c r="E102" s="1511" t="str">
        <f>Translations!$B$532</f>
        <v>Measurable heat produced</v>
      </c>
      <c r="F102" s="1512"/>
      <c r="G102" s="1512"/>
      <c r="H102" s="1512"/>
      <c r="I102" s="1512"/>
      <c r="J102" s="1512"/>
      <c r="K102" s="1512"/>
      <c r="L102" s="1512"/>
      <c r="M102" s="1512"/>
      <c r="N102" s="1513"/>
      <c r="O102" s="8"/>
      <c r="P102" s="9"/>
      <c r="R102" s="9"/>
      <c r="S102" s="9"/>
    </row>
    <row r="103" spans="2:23" ht="12.75" customHeight="1" x14ac:dyDescent="0.25">
      <c r="B103" s="8"/>
      <c r="C103" s="899"/>
      <c r="D103" s="159"/>
      <c r="E103" s="1552" t="s">
        <v>475</v>
      </c>
      <c r="F103" s="1552"/>
      <c r="G103" s="1552"/>
      <c r="H103" s="1552"/>
      <c r="I103" s="1552"/>
      <c r="J103" s="1552"/>
      <c r="K103" s="1552"/>
      <c r="L103" s="1552"/>
      <c r="M103" s="1552"/>
      <c r="N103" s="1553"/>
      <c r="O103" s="8"/>
      <c r="P103" s="9"/>
      <c r="R103" s="9"/>
    </row>
    <row r="104" spans="2:23" ht="25.5" customHeight="1" x14ac:dyDescent="0.25">
      <c r="B104" s="8"/>
      <c r="C104" s="899"/>
      <c r="D104" s="159"/>
      <c r="E104" s="1552" t="str">
        <f>Translations!$B$856</f>
        <v>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v>
      </c>
      <c r="F104" s="1552"/>
      <c r="G104" s="1552"/>
      <c r="H104" s="1552"/>
      <c r="I104" s="1552"/>
      <c r="J104" s="1552"/>
      <c r="K104" s="1552"/>
      <c r="L104" s="1552"/>
      <c r="M104" s="1552"/>
      <c r="N104" s="1553"/>
      <c r="O104" s="8"/>
      <c r="P104" s="9"/>
      <c r="R104" s="9"/>
      <c r="S104" s="9"/>
      <c r="T104" s="9"/>
      <c r="U104" s="9"/>
      <c r="V104" s="9"/>
      <c r="W104" s="9"/>
    </row>
    <row r="105" spans="2:23" ht="12.75" customHeight="1" x14ac:dyDescent="0.25">
      <c r="B105" s="8"/>
      <c r="C105" s="899"/>
      <c r="D105" s="157"/>
      <c r="E105" s="1522" t="str">
        <f>Translations!$B$532</f>
        <v>Measurable heat produced</v>
      </c>
      <c r="F105" s="1523"/>
      <c r="G105" s="1523"/>
      <c r="H105" s="152" t="str">
        <f>EUconst_Unit</f>
        <v>Unit</v>
      </c>
      <c r="I105" s="153">
        <f>I$559</f>
        <v>2019</v>
      </c>
      <c r="J105" s="153">
        <f>J$559</f>
        <v>2020</v>
      </c>
      <c r="K105" s="153">
        <f>K$559</f>
        <v>2021</v>
      </c>
      <c r="L105" s="153">
        <f>L$559</f>
        <v>2022</v>
      </c>
      <c r="M105" s="153">
        <f>M$559</f>
        <v>2023</v>
      </c>
      <c r="N105" s="158"/>
      <c r="O105" s="8"/>
      <c r="P105" s="9"/>
      <c r="R105" s="9"/>
      <c r="S105" s="9"/>
      <c r="T105" s="9"/>
      <c r="U105" s="9"/>
      <c r="V105" s="9"/>
      <c r="W105" s="9"/>
    </row>
    <row r="106" spans="2:23" ht="12.75" customHeight="1" x14ac:dyDescent="0.25">
      <c r="B106" s="8"/>
      <c r="C106" s="899"/>
      <c r="D106" s="159"/>
      <c r="E106" s="1510" t="str">
        <f>E86</f>
        <v>Heat benchmark sub-installation, CL</v>
      </c>
      <c r="F106" s="1510"/>
      <c r="G106" s="1510"/>
      <c r="H106" s="154" t="str">
        <f>EUconst_TJpa</f>
        <v>TJ / year</v>
      </c>
      <c r="I106" s="231"/>
      <c r="J106" s="231"/>
      <c r="K106" s="231"/>
      <c r="L106" s="231"/>
      <c r="M106" s="231"/>
      <c r="N106" s="158"/>
      <c r="O106" s="8"/>
      <c r="P106" s="116" t="str">
        <f>EUconst_CNTR_HeatProduced &amp; I12</f>
        <v>HeatProd_Heat benchmark sub-installation, CL</v>
      </c>
      <c r="R106" s="9"/>
      <c r="S106" s="9"/>
      <c r="T106" s="9"/>
      <c r="U106" s="9"/>
      <c r="V106" s="9"/>
      <c r="W106" s="9"/>
    </row>
    <row r="107" spans="2:23" ht="5.0999999999999996" customHeight="1" x14ac:dyDescent="0.25">
      <c r="B107" s="8"/>
      <c r="C107" s="899"/>
      <c r="D107" s="159"/>
      <c r="E107" s="159"/>
      <c r="F107" s="159"/>
      <c r="G107" s="159"/>
      <c r="H107" s="159"/>
      <c r="I107" s="159"/>
      <c r="J107" s="159"/>
      <c r="K107" s="159"/>
      <c r="L107" s="159"/>
      <c r="M107" s="159"/>
      <c r="N107" s="158"/>
      <c r="O107" s="8"/>
      <c r="P107" s="9"/>
      <c r="R107" s="9"/>
    </row>
    <row r="108" spans="2:23" ht="12.75" customHeight="1" x14ac:dyDescent="0.25">
      <c r="B108" s="8"/>
      <c r="C108" s="899"/>
      <c r="D108" s="157" t="s">
        <v>199</v>
      </c>
      <c r="E108" s="1511" t="str">
        <f>Translations!$B$857</f>
        <v>Measurable heat imported</v>
      </c>
      <c r="F108" s="1512"/>
      <c r="G108" s="1512"/>
      <c r="H108" s="1512"/>
      <c r="I108" s="1512"/>
      <c r="J108" s="1512"/>
      <c r="K108" s="1512"/>
      <c r="L108" s="1512"/>
      <c r="M108" s="1512"/>
      <c r="N108" s="1513"/>
      <c r="O108" s="8"/>
      <c r="P108" s="9"/>
      <c r="R108" s="9"/>
    </row>
    <row r="109" spans="2:23" ht="12.75" customHeight="1" x14ac:dyDescent="0.25">
      <c r="B109" s="8"/>
      <c r="C109" s="899"/>
      <c r="D109" s="157"/>
      <c r="E109" s="1535" t="s">
        <v>425</v>
      </c>
      <c r="F109" s="1511"/>
      <c r="G109" s="1511"/>
      <c r="H109" s="1511"/>
      <c r="I109" s="1511"/>
      <c r="J109" s="1511"/>
      <c r="K109" s="1511"/>
      <c r="L109" s="1511"/>
      <c r="M109" s="1511"/>
      <c r="N109" s="1536"/>
      <c r="O109" s="8"/>
      <c r="P109" s="9"/>
      <c r="R109" s="9"/>
    </row>
    <row r="110" spans="2:23" ht="12.75" customHeight="1" x14ac:dyDescent="0.25">
      <c r="B110" s="8"/>
      <c r="C110" s="899"/>
      <c r="D110" s="159"/>
      <c r="E110" s="1533" t="str">
        <f>Translations!$B$858</f>
        <v>Please enter below the amount of measurable heat imported from each of the following sources:</v>
      </c>
      <c r="F110" s="1512"/>
      <c r="G110" s="1512"/>
      <c r="H110" s="1512"/>
      <c r="I110" s="1512"/>
      <c r="J110" s="1512"/>
      <c r="K110" s="1512"/>
      <c r="L110" s="1512"/>
      <c r="M110" s="1512"/>
      <c r="N110" s="1513"/>
      <c r="O110" s="8"/>
      <c r="P110" s="9"/>
      <c r="R110" s="9"/>
    </row>
    <row r="111" spans="2:23" ht="38.85" customHeight="1" x14ac:dyDescent="0.25">
      <c r="B111" s="8"/>
      <c r="C111" s="899"/>
      <c r="D111" s="159"/>
      <c r="E111" s="901" t="s">
        <v>214</v>
      </c>
      <c r="F111" s="1533" t="str">
        <f>Translations!$B$859</f>
        <v>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v>
      </c>
      <c r="G111" s="1512"/>
      <c r="H111" s="1512"/>
      <c r="I111" s="1512"/>
      <c r="J111" s="1512"/>
      <c r="K111" s="1512"/>
      <c r="L111" s="1512"/>
      <c r="M111" s="1512"/>
      <c r="N111" s="1513"/>
      <c r="O111" s="8"/>
      <c r="P111" s="9"/>
      <c r="R111" s="9"/>
    </row>
    <row r="112" spans="2:23" ht="25.5" customHeight="1" x14ac:dyDescent="0.25">
      <c r="B112" s="8"/>
      <c r="C112" s="899"/>
      <c r="D112" s="159"/>
      <c r="E112" s="901" t="s">
        <v>214</v>
      </c>
      <c r="F112" s="1533" t="str">
        <f>Translations!$B$860</f>
        <v>Heat from product BM: this includes measurable heat exported from product BM sub-installations with the exception of measurable heat from sub-installations producing pulp production or nitric acid.</v>
      </c>
      <c r="G112" s="1512"/>
      <c r="H112" s="1512"/>
      <c r="I112" s="1512"/>
      <c r="J112" s="1512"/>
      <c r="K112" s="1512"/>
      <c r="L112" s="1512"/>
      <c r="M112" s="1512"/>
      <c r="N112" s="1513"/>
      <c r="O112" s="8"/>
      <c r="P112" s="9"/>
      <c r="R112" s="9"/>
    </row>
    <row r="113" spans="2:23" ht="12.75" customHeight="1" x14ac:dyDescent="0.25">
      <c r="B113" s="8"/>
      <c r="C113" s="899"/>
      <c r="D113" s="159"/>
      <c r="E113" s="901" t="s">
        <v>214</v>
      </c>
      <c r="F113" s="1533" t="str">
        <f>Translations!$B$861</f>
        <v>Heat from pulp: this includes heat imported from sub-installations producing pulp.</v>
      </c>
      <c r="G113" s="1512"/>
      <c r="H113" s="1512"/>
      <c r="I113" s="1512"/>
      <c r="J113" s="1512"/>
      <c r="K113" s="1512"/>
      <c r="L113" s="1512"/>
      <c r="M113" s="1512"/>
      <c r="N113" s="1513"/>
      <c r="O113" s="8"/>
      <c r="P113" s="9"/>
      <c r="R113" s="9"/>
    </row>
    <row r="114" spans="2:23" ht="12.75" customHeight="1" x14ac:dyDescent="0.25">
      <c r="B114" s="8"/>
      <c r="C114" s="899"/>
      <c r="D114" s="159"/>
      <c r="E114" s="901" t="s">
        <v>214</v>
      </c>
      <c r="F114" s="1533" t="str">
        <f>Translations!$B$862</f>
        <v>Heat from fuel BM: this includes measurable heat recovered from waste heat from fuel BM sub-installations.</v>
      </c>
      <c r="G114" s="1512"/>
      <c r="H114" s="1512"/>
      <c r="I114" s="1512"/>
      <c r="J114" s="1512"/>
      <c r="K114" s="1512"/>
      <c r="L114" s="1512"/>
      <c r="M114" s="1512"/>
      <c r="N114" s="1513"/>
      <c r="O114" s="8"/>
      <c r="P114" s="9"/>
      <c r="R114" s="9"/>
    </row>
    <row r="115" spans="2:23" ht="12.75" customHeight="1" x14ac:dyDescent="0.25">
      <c r="B115" s="8"/>
      <c r="C115" s="899"/>
      <c r="D115" s="159"/>
      <c r="E115" s="901" t="s">
        <v>214</v>
      </c>
      <c r="F115" s="1533" t="str">
        <f>Translations!$B$863</f>
        <v>Heat from waste gases: this includes measurable heat which is produced from waste gases.</v>
      </c>
      <c r="G115" s="1512"/>
      <c r="H115" s="1512"/>
      <c r="I115" s="1512"/>
      <c r="J115" s="1512"/>
      <c r="K115" s="1512"/>
      <c r="L115" s="1512"/>
      <c r="M115" s="1512"/>
      <c r="N115" s="1513"/>
      <c r="O115" s="8"/>
      <c r="P115" s="9"/>
      <c r="R115" s="9"/>
    </row>
    <row r="116" spans="2:23" ht="12.75" customHeight="1" x14ac:dyDescent="0.25">
      <c r="B116" s="8"/>
      <c r="C116" s="899"/>
      <c r="D116" s="159"/>
      <c r="E116" s="1552" t="s">
        <v>476</v>
      </c>
      <c r="F116" s="1195"/>
      <c r="G116" s="1195"/>
      <c r="H116" s="1195"/>
      <c r="I116" s="1195"/>
      <c r="J116" s="1195"/>
      <c r="K116" s="1195"/>
      <c r="L116" s="1195"/>
      <c r="M116" s="1195"/>
      <c r="N116" s="1590"/>
      <c r="O116" s="8"/>
      <c r="P116" s="9"/>
      <c r="R116" s="9"/>
    </row>
    <row r="117" spans="2:23" ht="12.75" customHeight="1" x14ac:dyDescent="0.25">
      <c r="B117" s="8"/>
      <c r="C117" s="899"/>
      <c r="D117" s="159"/>
      <c r="E117" s="1533" t="str">
        <f>Translations!$B$865</f>
        <v>The specific emission factors (EF) associated with the heat should take into account the provisions in FAR Annex VII sections 8 and 10, in particular sections 10.1.2 and 10.1.3 thereof.</v>
      </c>
      <c r="F117" s="1512"/>
      <c r="G117" s="1512"/>
      <c r="H117" s="1512"/>
      <c r="I117" s="1512"/>
      <c r="J117" s="1512"/>
      <c r="K117" s="1512"/>
      <c r="L117" s="1512"/>
      <c r="M117" s="1512"/>
      <c r="N117" s="1513"/>
      <c r="O117" s="8"/>
      <c r="P117" s="9"/>
      <c r="R117" s="9"/>
    </row>
    <row r="118" spans="2:23" ht="12.75" customHeight="1" x14ac:dyDescent="0.25">
      <c r="B118" s="8"/>
      <c r="C118" s="899"/>
      <c r="D118" s="159"/>
      <c r="E118" s="1477" t="str">
        <f>Translations!$B$819</f>
        <v>For attributing emissions from cogeneration (CHP) to production of heat, the "CHP tool" in section D.III. has to be used.</v>
      </c>
      <c r="F118" s="1477"/>
      <c r="G118" s="1477"/>
      <c r="H118" s="1477"/>
      <c r="I118" s="1477"/>
      <c r="J118" s="1477"/>
      <c r="K118" s="1477"/>
      <c r="L118" s="1477"/>
      <c r="M118" s="1477"/>
      <c r="N118" s="903"/>
      <c r="O118" s="8"/>
      <c r="P118" s="9"/>
    </row>
    <row r="119" spans="2:23" ht="12.75" customHeight="1" x14ac:dyDescent="0.25">
      <c r="B119" s="8"/>
      <c r="C119" s="899"/>
      <c r="D119" s="159"/>
      <c r="E119" s="1522" t="str">
        <f>Translations!$B$866</f>
        <v>Net heat imported (other sources)</v>
      </c>
      <c r="F119" s="1523"/>
      <c r="G119" s="1523"/>
      <c r="H119" s="152" t="str">
        <f>EUconst_Unit</f>
        <v>Unit</v>
      </c>
      <c r="I119" s="153">
        <f>I$559</f>
        <v>2019</v>
      </c>
      <c r="J119" s="153">
        <f>J$559</f>
        <v>2020</v>
      </c>
      <c r="K119" s="153">
        <f>K$559</f>
        <v>2021</v>
      </c>
      <c r="L119" s="153">
        <f>L$559</f>
        <v>2022</v>
      </c>
      <c r="M119" s="153">
        <f>M$559</f>
        <v>2023</v>
      </c>
      <c r="N119" s="903"/>
      <c r="O119" s="8"/>
      <c r="P119" s="9"/>
      <c r="R119" s="9"/>
      <c r="S119" s="28">
        <f>I119</f>
        <v>2019</v>
      </c>
      <c r="T119" s="28">
        <f>J119</f>
        <v>2020</v>
      </c>
      <c r="U119" s="28">
        <f>K119</f>
        <v>2021</v>
      </c>
      <c r="V119" s="28">
        <f>L119</f>
        <v>2022</v>
      </c>
      <c r="W119" s="28">
        <f>M119</f>
        <v>2023</v>
      </c>
    </row>
    <row r="120" spans="2:23" ht="12.75" customHeight="1" x14ac:dyDescent="0.25">
      <c r="B120" s="8"/>
      <c r="C120" s="899"/>
      <c r="D120" s="160" t="s">
        <v>206</v>
      </c>
      <c r="E120" s="1528" t="str">
        <f>Translations!$B$764</f>
        <v>Net heat imported</v>
      </c>
      <c r="F120" s="1528"/>
      <c r="G120" s="1528"/>
      <c r="H120" s="154" t="str">
        <f>EUconst_TJpa</f>
        <v>TJ / year</v>
      </c>
      <c r="I120" s="311"/>
      <c r="J120" s="311"/>
      <c r="K120" s="311"/>
      <c r="L120" s="311"/>
      <c r="M120" s="311"/>
      <c r="N120" s="195"/>
      <c r="O120" s="8"/>
      <c r="P120" s="116" t="str">
        <f>EUconst_CNTR_HeatImport &amp; I12</f>
        <v>HeatIm_Heat benchmark sub-installation, CL</v>
      </c>
      <c r="R120" s="373" t="str">
        <f>EUconst_ERR_AttrEmBMapplied &amp; $I12</f>
        <v>ERR_AttrEmBM_Heat benchmark sub-installation, CL</v>
      </c>
      <c r="S120" s="63">
        <f>IF(AND(I120&lt;&gt;0,I121="",EUconst_StatusOfDataCollection=FALSE),1,0)</f>
        <v>0</v>
      </c>
      <c r="T120" s="63">
        <f>IF(AND(J120&lt;&gt;0,J121="",EUconst_StatusOfDataCollection=FALSE),1,0)</f>
        <v>0</v>
      </c>
      <c r="U120" s="63">
        <f>IF(AND(K120&lt;&gt;0,K121="",EUconst_StatusOfDataCollection=FALSE),1,0)</f>
        <v>0</v>
      </c>
      <c r="V120" s="63">
        <f>IF(AND(L120&lt;&gt;0,L121="",EUconst_StatusOfDataCollection=FALSE),1,0)</f>
        <v>0</v>
      </c>
      <c r="W120" s="63">
        <f>IF(AND(M120&lt;&gt;0,M121="",EUconst_StatusOfDataCollection=FALSE),1,0)</f>
        <v>0</v>
      </c>
    </row>
    <row r="121" spans="2:23" ht="12.75" customHeight="1" x14ac:dyDescent="0.25">
      <c r="B121" s="8"/>
      <c r="C121" s="899"/>
      <c r="D121" s="160" t="s">
        <v>208</v>
      </c>
      <c r="E121" s="1528" t="str">
        <f>Translations!$B$765</f>
        <v>Specific EF (imported heat)</v>
      </c>
      <c r="F121" s="1528"/>
      <c r="G121" s="1528"/>
      <c r="H121" s="154" t="str">
        <f>EUconst_tCO2pTJ</f>
        <v>t CO2 / TJ</v>
      </c>
      <c r="I121" s="1065"/>
      <c r="J121" s="1065"/>
      <c r="K121" s="1065"/>
      <c r="L121" s="1065"/>
      <c r="M121" s="1065"/>
      <c r="N121" s="158"/>
      <c r="O121" s="8"/>
      <c r="P121" s="116" t="str">
        <f>EUconst_CNTR_HeatImportEF &amp; I12</f>
        <v>HeatImEF_Heat benchmark sub-installation, CL</v>
      </c>
      <c r="R121" s="374" t="str">
        <f>EUconst_CNTR_AttributedEmissions &amp; $I12</f>
        <v>AttrEmissions_Heat benchmark sub-installation, CL</v>
      </c>
      <c r="S121" s="63" t="str">
        <f>IF(S12,SUM(I120)*IF(ISNUMBER(I121),I121,EUconst_HeatBMvalueForBM),"")</f>
        <v/>
      </c>
      <c r="T121" s="63" t="str">
        <f>IF(T12,SUM(J120)*IF(ISNUMBER(J121),J121,EUconst_HeatBMvalueForBM),"")</f>
        <v/>
      </c>
      <c r="U121" s="63" t="str">
        <f>IF(U12,SUM(K120)*IF(ISNUMBER(K121),K121,EUconst_HeatBMvalueForBM),"")</f>
        <v/>
      </c>
      <c r="V121" s="63" t="str">
        <f>IF(V12,SUM(L120)*IF(ISNUMBER(L121),L121,EUconst_HeatBMvalueForBM),"")</f>
        <v/>
      </c>
      <c r="W121" s="63" t="str">
        <f>IF(W12,SUM(M120)*IF(ISNUMBER(M121),M121,EUconst_HeatBMvalueForBM),"")</f>
        <v/>
      </c>
    </row>
    <row r="122" spans="2:23" ht="5.0999999999999996" customHeight="1" x14ac:dyDescent="0.25">
      <c r="B122" s="8"/>
      <c r="C122" s="899"/>
      <c r="D122" s="159"/>
      <c r="E122" s="159"/>
      <c r="F122" s="159"/>
      <c r="G122" s="159"/>
      <c r="H122" s="159"/>
      <c r="I122" s="159"/>
      <c r="J122" s="159"/>
      <c r="K122" s="159"/>
      <c r="L122" s="159"/>
      <c r="M122" s="159"/>
      <c r="N122" s="158"/>
      <c r="O122" s="8"/>
      <c r="P122" s="9"/>
      <c r="R122" s="9"/>
      <c r="S122" s="9"/>
    </row>
    <row r="123" spans="2:23" ht="12.75" customHeight="1" x14ac:dyDescent="0.25">
      <c r="B123" s="8"/>
      <c r="C123" s="899"/>
      <c r="D123" s="159"/>
      <c r="E123" s="1522" t="str">
        <f>Translations!$B$867</f>
        <v>Heat from product BM</v>
      </c>
      <c r="F123" s="1523"/>
      <c r="G123" s="1523"/>
      <c r="H123" s="152" t="str">
        <f>EUconst_Unit</f>
        <v>Unit</v>
      </c>
      <c r="I123" s="153">
        <f>I$559</f>
        <v>2019</v>
      </c>
      <c r="J123" s="153">
        <f>J$559</f>
        <v>2020</v>
      </c>
      <c r="K123" s="153">
        <f>K$559</f>
        <v>2021</v>
      </c>
      <c r="L123" s="153">
        <f>L$559</f>
        <v>2022</v>
      </c>
      <c r="M123" s="153">
        <f>M$559</f>
        <v>2023</v>
      </c>
      <c r="N123" s="903"/>
      <c r="O123" s="8"/>
      <c r="P123" s="9"/>
      <c r="R123" s="9"/>
      <c r="S123" s="28">
        <f>I123</f>
        <v>2019</v>
      </c>
      <c r="T123" s="28">
        <f>J123</f>
        <v>2020</v>
      </c>
      <c r="U123" s="28">
        <f>K123</f>
        <v>2021</v>
      </c>
      <c r="V123" s="28">
        <f>L123</f>
        <v>2022</v>
      </c>
      <c r="W123" s="28">
        <f>M123</f>
        <v>2023</v>
      </c>
    </row>
    <row r="124" spans="2:23" ht="12.75" customHeight="1" x14ac:dyDescent="0.25">
      <c r="B124" s="8"/>
      <c r="C124" s="899"/>
      <c r="D124" s="160" t="s">
        <v>210</v>
      </c>
      <c r="E124" s="1528" t="str">
        <f>Translations!$B$764</f>
        <v>Net heat imported</v>
      </c>
      <c r="F124" s="1528"/>
      <c r="G124" s="1528"/>
      <c r="H124" s="154" t="str">
        <f>EUconst_TJpa</f>
        <v>TJ / year</v>
      </c>
      <c r="I124" s="311"/>
      <c r="J124" s="311"/>
      <c r="K124" s="311"/>
      <c r="L124" s="311"/>
      <c r="M124" s="311"/>
      <c r="N124" s="195"/>
      <c r="O124" s="8"/>
      <c r="P124" s="116" t="str">
        <f>EUconst_CNTR_HeatImportProduct &amp; I12</f>
        <v>HeatImProd_Heat benchmark sub-installation, CL</v>
      </c>
      <c r="R124" s="373" t="str">
        <f>EUconst_ERR_AttrEmBMapplied &amp; $I12</f>
        <v>ERR_AttrEmBM_Heat benchmark sub-installation, CL</v>
      </c>
      <c r="S124" s="63">
        <f>IF(AND(I124&lt;&gt;0,I125="",EUconst_StatusOfDataCollection=FALSE),1,0)</f>
        <v>0</v>
      </c>
      <c r="T124" s="63">
        <f>IF(AND(J124&lt;&gt;0,J125="",EUconst_StatusOfDataCollection=FALSE),1,0)</f>
        <v>0</v>
      </c>
      <c r="U124" s="63">
        <f>IF(AND(K124&lt;&gt;0,K125="",EUconst_StatusOfDataCollection=FALSE),1,0)</f>
        <v>0</v>
      </c>
      <c r="V124" s="63">
        <f>IF(AND(L124&lt;&gt;0,L125="",EUconst_StatusOfDataCollection=FALSE),1,0)</f>
        <v>0</v>
      </c>
      <c r="W124" s="63">
        <f>IF(AND(M124&lt;&gt;0,M125="",EUconst_StatusOfDataCollection=FALSE),1,0)</f>
        <v>0</v>
      </c>
    </row>
    <row r="125" spans="2:23" ht="12.75" customHeight="1" x14ac:dyDescent="0.25">
      <c r="B125" s="8"/>
      <c r="C125" s="899"/>
      <c r="D125" s="160" t="s">
        <v>220</v>
      </c>
      <c r="E125" s="1528" t="str">
        <f>Translations!$B$868</f>
        <v>Specific EF (from product BM)</v>
      </c>
      <c r="F125" s="1528"/>
      <c r="G125" s="1528"/>
      <c r="H125" s="154" t="str">
        <f>EUconst_tCO2pTJ</f>
        <v>t CO2 / TJ</v>
      </c>
      <c r="I125" s="1065"/>
      <c r="J125" s="1065"/>
      <c r="K125" s="1065"/>
      <c r="L125" s="1065"/>
      <c r="M125" s="1065"/>
      <c r="N125" s="158"/>
      <c r="O125" s="8"/>
      <c r="P125" s="116" t="str">
        <f>EUconst_CNTR_HeatImportProductEF &amp; I12</f>
        <v>HeatImProdEF_Heat benchmark sub-installation, CL</v>
      </c>
      <c r="R125" s="374" t="str">
        <f>EUconst_CNTR_AttributedEmissions &amp; $I12</f>
        <v>AttrEmissions_Heat benchmark sub-installation, CL</v>
      </c>
      <c r="S125" s="63" t="str">
        <f>IF(S12,SUM(I124)*IF(ISNUMBER(I125),I125,EUconst_HeatBMvalueForBM),"")</f>
        <v/>
      </c>
      <c r="T125" s="63" t="str">
        <f>IF(T12,SUM(J124)*IF(ISNUMBER(J125),J125,EUconst_HeatBMvalueForBM),"")</f>
        <v/>
      </c>
      <c r="U125" s="63" t="str">
        <f>IF(U12,SUM(K124)*IF(ISNUMBER(K125),K125,EUconst_HeatBMvalueForBM),"")</f>
        <v/>
      </c>
      <c r="V125" s="63" t="str">
        <f>IF(V12,SUM(L124)*IF(ISNUMBER(L125),L125,EUconst_HeatBMvalueForBM),"")</f>
        <v/>
      </c>
      <c r="W125" s="63" t="str">
        <f>IF(W12,SUM(M124)*IF(ISNUMBER(M125),M125,EUconst_HeatBMvalueForBM),"")</f>
        <v/>
      </c>
    </row>
    <row r="126" spans="2:23" ht="5.0999999999999996" customHeight="1" x14ac:dyDescent="0.25">
      <c r="B126" s="8"/>
      <c r="C126" s="899"/>
      <c r="D126" s="159"/>
      <c r="E126" s="159"/>
      <c r="F126" s="159"/>
      <c r="G126" s="159"/>
      <c r="H126" s="159"/>
      <c r="I126" s="159"/>
      <c r="J126" s="159"/>
      <c r="K126" s="159"/>
      <c r="L126" s="159"/>
      <c r="M126" s="159"/>
      <c r="N126" s="158"/>
      <c r="O126" s="8"/>
      <c r="P126" s="9"/>
      <c r="R126" s="9"/>
      <c r="S126" s="9"/>
    </row>
    <row r="127" spans="2:23" ht="12.75" customHeight="1" x14ac:dyDescent="0.25">
      <c r="B127" s="8"/>
      <c r="C127" s="899"/>
      <c r="D127" s="159"/>
      <c r="E127" s="1522" t="str">
        <f>Translations!$B$869</f>
        <v>Heat from pulp</v>
      </c>
      <c r="F127" s="1523"/>
      <c r="G127" s="1523"/>
      <c r="H127" s="152" t="str">
        <f>EUconst_Unit</f>
        <v>Unit</v>
      </c>
      <c r="I127" s="153">
        <f>I$559</f>
        <v>2019</v>
      </c>
      <c r="J127" s="153">
        <f>J$559</f>
        <v>2020</v>
      </c>
      <c r="K127" s="153">
        <f>K$559</f>
        <v>2021</v>
      </c>
      <c r="L127" s="153">
        <f>L$559</f>
        <v>2022</v>
      </c>
      <c r="M127" s="153">
        <f>M$559</f>
        <v>2023</v>
      </c>
      <c r="N127" s="903"/>
      <c r="O127" s="8"/>
      <c r="P127" s="9"/>
      <c r="R127" s="9"/>
      <c r="S127" s="28">
        <f>I127</f>
        <v>2019</v>
      </c>
      <c r="T127" s="28">
        <f>J127</f>
        <v>2020</v>
      </c>
      <c r="U127" s="28">
        <f>K127</f>
        <v>2021</v>
      </c>
      <c r="V127" s="28">
        <f>L127</f>
        <v>2022</v>
      </c>
      <c r="W127" s="28">
        <f>M127</f>
        <v>2023</v>
      </c>
    </row>
    <row r="128" spans="2:23" ht="12.75" customHeight="1" x14ac:dyDescent="0.25">
      <c r="B128" s="8"/>
      <c r="C128" s="899"/>
      <c r="D128" s="160" t="s">
        <v>222</v>
      </c>
      <c r="E128" s="1528" t="str">
        <f>Translations!$B$764</f>
        <v>Net heat imported</v>
      </c>
      <c r="F128" s="1528"/>
      <c r="G128" s="1528"/>
      <c r="H128" s="154" t="str">
        <f>EUconst_TJpa</f>
        <v>TJ / year</v>
      </c>
      <c r="I128" s="311"/>
      <c r="J128" s="311"/>
      <c r="K128" s="311"/>
      <c r="L128" s="311"/>
      <c r="M128" s="311"/>
      <c r="N128" s="195"/>
      <c r="O128" s="8"/>
      <c r="P128" s="116" t="str">
        <f>EUconst_CNTR_HeatImportPulp &amp; I12</f>
        <v>HeatImPulp_Heat benchmark sub-installation, CL</v>
      </c>
      <c r="R128" s="373" t="str">
        <f>EUconst_ERR_AttrEmBMapplied &amp; $I12</f>
        <v>ERR_AttrEmBM_Heat benchmark sub-installation, CL</v>
      </c>
      <c r="S128" s="63">
        <f>IF(AND(I128&lt;&gt;0,I129="",EUconst_StatusOfDataCollection=FALSE),1,0)</f>
        <v>0</v>
      </c>
      <c r="T128" s="63">
        <f>IF(AND(J128&lt;&gt;0,J129="",EUconst_StatusOfDataCollection=FALSE),1,0)</f>
        <v>0</v>
      </c>
      <c r="U128" s="63">
        <f>IF(AND(K128&lt;&gt;0,K129="",EUconst_StatusOfDataCollection=FALSE),1,0)</f>
        <v>0</v>
      </c>
      <c r="V128" s="63">
        <f>IF(AND(L128&lt;&gt;0,L129="",EUconst_StatusOfDataCollection=FALSE),1,0)</f>
        <v>0</v>
      </c>
      <c r="W128" s="63">
        <f>IF(AND(M128&lt;&gt;0,M129="",EUconst_StatusOfDataCollection=FALSE),1,0)</f>
        <v>0</v>
      </c>
    </row>
    <row r="129" spans="2:29" ht="12.75" customHeight="1" x14ac:dyDescent="0.25">
      <c r="B129" s="8"/>
      <c r="C129" s="899"/>
      <c r="D129" s="160" t="s">
        <v>223</v>
      </c>
      <c r="E129" s="1528" t="str">
        <f>Translations!$B$870</f>
        <v>Specific EF (from pulp)</v>
      </c>
      <c r="F129" s="1528"/>
      <c r="G129" s="1528"/>
      <c r="H129" s="154" t="str">
        <f>EUconst_tCO2pTJ</f>
        <v>t CO2 / TJ</v>
      </c>
      <c r="I129" s="1065"/>
      <c r="J129" s="1065"/>
      <c r="K129" s="1065"/>
      <c r="L129" s="1065"/>
      <c r="M129" s="1065"/>
      <c r="N129" s="158"/>
      <c r="O129" s="8"/>
      <c r="P129" s="116" t="str">
        <f>EUconst_CNTR_HeatImportPulpEF &amp; I12</f>
        <v>HeatImPulpEF_Heat benchmark sub-installation, CL</v>
      </c>
      <c r="R129" s="374" t="str">
        <f>EUconst_CNTR_AttributedEmissions &amp; $I12</f>
        <v>AttrEmissions_Heat benchmark sub-installation, CL</v>
      </c>
      <c r="S129" s="63" t="str">
        <f>IF(S12,SUM(I128)*IF(ISNUMBER(I129),I129,EUconst_HeatBMvalueForBM),"")</f>
        <v/>
      </c>
      <c r="T129" s="63" t="str">
        <f>IF(T12,SUM(J128)*IF(ISNUMBER(J129),J129,EUconst_HeatBMvalueForBM),"")</f>
        <v/>
      </c>
      <c r="U129" s="63" t="str">
        <f>IF(U12,SUM(K128)*IF(ISNUMBER(K129),K129,EUconst_HeatBMvalueForBM),"")</f>
        <v/>
      </c>
      <c r="V129" s="63" t="str">
        <f>IF(V12,SUM(L128)*IF(ISNUMBER(L129),L129,EUconst_HeatBMvalueForBM),"")</f>
        <v/>
      </c>
      <c r="W129" s="63" t="str">
        <f>IF(W12,SUM(M128)*IF(ISNUMBER(M129),M129,EUconst_HeatBMvalueForBM),"")</f>
        <v/>
      </c>
    </row>
    <row r="130" spans="2:29" ht="5.0999999999999996" customHeight="1" x14ac:dyDescent="0.25">
      <c r="B130" s="8"/>
      <c r="C130" s="899"/>
      <c r="D130" s="159"/>
      <c r="E130" s="159"/>
      <c r="F130" s="159"/>
      <c r="G130" s="159"/>
      <c r="H130" s="159"/>
      <c r="I130" s="159"/>
      <c r="J130" s="159"/>
      <c r="K130" s="159"/>
      <c r="L130" s="159"/>
      <c r="M130" s="159"/>
      <c r="N130" s="158"/>
      <c r="O130" s="8"/>
      <c r="P130" s="9"/>
      <c r="R130" s="9"/>
      <c r="S130" s="9"/>
    </row>
    <row r="131" spans="2:29" ht="12.75" customHeight="1" x14ac:dyDescent="0.25">
      <c r="B131" s="8"/>
      <c r="C131" s="899"/>
      <c r="D131" s="159"/>
      <c r="E131" s="1522" t="str">
        <f>Translations!$B$871</f>
        <v>Heat from fuel BM</v>
      </c>
      <c r="F131" s="1523"/>
      <c r="G131" s="1523"/>
      <c r="H131" s="152" t="str">
        <f>EUconst_Unit</f>
        <v>Unit</v>
      </c>
      <c r="I131" s="153">
        <f>I$559</f>
        <v>2019</v>
      </c>
      <c r="J131" s="153">
        <f>J$559</f>
        <v>2020</v>
      </c>
      <c r="K131" s="153">
        <f>K$559</f>
        <v>2021</v>
      </c>
      <c r="L131" s="153">
        <f>L$559</f>
        <v>2022</v>
      </c>
      <c r="M131" s="153">
        <f>M$559</f>
        <v>2023</v>
      </c>
      <c r="N131" s="903"/>
      <c r="O131" s="8"/>
      <c r="P131" s="9"/>
      <c r="R131" s="9"/>
      <c r="S131" s="28">
        <f>I131</f>
        <v>2019</v>
      </c>
      <c r="T131" s="28">
        <f>J131</f>
        <v>2020</v>
      </c>
      <c r="U131" s="28">
        <f>K131</f>
        <v>2021</v>
      </c>
      <c r="V131" s="28">
        <f>L131</f>
        <v>2022</v>
      </c>
      <c r="W131" s="28">
        <f>M131</f>
        <v>2023</v>
      </c>
    </row>
    <row r="132" spans="2:29" ht="12.75" customHeight="1" x14ac:dyDescent="0.25">
      <c r="B132" s="8"/>
      <c r="C132" s="899"/>
      <c r="D132" s="160" t="s">
        <v>345</v>
      </c>
      <c r="E132" s="1528" t="str">
        <f>Translations!$B$764</f>
        <v>Net heat imported</v>
      </c>
      <c r="F132" s="1528"/>
      <c r="G132" s="1528"/>
      <c r="H132" s="154" t="str">
        <f>EUconst_TJpa</f>
        <v>TJ / year</v>
      </c>
      <c r="I132" s="311"/>
      <c r="J132" s="311"/>
      <c r="K132" s="311"/>
      <c r="L132" s="311"/>
      <c r="M132" s="311"/>
      <c r="N132" s="195"/>
      <c r="O132" s="8"/>
      <c r="P132" s="116" t="str">
        <f>EUconst_CNTR_HeatImportFuel &amp; I12</f>
        <v>HeatImFuel_Heat benchmark sub-installation, CL</v>
      </c>
      <c r="R132" s="373" t="str">
        <f>EUconst_ERR_AttrEmBMapplied &amp; $I12</f>
        <v>ERR_AttrEmBM_Heat benchmark sub-installation, CL</v>
      </c>
      <c r="S132" s="63">
        <f>IF(AND(I132&lt;&gt;0,I133="",EUconst_StatusOfDataCollection=FALSE),1,0)</f>
        <v>0</v>
      </c>
      <c r="T132" s="63">
        <f>IF(AND(J132&lt;&gt;0,J133="",EUconst_StatusOfDataCollection=FALSE),1,0)</f>
        <v>0</v>
      </c>
      <c r="U132" s="63">
        <f>IF(AND(K132&lt;&gt;0,K133="",EUconst_StatusOfDataCollection=FALSE),1,0)</f>
        <v>0</v>
      </c>
      <c r="V132" s="63">
        <f>IF(AND(L132&lt;&gt;0,L133="",EUconst_StatusOfDataCollection=FALSE),1,0)</f>
        <v>0</v>
      </c>
      <c r="W132" s="63">
        <f>IF(AND(M132&lt;&gt;0,M133="",EUconst_StatusOfDataCollection=FALSE),1,0)</f>
        <v>0</v>
      </c>
    </row>
    <row r="133" spans="2:29" ht="12.75" customHeight="1" x14ac:dyDescent="0.25">
      <c r="B133" s="8"/>
      <c r="C133" s="899"/>
      <c r="D133" s="160" t="s">
        <v>346</v>
      </c>
      <c r="E133" s="1528" t="str">
        <f>Translations!$B$872</f>
        <v>Specific EF (from fuelBM)</v>
      </c>
      <c r="F133" s="1528"/>
      <c r="G133" s="1528"/>
      <c r="H133" s="154" t="str">
        <f>EUconst_tCO2pTJ</f>
        <v>t CO2 / TJ</v>
      </c>
      <c r="I133" s="1065"/>
      <c r="J133" s="1065"/>
      <c r="K133" s="1065"/>
      <c r="L133" s="1065"/>
      <c r="M133" s="1065"/>
      <c r="N133" s="158"/>
      <c r="O133" s="8"/>
      <c r="P133" s="116" t="str">
        <f>EUconst_CNTR_HeatImportFuelEF &amp; I12</f>
        <v>HeatImFuelEF_Heat benchmark sub-installation, CL</v>
      </c>
      <c r="R133" s="374" t="str">
        <f>EUconst_CNTR_AttributedEmissions &amp; $I12</f>
        <v>AttrEmissions_Heat benchmark sub-installation, CL</v>
      </c>
      <c r="S133" s="63" t="str">
        <f>IF(S12,SUM(I132)*IF(ISNUMBER(I133),I133,EUconst_HeatBMvalueForBM),"")</f>
        <v/>
      </c>
      <c r="T133" s="63" t="str">
        <f>IF(T12,SUM(J132)*IF(ISNUMBER(J133),J133,EUconst_HeatBMvalueForBM),"")</f>
        <v/>
      </c>
      <c r="U133" s="63" t="str">
        <f>IF(U12,SUM(K132)*IF(ISNUMBER(K133),K133,EUconst_HeatBMvalueForBM),"")</f>
        <v/>
      </c>
      <c r="V133" s="63" t="str">
        <f>IF(V12,SUM(L132)*IF(ISNUMBER(L133),L133,EUconst_HeatBMvalueForBM),"")</f>
        <v/>
      </c>
      <c r="W133" s="63" t="str">
        <f>IF(W12,SUM(M132)*IF(ISNUMBER(M133),M133,EUconst_HeatBMvalueForBM),"")</f>
        <v/>
      </c>
    </row>
    <row r="134" spans="2:29" ht="5.0999999999999996" customHeight="1" x14ac:dyDescent="0.25">
      <c r="B134" s="8"/>
      <c r="C134" s="899"/>
      <c r="D134" s="159"/>
      <c r="E134" s="159"/>
      <c r="F134" s="159"/>
      <c r="G134" s="159"/>
      <c r="H134" s="159"/>
      <c r="I134" s="159"/>
      <c r="J134" s="159"/>
      <c r="K134" s="159"/>
      <c r="L134" s="159"/>
      <c r="M134" s="159"/>
      <c r="N134" s="158"/>
      <c r="O134" s="8"/>
      <c r="P134" s="9"/>
      <c r="R134" s="9"/>
      <c r="S134" s="9"/>
    </row>
    <row r="135" spans="2:29" ht="12.75" customHeight="1" x14ac:dyDescent="0.25">
      <c r="B135" s="8"/>
      <c r="C135" s="899"/>
      <c r="D135" s="159"/>
      <c r="E135" s="1522" t="str">
        <f>Translations!$B$873</f>
        <v>Heat from waste gases</v>
      </c>
      <c r="F135" s="1523"/>
      <c r="G135" s="1523"/>
      <c r="H135" s="152" t="str">
        <f>EUconst_Unit</f>
        <v>Unit</v>
      </c>
      <c r="I135" s="153">
        <f>I$559</f>
        <v>2019</v>
      </c>
      <c r="J135" s="153">
        <f>J$559</f>
        <v>2020</v>
      </c>
      <c r="K135" s="153">
        <f>K$559</f>
        <v>2021</v>
      </c>
      <c r="L135" s="153">
        <f>L$559</f>
        <v>2022</v>
      </c>
      <c r="M135" s="153">
        <f>M$559</f>
        <v>2023</v>
      </c>
      <c r="N135" s="903"/>
      <c r="O135" s="8"/>
      <c r="P135" s="9"/>
      <c r="R135" s="9"/>
      <c r="S135" s="28">
        <f>I135</f>
        <v>2019</v>
      </c>
      <c r="T135" s="28">
        <f>J135</f>
        <v>2020</v>
      </c>
      <c r="U135" s="28">
        <f>K135</f>
        <v>2021</v>
      </c>
      <c r="V135" s="28">
        <f>L135</f>
        <v>2022</v>
      </c>
      <c r="W135" s="28">
        <f>M135</f>
        <v>2023</v>
      </c>
    </row>
    <row r="136" spans="2:29" ht="12.75" customHeight="1" x14ac:dyDescent="0.25">
      <c r="B136" s="8"/>
      <c r="C136" s="899"/>
      <c r="D136" s="160" t="s">
        <v>355</v>
      </c>
      <c r="E136" s="1528" t="str">
        <f>Translations!$B$764</f>
        <v>Net heat imported</v>
      </c>
      <c r="F136" s="1528"/>
      <c r="G136" s="1528"/>
      <c r="H136" s="154" t="str">
        <f>EUconst_TJpa</f>
        <v>TJ / year</v>
      </c>
      <c r="I136" s="311"/>
      <c r="J136" s="311"/>
      <c r="K136" s="311"/>
      <c r="L136" s="311"/>
      <c r="M136" s="311"/>
      <c r="N136" s="195"/>
      <c r="O136" s="8"/>
      <c r="P136" s="116" t="str">
        <f>EUconst_CNTR_WGImport &amp; I12</f>
        <v>WasteGasIm_Heat benchmark sub-installation, CL</v>
      </c>
      <c r="R136" s="373" t="str">
        <f>EUconst_ERR_AttrEmBMapplied &amp; $I12</f>
        <v>ERR_AttrEmBM_Heat benchmark sub-installation, CL</v>
      </c>
      <c r="S136" s="63">
        <f>IF(AND(I136&lt;&gt;0,EUconst_StatusOfDataCollection=FALSE),1,0)</f>
        <v>0</v>
      </c>
      <c r="T136" s="63">
        <f>IF(AND(J136&lt;&gt;0,EUconst_StatusOfDataCollection=FALSE),1,0)</f>
        <v>0</v>
      </c>
      <c r="U136" s="63">
        <f>IF(AND(K136&lt;&gt;0,EUconst_StatusOfDataCollection=FALSE),1,0)</f>
        <v>0</v>
      </c>
      <c r="V136" s="63">
        <f>IF(AND(L136&lt;&gt;0,EUconst_StatusOfDataCollection=FALSE),1,0)</f>
        <v>0</v>
      </c>
      <c r="W136" s="63">
        <f>IF(AND(M136&lt;&gt;0,EUconst_StatusOfDataCollection=FALSE),1,0)</f>
        <v>0</v>
      </c>
    </row>
    <row r="137" spans="2:29" ht="12.75" customHeight="1" x14ac:dyDescent="0.25">
      <c r="B137" s="8"/>
      <c r="C137" s="899"/>
      <c r="D137" s="160" t="s">
        <v>356</v>
      </c>
      <c r="E137" s="1528" t="str">
        <f>Translations!$B$874</f>
        <v>Specific EF (from waste gas)</v>
      </c>
      <c r="F137" s="1528"/>
      <c r="G137" s="1528"/>
      <c r="H137" s="154" t="str">
        <f>EUconst_tCO2pTJ</f>
        <v>t CO2 / TJ</v>
      </c>
      <c r="I137" s="1065"/>
      <c r="J137" s="1065"/>
      <c r="K137" s="1065"/>
      <c r="L137" s="1065"/>
      <c r="M137" s="1065"/>
      <c r="N137" s="158"/>
      <c r="O137" s="8"/>
      <c r="P137" s="116" t="str">
        <f>EUconst_CNTR_WGImportEF &amp; I12</f>
        <v>WasteGasImEF_Heat benchmark sub-installation, CL</v>
      </c>
      <c r="R137" s="374" t="str">
        <f>EUconst_CNTR_AttributedEmissions &amp; $I12</f>
        <v>AttrEmissions_Heat benchmark sub-installation, CL</v>
      </c>
      <c r="S137" s="63" t="str">
        <f>IF(S12,SUM(I136)*IF(ISNUMBER(I137),I137,EUconst_HeatBMvalueForBM),"")</f>
        <v/>
      </c>
      <c r="T137" s="63" t="str">
        <f>IF(T12,SUM(J136)*IF(ISNUMBER(J137),J137,EUconst_HeatBMvalueForBM),"")</f>
        <v/>
      </c>
      <c r="U137" s="63" t="str">
        <f>IF(U12,SUM(K136)*IF(ISNUMBER(K137),K137,EUconst_HeatBMvalueForBM),"")</f>
        <v/>
      </c>
      <c r="V137" s="63" t="str">
        <f>IF(V12,SUM(L136)*IF(ISNUMBER(L137),L137,EUconst_HeatBMvalueForBM),"")</f>
        <v/>
      </c>
      <c r="W137" s="63" t="str">
        <f>IF(W12,SUM(M136)*IF(ISNUMBER(M137),M137,EUconst_HeatBMvalueForBM),"")</f>
        <v/>
      </c>
    </row>
    <row r="138" spans="2:29" ht="5.0999999999999996" customHeight="1" x14ac:dyDescent="0.25">
      <c r="B138" s="8"/>
      <c r="C138" s="899"/>
      <c r="D138" s="159"/>
      <c r="E138" s="159"/>
      <c r="F138" s="159"/>
      <c r="G138" s="159"/>
      <c r="H138" s="159"/>
      <c r="I138" s="159"/>
      <c r="J138" s="159"/>
      <c r="K138" s="159"/>
      <c r="L138" s="159"/>
      <c r="M138" s="159"/>
      <c r="N138" s="158"/>
      <c r="O138" s="8"/>
      <c r="P138" s="9"/>
      <c r="R138" s="9"/>
      <c r="S138" s="9"/>
    </row>
    <row r="139" spans="2:29" ht="12.75" customHeight="1" x14ac:dyDescent="0.25">
      <c r="B139" s="8"/>
      <c r="C139" s="899"/>
      <c r="D139" s="160" t="s">
        <v>421</v>
      </c>
      <c r="E139" s="1528" t="str">
        <f>Translations!$B$875</f>
        <v>Total net heat imported</v>
      </c>
      <c r="F139" s="1528"/>
      <c r="G139" s="1528"/>
      <c r="H139" s="154" t="str">
        <f>EUconst_TJpa</f>
        <v>TJ / year</v>
      </c>
      <c r="I139" s="163" t="str">
        <f>IF(COUNT(I120,I124,I128,I132,I136)&gt;0,SUM(I120,I124,I128,I132,I136),"")</f>
        <v/>
      </c>
      <c r="J139" s="163" t="str">
        <f>IF(COUNT(J120,J124,J128,J132,J136)&gt;0,SUM(J120,J124,J128,J132,J136),"")</f>
        <v/>
      </c>
      <c r="K139" s="163" t="str">
        <f>IF(COUNT(K120,K124,K128,K132,K136)&gt;0,SUM(K120,K124,K128,K132,K136),"")</f>
        <v/>
      </c>
      <c r="L139" s="163" t="str">
        <f>IF(COUNT(L120,L124,L128,L132,L136)&gt;0,SUM(L120,L124,L128,L132,L136),"")</f>
        <v/>
      </c>
      <c r="M139" s="163" t="str">
        <f>IF(COUNT(M120,M124,M128,M132,M136)&gt;0,SUM(M120,M124,M128,M132,M136),"")</f>
        <v/>
      </c>
      <c r="N139" s="171"/>
      <c r="O139" s="8"/>
      <c r="R139" s="9"/>
      <c r="S139" s="9"/>
    </row>
    <row r="140" spans="2:29" ht="12.75" customHeight="1" thickBot="1" x14ac:dyDescent="0.3">
      <c r="B140" s="8"/>
      <c r="C140" s="905"/>
      <c r="D140" s="161"/>
      <c r="E140" s="161"/>
      <c r="F140" s="161"/>
      <c r="G140" s="161"/>
      <c r="H140" s="161"/>
      <c r="I140" s="161"/>
      <c r="J140" s="161"/>
      <c r="K140" s="161"/>
      <c r="L140" s="161"/>
      <c r="M140" s="161"/>
      <c r="N140" s="162"/>
      <c r="O140" s="8"/>
      <c r="P140" s="9"/>
      <c r="R140" s="9"/>
    </row>
    <row r="141" spans="2:29" ht="25.5" customHeight="1" thickBot="1" x14ac:dyDescent="0.3">
      <c r="B141" s="17"/>
      <c r="C141" s="17"/>
      <c r="D141" s="17"/>
      <c r="E141" s="17"/>
      <c r="F141" s="17"/>
      <c r="G141" s="17"/>
      <c r="H141" s="17"/>
      <c r="I141" s="17"/>
      <c r="J141" s="17"/>
      <c r="K141" s="17"/>
      <c r="L141" s="17"/>
      <c r="M141" s="17"/>
      <c r="N141" s="17"/>
      <c r="O141" s="8"/>
    </row>
    <row r="142" spans="2:29" ht="12.75" customHeight="1" thickBot="1" x14ac:dyDescent="0.3">
      <c r="B142" s="8"/>
      <c r="C142" s="906"/>
      <c r="D142" s="906"/>
      <c r="E142" s="906"/>
      <c r="F142" s="906"/>
      <c r="G142" s="906"/>
      <c r="H142" s="906"/>
      <c r="I142" s="906"/>
      <c r="J142" s="906"/>
      <c r="K142" s="906"/>
      <c r="L142" s="906"/>
      <c r="M142" s="906"/>
      <c r="N142" s="906"/>
      <c r="O142" s="8"/>
    </row>
    <row r="143" spans="2:29" ht="15.75" customHeight="1" thickBot="1" x14ac:dyDescent="0.3">
      <c r="B143" s="8"/>
      <c r="C143" s="19">
        <v>2</v>
      </c>
      <c r="D143" s="1234" t="str">
        <f>EUconst_FBSubinst &amp; ":"</f>
        <v>Fall-Back sub-installation:</v>
      </c>
      <c r="E143" s="1176"/>
      <c r="F143" s="1176"/>
      <c r="G143" s="1176"/>
      <c r="H143" s="1260"/>
      <c r="I143" s="1550" t="str">
        <f>INDEX(EUconst_FallBackListNames,$C143)</f>
        <v>Heat benchmark sub-installation, non-CL</v>
      </c>
      <c r="J143" s="1509"/>
      <c r="K143" s="1509"/>
      <c r="L143" s="1551"/>
      <c r="M143" s="1608" t="str">
        <f>IF(ISBLANK(INDEX(CNTR_FallBackSubInstRelevant,C143)),"",IF(INDEX(CNTR_FallBackSubInstRelevant,C143),EUconst_Relevant,EUconst_NotRelevant))</f>
        <v/>
      </c>
      <c r="N143" s="1609"/>
      <c r="O143" s="8"/>
      <c r="P143" s="219">
        <f>C143</f>
        <v>2</v>
      </c>
      <c r="Q143" s="124" t="s">
        <v>296</v>
      </c>
      <c r="R143" s="354" t="str">
        <f>IF(M143&lt;&gt;EUconst_Relevant,"",INDEX(CNTR_SubInstStartDate,MATCH($I143,CNTR_SubInstListNames,0)))</f>
        <v/>
      </c>
      <c r="S143" s="352" t="b">
        <f>IF($M143&lt;&gt;EUconst_Relevant,FALSE,AND(I$562, IF($R143&lt;DATE($L$559,1,1),YEAR($R143)&lt;=I$559,YEAR($R143-1)&lt;I$559) ) )</f>
        <v>0</v>
      </c>
      <c r="T143" s="352" t="b">
        <f>IF($M143&lt;&gt;EUconst_Relevant,FALSE,AND(J$562, IF($R143&lt;DATE($L$559,1,1),YEAR($R143)&lt;=J$559,YEAR($R143-1)&lt;J$559) ) )</f>
        <v>0</v>
      </c>
      <c r="U143" s="352" t="b">
        <f>IF($M143&lt;&gt;EUconst_Relevant,FALSE,AND(K$562, IF($R143&lt;DATE($L$559,1,1),YEAR($R143)&lt;=K$559,YEAR($R143-1)&lt;K$559) ) )</f>
        <v>0</v>
      </c>
      <c r="V143" s="352" t="b">
        <f>IF($M143&lt;&gt;EUconst_Relevant,FALSE,AND(L$562, IF($R143&lt;DATE($L$559,1,1),YEAR($R143)&lt;=L$559,YEAR($R143-1)&lt;L$559) ) )</f>
        <v>0</v>
      </c>
      <c r="W143" s="352" t="b">
        <f>IF($M143&lt;&gt;EUconst_Relevant,FALSE,AND(M$562, IF($R143&lt;DATE($L$559,1,1),YEAR($R143)&lt;=M$559,YEAR($R143-1)&lt;M$559) ) )</f>
        <v>0</v>
      </c>
      <c r="X143" s="9"/>
      <c r="AB143" s="288" t="s">
        <v>390</v>
      </c>
      <c r="AC143" s="410" t="b">
        <f>AND(CNTR_ExistSubInstEntries,M143=EUconst_NotRelevant)</f>
        <v>0</v>
      </c>
    </row>
    <row r="144" spans="2:29" ht="12.75" customHeight="1" x14ac:dyDescent="0.25">
      <c r="B144" s="17"/>
      <c r="C144" s="17"/>
      <c r="D144" s="17"/>
      <c r="E144" s="17"/>
      <c r="F144" s="17"/>
      <c r="G144" s="17"/>
      <c r="H144" s="80"/>
      <c r="I144" s="1602" t="str">
        <f>IF(M143="","",IF(M143=EUconst_Relevant,HYPERLINK("",EUconst_MsgEnterThisSection),HYPERLINK(Q144,EUconst_MsgGoToNextSubInst)))</f>
        <v/>
      </c>
      <c r="J144" s="1603"/>
      <c r="K144" s="1603"/>
      <c r="L144" s="1603"/>
      <c r="M144" s="1604"/>
      <c r="N144" s="1605"/>
      <c r="O144" s="8"/>
      <c r="P144" s="145" t="s">
        <v>334</v>
      </c>
      <c r="Q144" s="877" t="str">
        <f>"#JUMP_G"&amp;P143+1</f>
        <v>#JUMP_G3</v>
      </c>
    </row>
    <row r="145" spans="2:28" ht="5.0999999999999996" customHeight="1" x14ac:dyDescent="0.25">
      <c r="B145" s="8"/>
      <c r="C145" s="8"/>
      <c r="D145" s="8"/>
      <c r="E145" s="8"/>
      <c r="F145" s="8"/>
      <c r="G145" s="8"/>
      <c r="H145" s="8"/>
      <c r="I145" s="8"/>
      <c r="J145" s="8"/>
      <c r="K145" s="8"/>
      <c r="L145" s="8"/>
      <c r="M145" s="8"/>
      <c r="N145" s="8"/>
      <c r="O145" s="8"/>
      <c r="P145" s="9"/>
    </row>
    <row r="146" spans="2:28" ht="12.75" customHeight="1" x14ac:dyDescent="0.25">
      <c r="B146" s="17"/>
      <c r="C146" s="17"/>
      <c r="D146" s="17"/>
      <c r="E146" s="1413" t="str">
        <f>CONCATENATE(EUconst_MsgSeeFirst," (G.I.1)")</f>
        <v>Detailed instructions for data entries in this tool can be found at the first copy of this tool.  (G.I.1)</v>
      </c>
      <c r="F146" s="1413"/>
      <c r="G146" s="1413"/>
      <c r="H146" s="1413"/>
      <c r="I146" s="1413"/>
      <c r="J146" s="1413"/>
      <c r="K146" s="1413"/>
      <c r="L146" s="1413"/>
      <c r="M146" s="1413"/>
      <c r="N146" s="1413"/>
      <c r="O146" s="8"/>
    </row>
    <row r="147" spans="2:28" ht="5.0999999999999996" customHeight="1" x14ac:dyDescent="0.25">
      <c r="B147" s="8"/>
      <c r="C147" s="8"/>
      <c r="D147" s="8"/>
      <c r="E147" s="8"/>
      <c r="F147" s="8"/>
      <c r="G147" s="8"/>
      <c r="H147" s="8"/>
      <c r="I147" s="8"/>
      <c r="J147" s="8"/>
      <c r="K147" s="8"/>
      <c r="L147" s="8"/>
      <c r="M147" s="8"/>
      <c r="N147" s="8"/>
      <c r="O147" s="8"/>
      <c r="P147" s="9"/>
      <c r="Q147" s="9"/>
      <c r="R147" s="9"/>
      <c r="S147" s="9"/>
      <c r="T147" s="9"/>
      <c r="U147" s="9"/>
      <c r="V147" s="9"/>
      <c r="W147" s="9"/>
      <c r="X147" s="9"/>
    </row>
    <row r="148" spans="2:28" ht="12.75" customHeight="1" thickBot="1" x14ac:dyDescent="0.3">
      <c r="B148" s="8"/>
      <c r="C148" s="15"/>
      <c r="D148" s="15" t="s">
        <v>190</v>
      </c>
      <c r="E148" s="1165" t="str">
        <f>Translations!$B$670</f>
        <v>Historic activity levels</v>
      </c>
      <c r="F148" s="1176"/>
      <c r="G148" s="1176"/>
      <c r="H148" s="1176"/>
      <c r="I148" s="1176"/>
      <c r="J148" s="1176"/>
      <c r="K148" s="1176"/>
      <c r="L148" s="1176"/>
      <c r="M148" s="1176"/>
      <c r="N148" s="1176"/>
      <c r="O148" s="8"/>
      <c r="P148" s="9"/>
      <c r="Q148" s="9"/>
      <c r="R148" s="9"/>
      <c r="S148" s="9"/>
      <c r="T148" s="9"/>
      <c r="U148" s="9"/>
      <c r="V148" s="9"/>
      <c r="W148" s="9"/>
      <c r="X148" s="9"/>
    </row>
    <row r="149" spans="2:28" ht="12.75" customHeight="1" thickBot="1" x14ac:dyDescent="0.3">
      <c r="B149" s="8"/>
      <c r="C149" s="17"/>
      <c r="D149" s="17"/>
      <c r="E149" s="1607" t="str">
        <f>Translations!$B$827</f>
        <v>The following data is taken automatically from sheet "E_EnergyFlows", section E.II.r. Thus, data input is mandatory there.</v>
      </c>
      <c r="F149" s="1607"/>
      <c r="G149" s="1607"/>
      <c r="H149" s="1607"/>
      <c r="I149" s="1607"/>
      <c r="J149" s="1607"/>
      <c r="K149" s="1607"/>
      <c r="L149" s="1607"/>
      <c r="M149" s="1607"/>
      <c r="N149" s="1607"/>
      <c r="O149" s="8"/>
      <c r="P149" s="9"/>
      <c r="Q149" s="147" t="s">
        <v>395</v>
      </c>
      <c r="R149" s="459" t="s">
        <v>465</v>
      </c>
      <c r="S149" s="879"/>
      <c r="T149" s="879"/>
      <c r="U149" s="879"/>
      <c r="V149" s="879"/>
      <c r="W149" s="879"/>
      <c r="X149" s="387"/>
    </row>
    <row r="150" spans="2:28" ht="12.75" customHeight="1" x14ac:dyDescent="0.25">
      <c r="B150" s="17"/>
      <c r="C150" s="15"/>
      <c r="D150" s="15"/>
      <c r="E150" s="1259" t="str">
        <f>Translations!$B$829</f>
        <v>Main activity level:</v>
      </c>
      <c r="F150" s="1212"/>
      <c r="G150" s="1212"/>
      <c r="H150" s="23" t="str">
        <f>EUconst_Unit</f>
        <v>Unit</v>
      </c>
      <c r="I150" s="128">
        <f>I$559</f>
        <v>2019</v>
      </c>
      <c r="J150" s="128">
        <f>J$559</f>
        <v>2020</v>
      </c>
      <c r="K150" s="128">
        <f>K$559</f>
        <v>2021</v>
      </c>
      <c r="L150" s="128">
        <f>L$559</f>
        <v>2022</v>
      </c>
      <c r="M150" s="128">
        <f>M$559</f>
        <v>2023</v>
      </c>
      <c r="N150" s="376" t="str">
        <f>IF(M143&lt;&gt;EUconst_Relevant,"",IF(Z151,YEAR(R143)+1,""))</f>
        <v/>
      </c>
      <c r="O150" s="8"/>
      <c r="P150" s="392" t="s">
        <v>397</v>
      </c>
      <c r="Q150" s="582" t="s">
        <v>398</v>
      </c>
      <c r="R150" s="59" t="s">
        <v>399</v>
      </c>
      <c r="S150" s="880">
        <f>I150</f>
        <v>2019</v>
      </c>
      <c r="T150" s="63">
        <f>J150</f>
        <v>2020</v>
      </c>
      <c r="U150" s="63">
        <f>K150</f>
        <v>2021</v>
      </c>
      <c r="V150" s="63">
        <f>L150</f>
        <v>2022</v>
      </c>
      <c r="W150" s="63">
        <f>M150</f>
        <v>2023</v>
      </c>
      <c r="X150" s="803"/>
      <c r="AA150" s="405" t="b">
        <f>IF(CNTR_ExistSubInstEntries,IF(M143=EUconst_Relevant,NOT(Z151),TRUE),FALSE)</f>
        <v>0</v>
      </c>
    </row>
    <row r="151" spans="2:28" ht="12.75" customHeight="1" thickBot="1" x14ac:dyDescent="0.3">
      <c r="B151" s="17"/>
      <c r="C151" s="17"/>
      <c r="D151" s="17"/>
      <c r="E151" s="1560" t="str">
        <f>I143</f>
        <v>Heat benchmark sub-installation, non-CL</v>
      </c>
      <c r="F151" s="1560"/>
      <c r="G151" s="1560"/>
      <c r="H151" s="820" t="str">
        <f>INDEX(EUconst_FallBackListUnits,MATCH(E151,EUconst_FallBackListNames,0))</f>
        <v>TJ</v>
      </c>
      <c r="I151" s="818" t="str">
        <f>IF($M143=EUconst_Relevant,IF(ISNUMBER(INDEX(E_EnergyFlows!I$387:I$393,MATCH($E151,E_EnergyFlows!$E$387:$E$393,0))),INDEX(E_EnergyFlows!I$387:I$393,MATCH($E151,E_EnergyFlows!$E$387:$E$393,0)),INDEX(EUconst_FallbackListMissing,$P143)),"")</f>
        <v/>
      </c>
      <c r="J151" s="818" t="str">
        <f>IF($M143=EUconst_Relevant,IF(ISNUMBER(INDEX(E_EnergyFlows!J$387:J$393,MATCH($E151,E_EnergyFlows!$E$387:$E$393,0))),INDEX(E_EnergyFlows!J$387:J$393,MATCH($E151,E_EnergyFlows!$E$387:$E$393,0)),INDEX(EUconst_FallbackListMissing,$P143)),"")</f>
        <v/>
      </c>
      <c r="K151" s="818" t="str">
        <f>IF($M143=EUconst_Relevant,IF(ISNUMBER(INDEX(E_EnergyFlows!K$387:K$393,MATCH($E151,E_EnergyFlows!$E$387:$E$393,0))),INDEX(E_EnergyFlows!K$387:K$393,MATCH($E151,E_EnergyFlows!$E$387:$E$393,0)),INDEX(EUconst_FallbackListMissing,$P143)),"")</f>
        <v/>
      </c>
      <c r="L151" s="818" t="str">
        <f>IF($M143=EUconst_Relevant,IF(ISNUMBER(INDEX(E_EnergyFlows!L$387:L$393,MATCH($E151,E_EnergyFlows!$E$387:$E$393,0))),INDEX(E_EnergyFlows!L$387:L$393,MATCH($E151,E_EnergyFlows!$E$387:$E$393,0)),INDEX(EUconst_FallbackListMissing,$P143)),"")</f>
        <v/>
      </c>
      <c r="M151" s="818" t="str">
        <f>IF($M143=EUconst_Relevant,IF(ISNUMBER(INDEX(E_EnergyFlows!M$387:M$393,MATCH($E151,E_EnergyFlows!$E$387:$E$393,0))),INDEX(E_EnergyFlows!M$387:M$393,MATCH($E151,E_EnergyFlows!$E$387:$E$393,0)),INDEX(EUconst_FallbackListMissing,$P143)),"")</f>
        <v/>
      </c>
      <c r="N151" s="397"/>
      <c r="O151" s="8"/>
      <c r="P151" s="58" t="str">
        <f>EUconst_CNTR_HAL&amp;E151</f>
        <v>HAL_Heat benchmark sub-installation, non-CL</v>
      </c>
      <c r="Q151" s="286" t="str">
        <f>IF(COUNT($K151:$L151)&gt;0,AVERAGE($K151:$L151),"")</f>
        <v/>
      </c>
      <c r="R151" s="57" t="str">
        <f>IF(COUNT(S151:W151)&gt;0,AVERAGE(S151:W151),"")</f>
        <v/>
      </c>
      <c r="S151" s="882" t="str">
        <f>IF(S143,IF(ISNUMBER(I151),I151,0),"")</f>
        <v/>
      </c>
      <c r="T151" s="389" t="str">
        <f>IF(T143,IF(ISNUMBER(J151),J151,0),"")</f>
        <v/>
      </c>
      <c r="U151" s="389" t="str">
        <f>IF(U143,IF(ISNUMBER(K151),K151,0),"")</f>
        <v/>
      </c>
      <c r="V151" s="389" t="str">
        <f>IF(V143,IF(ISNUMBER(L151),L151,0),"")</f>
        <v/>
      </c>
      <c r="W151" s="389" t="str">
        <f>IF(W143,IF(ISNUMBER(M151),M151,0),"")</f>
        <v/>
      </c>
      <c r="X151" s="390"/>
      <c r="Y151" s="124" t="s">
        <v>304</v>
      </c>
      <c r="Z151" s="392" t="b">
        <f>IF(M143&lt;&gt;EUconst_Relevant,FALSE,INDEX(CNTR_SubInstLess1Year,MATCH(I143,CNTR_SubInstListNames,0)))</f>
        <v>0</v>
      </c>
      <c r="AA151" s="399" t="b">
        <f>AA150</f>
        <v>0</v>
      </c>
    </row>
    <row r="152" spans="2:28" ht="12.75" customHeight="1" x14ac:dyDescent="0.25">
      <c r="B152" s="17"/>
      <c r="C152" s="8"/>
      <c r="D152" s="8"/>
      <c r="E152" s="8"/>
      <c r="F152" s="8"/>
      <c r="G152" s="8"/>
      <c r="H152" s="8"/>
      <c r="I152" s="8"/>
      <c r="J152" s="8"/>
      <c r="K152" s="8"/>
      <c r="L152" s="8"/>
      <c r="M152" s="8"/>
      <c r="N152" s="8"/>
      <c r="O152" s="8"/>
    </row>
    <row r="153" spans="2:28" ht="13.8" x14ac:dyDescent="0.25">
      <c r="B153" s="17"/>
      <c r="C153" s="20"/>
      <c r="D153" s="1234" t="str">
        <f>Translations!$B$700</f>
        <v>Production details</v>
      </c>
      <c r="E153" s="1176"/>
      <c r="F153" s="1176"/>
      <c r="G153" s="1176"/>
      <c r="H153" s="1176"/>
      <c r="I153" s="1176"/>
      <c r="J153" s="1176"/>
      <c r="K153" s="1176"/>
      <c r="L153" s="1176"/>
      <c r="M153" s="1176"/>
      <c r="N153" s="1176"/>
      <c r="O153" s="8"/>
      <c r="Y153" s="9"/>
      <c r="Z153" s="9"/>
      <c r="AA153" s="9"/>
      <c r="AB153" s="9"/>
    </row>
    <row r="154" spans="2:28" ht="5.0999999999999996" customHeight="1" x14ac:dyDescent="0.25">
      <c r="B154" s="8"/>
      <c r="C154" s="8"/>
      <c r="D154" s="8"/>
      <c r="E154" s="8"/>
      <c r="F154" s="8"/>
      <c r="G154" s="8"/>
      <c r="H154" s="8"/>
      <c r="I154" s="8"/>
      <c r="J154" s="8"/>
      <c r="K154" s="8"/>
      <c r="L154" s="8"/>
      <c r="M154" s="8"/>
      <c r="N154" s="8"/>
      <c r="O154" s="8"/>
      <c r="P154" s="9"/>
      <c r="Q154" s="9"/>
    </row>
    <row r="155" spans="2:28" ht="12.75" customHeight="1" x14ac:dyDescent="0.25">
      <c r="B155" s="8"/>
      <c r="C155" s="15"/>
      <c r="D155" s="15" t="s">
        <v>192</v>
      </c>
      <c r="E155" s="1165" t="str">
        <f>Translations!$B$830</f>
        <v>Identification of relevant products or services associated with this sub-installation</v>
      </c>
      <c r="F155" s="1176"/>
      <c r="G155" s="1176"/>
      <c r="H155" s="1176"/>
      <c r="I155" s="1176"/>
      <c r="J155" s="1176"/>
      <c r="K155" s="1176"/>
      <c r="L155" s="1176"/>
      <c r="M155" s="1176"/>
      <c r="N155" s="1176"/>
      <c r="O155" s="8"/>
      <c r="P155" s="9"/>
    </row>
    <row r="156" spans="2:28" ht="5.0999999999999996" customHeight="1" x14ac:dyDescent="0.25">
      <c r="B156" s="8"/>
      <c r="C156" s="17"/>
      <c r="D156" s="17"/>
      <c r="E156" s="884"/>
      <c r="F156" s="884"/>
      <c r="G156" s="884"/>
      <c r="H156" s="884"/>
      <c r="I156" s="884"/>
      <c r="J156" s="77"/>
      <c r="K156" s="77"/>
      <c r="L156" s="77"/>
      <c r="M156" s="8"/>
      <c r="N156" s="8"/>
      <c r="O156" s="8"/>
      <c r="P156" s="9"/>
    </row>
    <row r="157" spans="2:28" x14ac:dyDescent="0.25">
      <c r="B157" s="17"/>
      <c r="C157" s="15"/>
      <c r="D157" s="26"/>
      <c r="E157" s="1616" t="str">
        <f>Translations!$B$837</f>
        <v>Use type</v>
      </c>
      <c r="F157" s="1402"/>
      <c r="G157" s="1616" t="str">
        <f>Translations!$B$838</f>
        <v>Within installation or export?</v>
      </c>
      <c r="H157" s="1402"/>
      <c r="I157" s="1616" t="str">
        <f>Translations!$B$839</f>
        <v>Product name, or heat export other than "district heating"</v>
      </c>
      <c r="J157" s="1212"/>
      <c r="K157" s="1212"/>
      <c r="L157" s="1402"/>
      <c r="M157" s="129" t="s">
        <v>468</v>
      </c>
      <c r="N157" s="8"/>
      <c r="O157" s="8"/>
      <c r="Y157" s="9"/>
      <c r="Z157" s="9"/>
      <c r="AA157" s="9"/>
      <c r="AB157" s="9"/>
    </row>
    <row r="158" spans="2:28" ht="12.75" customHeight="1" x14ac:dyDescent="0.25">
      <c r="B158" s="17"/>
      <c r="C158" s="80"/>
      <c r="D158" s="222">
        <v>1</v>
      </c>
      <c r="E158" s="1324"/>
      <c r="F158" s="1323"/>
      <c r="G158" s="1623"/>
      <c r="H158" s="1624"/>
      <c r="I158" s="1625"/>
      <c r="J158" s="1626"/>
      <c r="K158" s="1626"/>
      <c r="L158" s="1627"/>
      <c r="M158" s="885"/>
      <c r="N158" s="8"/>
      <c r="O158" s="8"/>
    </row>
    <row r="159" spans="2:28" ht="12.75" customHeight="1" x14ac:dyDescent="0.25">
      <c r="B159" s="17"/>
      <c r="C159" s="80"/>
      <c r="D159" s="225">
        <f>D158+1</f>
        <v>2</v>
      </c>
      <c r="E159" s="1325"/>
      <c r="F159" s="1301"/>
      <c r="G159" s="1611"/>
      <c r="H159" s="1612"/>
      <c r="I159" s="1296"/>
      <c r="J159" s="1632"/>
      <c r="K159" s="1632"/>
      <c r="L159" s="1633"/>
      <c r="M159" s="886"/>
      <c r="N159" s="8"/>
      <c r="O159" s="8"/>
    </row>
    <row r="160" spans="2:28" ht="12.75" customHeight="1" x14ac:dyDescent="0.25">
      <c r="B160" s="17"/>
      <c r="C160" s="80"/>
      <c r="D160" s="225">
        <f t="shared" ref="D160:D167" si="3">D159+1</f>
        <v>3</v>
      </c>
      <c r="E160" s="1325"/>
      <c r="F160" s="1301"/>
      <c r="G160" s="1611"/>
      <c r="H160" s="1612"/>
      <c r="I160" s="1296"/>
      <c r="J160" s="1632"/>
      <c r="K160" s="1632"/>
      <c r="L160" s="1633"/>
      <c r="M160" s="886"/>
      <c r="N160" s="8"/>
      <c r="O160" s="8"/>
    </row>
    <row r="161" spans="2:28" ht="12.75" customHeight="1" x14ac:dyDescent="0.25">
      <c r="B161" s="17"/>
      <c r="C161" s="80"/>
      <c r="D161" s="225">
        <f t="shared" si="3"/>
        <v>4</v>
      </c>
      <c r="E161" s="1325"/>
      <c r="F161" s="1301"/>
      <c r="G161" s="1611"/>
      <c r="H161" s="1612"/>
      <c r="I161" s="1296"/>
      <c r="J161" s="1632"/>
      <c r="K161" s="1632"/>
      <c r="L161" s="1633"/>
      <c r="M161" s="886"/>
      <c r="N161" s="8"/>
      <c r="O161" s="8"/>
    </row>
    <row r="162" spans="2:28" ht="12.75" customHeight="1" x14ac:dyDescent="0.25">
      <c r="B162" s="17"/>
      <c r="C162" s="80"/>
      <c r="D162" s="225">
        <f t="shared" si="3"/>
        <v>5</v>
      </c>
      <c r="E162" s="1325"/>
      <c r="F162" s="1301"/>
      <c r="G162" s="1611"/>
      <c r="H162" s="1612"/>
      <c r="I162" s="1296"/>
      <c r="J162" s="1632"/>
      <c r="K162" s="1632"/>
      <c r="L162" s="1633"/>
      <c r="M162" s="886"/>
      <c r="N162" s="8"/>
      <c r="O162" s="8"/>
      <c r="Y162" s="9"/>
      <c r="Z162" s="9"/>
      <c r="AA162" s="9"/>
      <c r="AB162" s="9"/>
    </row>
    <row r="163" spans="2:28" ht="12.75" customHeight="1" x14ac:dyDescent="0.25">
      <c r="B163" s="17"/>
      <c r="C163" s="80"/>
      <c r="D163" s="225">
        <f t="shared" si="3"/>
        <v>6</v>
      </c>
      <c r="E163" s="1325"/>
      <c r="F163" s="1301"/>
      <c r="G163" s="1611"/>
      <c r="H163" s="1612"/>
      <c r="I163" s="1296"/>
      <c r="J163" s="1632"/>
      <c r="K163" s="1632"/>
      <c r="L163" s="1633"/>
      <c r="M163" s="886"/>
      <c r="N163" s="8"/>
      <c r="O163" s="8"/>
    </row>
    <row r="164" spans="2:28" ht="12.75" customHeight="1" x14ac:dyDescent="0.25">
      <c r="B164" s="17"/>
      <c r="C164" s="80"/>
      <c r="D164" s="225">
        <f t="shared" si="3"/>
        <v>7</v>
      </c>
      <c r="E164" s="1325"/>
      <c r="F164" s="1301"/>
      <c r="G164" s="1611"/>
      <c r="H164" s="1612"/>
      <c r="I164" s="1296"/>
      <c r="J164" s="1632"/>
      <c r="K164" s="1632"/>
      <c r="L164" s="1633"/>
      <c r="M164" s="886"/>
      <c r="N164" s="8"/>
      <c r="O164" s="8"/>
    </row>
    <row r="165" spans="2:28" ht="12.75" customHeight="1" x14ac:dyDescent="0.25">
      <c r="B165" s="17"/>
      <c r="C165" s="80"/>
      <c r="D165" s="225">
        <f t="shared" si="3"/>
        <v>8</v>
      </c>
      <c r="E165" s="1325"/>
      <c r="F165" s="1301"/>
      <c r="G165" s="1611"/>
      <c r="H165" s="1612"/>
      <c r="I165" s="1296"/>
      <c r="J165" s="1632"/>
      <c r="K165" s="1632"/>
      <c r="L165" s="1633"/>
      <c r="M165" s="886"/>
      <c r="N165" s="8"/>
      <c r="O165" s="8"/>
    </row>
    <row r="166" spans="2:28" ht="12.75" customHeight="1" x14ac:dyDescent="0.25">
      <c r="B166" s="17"/>
      <c r="C166" s="80"/>
      <c r="D166" s="225">
        <f t="shared" si="3"/>
        <v>9</v>
      </c>
      <c r="E166" s="1325"/>
      <c r="F166" s="1301"/>
      <c r="G166" s="1611"/>
      <c r="H166" s="1612"/>
      <c r="I166" s="1296"/>
      <c r="J166" s="1632"/>
      <c r="K166" s="1632"/>
      <c r="L166" s="1633"/>
      <c r="M166" s="886"/>
      <c r="N166" s="8"/>
      <c r="O166" s="8"/>
    </row>
    <row r="167" spans="2:28" ht="12.75" customHeight="1" x14ac:dyDescent="0.25">
      <c r="B167" s="17"/>
      <c r="C167" s="80"/>
      <c r="D167" s="227">
        <f t="shared" si="3"/>
        <v>10</v>
      </c>
      <c r="E167" s="1320"/>
      <c r="F167" s="1321"/>
      <c r="G167" s="1636"/>
      <c r="H167" s="1637"/>
      <c r="I167" s="1326"/>
      <c r="J167" s="1638"/>
      <c r="K167" s="1638"/>
      <c r="L167" s="1639"/>
      <c r="M167" s="887"/>
      <c r="N167" s="8"/>
      <c r="O167" s="8"/>
      <c r="Y167" s="9"/>
      <c r="Z167" s="9"/>
      <c r="AA167" s="9"/>
      <c r="AB167" s="9"/>
    </row>
    <row r="168" spans="2:28" ht="5.0999999999999996" customHeight="1" x14ac:dyDescent="0.25">
      <c r="B168" s="8"/>
      <c r="C168" s="8"/>
      <c r="D168" s="8"/>
      <c r="E168" s="8"/>
      <c r="F168" s="8"/>
      <c r="G168" s="8"/>
      <c r="H168" s="8"/>
      <c r="I168" s="8"/>
      <c r="J168" s="8"/>
      <c r="K168" s="8"/>
      <c r="L168" s="8"/>
      <c r="M168" s="8"/>
      <c r="N168" s="8"/>
      <c r="O168" s="8"/>
      <c r="P168" s="9"/>
      <c r="Q168" s="9"/>
    </row>
    <row r="169" spans="2:28" ht="12.75" customHeight="1" x14ac:dyDescent="0.25">
      <c r="B169" s="8"/>
      <c r="C169" s="15"/>
      <c r="D169" s="15"/>
      <c r="E169" s="1165" t="str">
        <f>Translations!$B$840</f>
        <v>Production levels:</v>
      </c>
      <c r="F169" s="1176"/>
      <c r="G169" s="1176"/>
      <c r="H169" s="1176"/>
      <c r="I169" s="1176"/>
      <c r="J169" s="1176"/>
      <c r="K169" s="1176"/>
      <c r="L169" s="1176"/>
      <c r="M169" s="1176"/>
      <c r="N169" s="1176"/>
      <c r="O169" s="8"/>
      <c r="P169" s="9"/>
    </row>
    <row r="170" spans="2:28" ht="5.0999999999999996" customHeight="1" x14ac:dyDescent="0.25">
      <c r="B170" s="8"/>
      <c r="C170" s="17"/>
      <c r="D170" s="17"/>
      <c r="E170" s="884"/>
      <c r="F170" s="884"/>
      <c r="G170" s="884"/>
      <c r="H170" s="884"/>
      <c r="I170" s="884"/>
      <c r="J170" s="77"/>
      <c r="K170" s="77"/>
      <c r="L170" s="77"/>
      <c r="M170" s="8"/>
      <c r="N170" s="8"/>
      <c r="O170" s="8"/>
      <c r="P170" s="9"/>
    </row>
    <row r="171" spans="2:28" ht="25.5" customHeight="1" x14ac:dyDescent="0.25">
      <c r="B171" s="17"/>
      <c r="C171" s="15"/>
      <c r="D171" s="26"/>
      <c r="E171" s="1616" t="str">
        <f>I157</f>
        <v>Product name, or heat export other than "district heating"</v>
      </c>
      <c r="F171" s="1212"/>
      <c r="G171" s="1402"/>
      <c r="H171" s="23" t="str">
        <f>EUconst_Unit</f>
        <v>Unit</v>
      </c>
      <c r="I171" s="128">
        <f>I$559</f>
        <v>2019</v>
      </c>
      <c r="J171" s="128">
        <f>J$559</f>
        <v>2020</v>
      </c>
      <c r="K171" s="128">
        <f>K$559</f>
        <v>2021</v>
      </c>
      <c r="L171" s="128">
        <f>L$559</f>
        <v>2022</v>
      </c>
      <c r="M171" s="144">
        <f>M$559</f>
        <v>2023</v>
      </c>
      <c r="N171" s="8"/>
      <c r="O171" s="8"/>
    </row>
    <row r="172" spans="2:28" ht="12.75" customHeight="1" x14ac:dyDescent="0.25">
      <c r="B172" s="17"/>
      <c r="C172" s="80"/>
      <c r="D172" s="222">
        <v>1</v>
      </c>
      <c r="E172" s="1595" t="str">
        <f t="shared" ref="E172:E181" si="4">IF(ISBLANK(I158),"",I158)</f>
        <v/>
      </c>
      <c r="F172" s="1596"/>
      <c r="G172" s="1597"/>
      <c r="H172" s="888"/>
      <c r="I172" s="889"/>
      <c r="J172" s="889"/>
      <c r="K172" s="889"/>
      <c r="L172" s="889"/>
      <c r="M172" s="890"/>
      <c r="N172" s="8"/>
      <c r="O172" s="8"/>
    </row>
    <row r="173" spans="2:28" ht="12.75" customHeight="1" x14ac:dyDescent="0.25">
      <c r="B173" s="17"/>
      <c r="C173" s="80"/>
      <c r="D173" s="225">
        <f>D172+1</f>
        <v>2</v>
      </c>
      <c r="E173" s="1591" t="str">
        <f t="shared" si="4"/>
        <v/>
      </c>
      <c r="F173" s="1335"/>
      <c r="G173" s="1592"/>
      <c r="H173" s="891"/>
      <c r="I173" s="892"/>
      <c r="J173" s="892"/>
      <c r="K173" s="892"/>
      <c r="L173" s="892"/>
      <c r="M173" s="893"/>
      <c r="N173" s="8"/>
      <c r="O173" s="8"/>
    </row>
    <row r="174" spans="2:28" ht="12.75" customHeight="1" x14ac:dyDescent="0.25">
      <c r="B174" s="17"/>
      <c r="C174" s="80"/>
      <c r="D174" s="225">
        <f t="shared" ref="D174:D181" si="5">D173+1</f>
        <v>3</v>
      </c>
      <c r="E174" s="1591" t="str">
        <f t="shared" si="4"/>
        <v/>
      </c>
      <c r="F174" s="1335"/>
      <c r="G174" s="1592"/>
      <c r="H174" s="891"/>
      <c r="I174" s="892"/>
      <c r="J174" s="892"/>
      <c r="K174" s="892"/>
      <c r="L174" s="892"/>
      <c r="M174" s="893"/>
      <c r="N174" s="8"/>
      <c r="O174" s="8"/>
    </row>
    <row r="175" spans="2:28" ht="12.75" customHeight="1" x14ac:dyDescent="0.25">
      <c r="B175" s="17"/>
      <c r="C175" s="80"/>
      <c r="D175" s="225">
        <f t="shared" si="5"/>
        <v>4</v>
      </c>
      <c r="E175" s="1591" t="str">
        <f t="shared" si="4"/>
        <v/>
      </c>
      <c r="F175" s="1335"/>
      <c r="G175" s="1592"/>
      <c r="H175" s="891"/>
      <c r="I175" s="892"/>
      <c r="J175" s="892"/>
      <c r="K175" s="892"/>
      <c r="L175" s="892"/>
      <c r="M175" s="893"/>
      <c r="N175" s="8"/>
      <c r="O175" s="8"/>
    </row>
    <row r="176" spans="2:28" ht="12.75" customHeight="1" x14ac:dyDescent="0.25">
      <c r="B176" s="17"/>
      <c r="C176" s="80"/>
      <c r="D176" s="225">
        <f t="shared" si="5"/>
        <v>5</v>
      </c>
      <c r="E176" s="1591" t="str">
        <f t="shared" si="4"/>
        <v/>
      </c>
      <c r="F176" s="1335"/>
      <c r="G176" s="1592"/>
      <c r="H176" s="891"/>
      <c r="I176" s="892"/>
      <c r="J176" s="892"/>
      <c r="K176" s="892"/>
      <c r="L176" s="892"/>
      <c r="M176" s="893"/>
      <c r="N176" s="8"/>
      <c r="O176" s="8"/>
    </row>
    <row r="177" spans="2:23" ht="12.75" customHeight="1" x14ac:dyDescent="0.25">
      <c r="B177" s="17"/>
      <c r="C177" s="80"/>
      <c r="D177" s="225">
        <f t="shared" si="5"/>
        <v>6</v>
      </c>
      <c r="E177" s="1591" t="str">
        <f t="shared" si="4"/>
        <v/>
      </c>
      <c r="F177" s="1335"/>
      <c r="G177" s="1592"/>
      <c r="H177" s="891"/>
      <c r="I177" s="892"/>
      <c r="J177" s="892"/>
      <c r="K177" s="892"/>
      <c r="L177" s="892"/>
      <c r="M177" s="893"/>
      <c r="N177" s="8"/>
      <c r="O177" s="8"/>
    </row>
    <row r="178" spans="2:23" ht="12.75" customHeight="1" x14ac:dyDescent="0.25">
      <c r="B178" s="17"/>
      <c r="C178" s="80"/>
      <c r="D178" s="225">
        <f t="shared" si="5"/>
        <v>7</v>
      </c>
      <c r="E178" s="1591" t="str">
        <f t="shared" si="4"/>
        <v/>
      </c>
      <c r="F178" s="1335"/>
      <c r="G178" s="1592"/>
      <c r="H178" s="891"/>
      <c r="I178" s="892"/>
      <c r="J178" s="892"/>
      <c r="K178" s="892"/>
      <c r="L178" s="892"/>
      <c r="M178" s="893"/>
      <c r="N178" s="8"/>
      <c r="O178" s="8"/>
    </row>
    <row r="179" spans="2:23" ht="12.75" customHeight="1" x14ac:dyDescent="0.25">
      <c r="B179" s="17"/>
      <c r="C179" s="80"/>
      <c r="D179" s="225">
        <f t="shared" si="5"/>
        <v>8</v>
      </c>
      <c r="E179" s="1591" t="str">
        <f t="shared" si="4"/>
        <v/>
      </c>
      <c r="F179" s="1335"/>
      <c r="G179" s="1592"/>
      <c r="H179" s="891"/>
      <c r="I179" s="892"/>
      <c r="J179" s="892"/>
      <c r="K179" s="892"/>
      <c r="L179" s="892"/>
      <c r="M179" s="893"/>
      <c r="N179" s="8"/>
      <c r="O179" s="8"/>
    </row>
    <row r="180" spans="2:23" ht="12.75" customHeight="1" x14ac:dyDescent="0.25">
      <c r="B180" s="17"/>
      <c r="C180" s="80"/>
      <c r="D180" s="225">
        <f t="shared" si="5"/>
        <v>9</v>
      </c>
      <c r="E180" s="1591" t="str">
        <f t="shared" si="4"/>
        <v/>
      </c>
      <c r="F180" s="1335"/>
      <c r="G180" s="1592"/>
      <c r="H180" s="891"/>
      <c r="I180" s="892"/>
      <c r="J180" s="892"/>
      <c r="K180" s="892"/>
      <c r="L180" s="892"/>
      <c r="M180" s="893"/>
      <c r="N180" s="8"/>
      <c r="O180" s="8"/>
    </row>
    <row r="181" spans="2:23" ht="12.75" customHeight="1" x14ac:dyDescent="0.25">
      <c r="B181" s="17"/>
      <c r="C181" s="80"/>
      <c r="D181" s="227">
        <f t="shared" si="5"/>
        <v>10</v>
      </c>
      <c r="E181" s="1593" t="str">
        <f t="shared" si="4"/>
        <v/>
      </c>
      <c r="F181" s="1386"/>
      <c r="G181" s="1594"/>
      <c r="H181" s="894"/>
      <c r="I181" s="895"/>
      <c r="J181" s="895"/>
      <c r="K181" s="895"/>
      <c r="L181" s="895"/>
      <c r="M181" s="896"/>
      <c r="N181" s="8"/>
      <c r="O181" s="8"/>
    </row>
    <row r="182" spans="2:23" ht="12.75" customHeight="1" x14ac:dyDescent="0.25">
      <c r="B182" s="17"/>
      <c r="C182" s="17"/>
      <c r="D182" s="262"/>
      <c r="E182" s="1619" t="str">
        <f>Translations!$B$708</f>
        <v>Sum of production levels</v>
      </c>
      <c r="F182" s="1509"/>
      <c r="G182" s="1189"/>
      <c r="H182" s="1068"/>
      <c r="I182" s="841" t="str">
        <f>IF(COUNT(I172:I181)&gt;0,SUM(I172:I181),"")</f>
        <v/>
      </c>
      <c r="J182" s="841" t="str">
        <f>IF(COUNT(J172:J181)&gt;0,SUM(J172:J181),"")</f>
        <v/>
      </c>
      <c r="K182" s="841" t="str">
        <f>IF(COUNT(K172:K181)&gt;0,SUM(K172:K181),"")</f>
        <v/>
      </c>
      <c r="L182" s="841" t="str">
        <f>IF(COUNT(L172:L181)&gt;0,SUM(L172:L181),"")</f>
        <v/>
      </c>
      <c r="M182" s="897" t="str">
        <f>IF(COUNT(M172:M181)&gt;0,SUM(M172:M181),"")</f>
        <v/>
      </c>
      <c r="N182" s="8"/>
      <c r="O182" s="8"/>
    </row>
    <row r="183" spans="2:23" ht="12.75" customHeight="1" thickBot="1" x14ac:dyDescent="0.3">
      <c r="B183" s="17"/>
      <c r="C183" s="17"/>
      <c r="D183" s="17"/>
      <c r="E183" s="17"/>
      <c r="F183" s="17"/>
      <c r="G183" s="17"/>
      <c r="H183" s="17"/>
      <c r="I183" s="17"/>
      <c r="J183" s="17"/>
      <c r="K183" s="17"/>
      <c r="L183" s="17"/>
      <c r="M183" s="17"/>
      <c r="N183" s="17"/>
      <c r="O183" s="8"/>
    </row>
    <row r="184" spans="2:23" ht="5.0999999999999996" customHeight="1" x14ac:dyDescent="0.25">
      <c r="B184" s="8"/>
      <c r="C184" s="898"/>
      <c r="D184" s="155"/>
      <c r="E184" s="155"/>
      <c r="F184" s="155"/>
      <c r="G184" s="155"/>
      <c r="H184" s="155"/>
      <c r="I184" s="155"/>
      <c r="J184" s="155"/>
      <c r="K184" s="155"/>
      <c r="L184" s="155"/>
      <c r="M184" s="155"/>
      <c r="N184" s="156"/>
      <c r="O184" s="8"/>
      <c r="P184" s="9"/>
      <c r="R184" s="9"/>
      <c r="S184" s="9"/>
    </row>
    <row r="185" spans="2:23" ht="15" customHeight="1" x14ac:dyDescent="0.25">
      <c r="B185" s="17"/>
      <c r="C185" s="899"/>
      <c r="D185" s="1547" t="s">
        <v>469</v>
      </c>
      <c r="E185" s="1512"/>
      <c r="F185" s="1512"/>
      <c r="G185" s="1512"/>
      <c r="H185" s="1512"/>
      <c r="I185" s="1512"/>
      <c r="J185" s="1512"/>
      <c r="K185" s="1512"/>
      <c r="L185" s="1512"/>
      <c r="M185" s="1512"/>
      <c r="N185" s="1513"/>
      <c r="O185" s="8"/>
      <c r="R185" s="9"/>
      <c r="S185" s="9"/>
    </row>
    <row r="186" spans="2:23" ht="5.0999999999999996" customHeight="1" x14ac:dyDescent="0.25">
      <c r="B186" s="17"/>
      <c r="C186" s="900"/>
      <c r="D186" s="342"/>
      <c r="E186" s="342"/>
      <c r="F186" s="342"/>
      <c r="G186" s="342"/>
      <c r="H186" s="342"/>
      <c r="I186" s="342"/>
      <c r="J186" s="342"/>
      <c r="K186" s="342"/>
      <c r="L186" s="342"/>
      <c r="M186" s="342"/>
      <c r="N186" s="266"/>
      <c r="O186" s="8"/>
      <c r="R186" s="9"/>
      <c r="S186" s="9"/>
    </row>
    <row r="187" spans="2:23" ht="15" customHeight="1" x14ac:dyDescent="0.25">
      <c r="B187" s="17"/>
      <c r="C187" s="900"/>
      <c r="D187" s="1548" t="str">
        <f>EUconst_FBSubinst &amp; ":"</f>
        <v>Fall-Back sub-installation:</v>
      </c>
      <c r="E187" s="1512"/>
      <c r="F187" s="1512"/>
      <c r="G187" s="1512"/>
      <c r="H187" s="1549"/>
      <c r="I187" s="1550" t="str">
        <f>I143</f>
        <v>Heat benchmark sub-installation, non-CL</v>
      </c>
      <c r="J187" s="1509"/>
      <c r="K187" s="1509"/>
      <c r="L187" s="1509"/>
      <c r="M187" s="1509"/>
      <c r="N187" s="1551"/>
      <c r="O187" s="8"/>
      <c r="R187" s="9"/>
      <c r="S187" s="9"/>
    </row>
    <row r="188" spans="2:23" ht="5.0999999999999996" customHeight="1" x14ac:dyDescent="0.25">
      <c r="B188" s="17"/>
      <c r="C188" s="900"/>
      <c r="D188" s="342"/>
      <c r="E188" s="342"/>
      <c r="F188" s="342"/>
      <c r="G188" s="342"/>
      <c r="H188" s="342"/>
      <c r="I188" s="342"/>
      <c r="J188" s="342"/>
      <c r="K188" s="342"/>
      <c r="L188" s="342"/>
      <c r="M188" s="342"/>
      <c r="N188" s="266"/>
      <c r="O188" s="8"/>
      <c r="R188" s="9"/>
      <c r="S188" s="9"/>
    </row>
    <row r="189" spans="2:23" ht="12.75" customHeight="1" x14ac:dyDescent="0.25">
      <c r="B189" s="8"/>
      <c r="C189" s="899"/>
      <c r="D189" s="157" t="s">
        <v>195</v>
      </c>
      <c r="E189" s="1511" t="str">
        <f>Translations!$B$841</f>
        <v>Directly attributable emissions (DirEm*) to this sub-installation</v>
      </c>
      <c r="F189" s="1512"/>
      <c r="G189" s="1512"/>
      <c r="H189" s="1512"/>
      <c r="I189" s="1512"/>
      <c r="J189" s="1512"/>
      <c r="K189" s="1512"/>
      <c r="L189" s="1512"/>
      <c r="M189" s="1512"/>
      <c r="N189" s="1513"/>
      <c r="O189" s="8"/>
      <c r="P189" s="9"/>
      <c r="R189" s="9"/>
      <c r="S189" s="9"/>
    </row>
    <row r="190" spans="2:23" ht="12.75" customHeight="1" thickBot="1" x14ac:dyDescent="0.3">
      <c r="B190" s="8"/>
      <c r="C190" s="899"/>
      <c r="D190" s="159"/>
      <c r="E190" s="1533" t="str">
        <f>Translations!$B$876</f>
        <v>Detailed instructions for data entries here can be found under point 1.c above</v>
      </c>
      <c r="F190" s="1533"/>
      <c r="G190" s="1533"/>
      <c r="H190" s="1533"/>
      <c r="I190" s="1533"/>
      <c r="J190" s="1533"/>
      <c r="K190" s="1533"/>
      <c r="L190" s="1533"/>
      <c r="M190" s="1533"/>
      <c r="N190" s="1537"/>
      <c r="O190" s="8"/>
      <c r="P190" s="9"/>
      <c r="R190" s="9"/>
    </row>
    <row r="191" spans="2:23" ht="12.75" customHeight="1" x14ac:dyDescent="0.25">
      <c r="B191" s="8"/>
      <c r="C191" s="899"/>
      <c r="D191" s="157"/>
      <c r="E191" s="1522" t="str">
        <f>Translations!$B$690</f>
        <v>Total direct emissions</v>
      </c>
      <c r="F191" s="1523"/>
      <c r="G191" s="1523"/>
      <c r="H191" s="152" t="str">
        <f>EUconst_Unit</f>
        <v>Unit</v>
      </c>
      <c r="I191" s="153">
        <f>I$559</f>
        <v>2019</v>
      </c>
      <c r="J191" s="153">
        <f>J$559</f>
        <v>2020</v>
      </c>
      <c r="K191" s="153">
        <f>K$559</f>
        <v>2021</v>
      </c>
      <c r="L191" s="153">
        <f>L$559</f>
        <v>2022</v>
      </c>
      <c r="M191" s="153">
        <f>M$559</f>
        <v>2023</v>
      </c>
      <c r="N191" s="158"/>
      <c r="O191" s="8"/>
      <c r="P191" s="9"/>
      <c r="R191" s="325"/>
      <c r="S191" s="326">
        <f>I191</f>
        <v>2019</v>
      </c>
      <c r="T191" s="326">
        <f>J191</f>
        <v>2020</v>
      </c>
      <c r="U191" s="326">
        <f>K191</f>
        <v>2021</v>
      </c>
      <c r="V191" s="326">
        <f>L191</f>
        <v>2022</v>
      </c>
      <c r="W191" s="327">
        <f>M191</f>
        <v>2023</v>
      </c>
    </row>
    <row r="192" spans="2:23" ht="12.75" customHeight="1" thickBot="1" x14ac:dyDescent="0.3">
      <c r="B192" s="8"/>
      <c r="C192" s="899"/>
      <c r="D192" s="159"/>
      <c r="E192" s="1510" t="str">
        <f>I143</f>
        <v>Heat benchmark sub-installation, non-CL</v>
      </c>
      <c r="F192" s="1510"/>
      <c r="G192" s="1510"/>
      <c r="H192" s="154" t="str">
        <f>EUconst_tCO2epa</f>
        <v>t CO2e/year</v>
      </c>
      <c r="I192" s="231"/>
      <c r="J192" s="231"/>
      <c r="K192" s="231"/>
      <c r="L192" s="231"/>
      <c r="M192" s="231"/>
      <c r="N192" s="158"/>
      <c r="O192" s="8"/>
      <c r="P192" s="116" t="str">
        <f>EUconst_CNTR_Emissions &amp; I143</f>
        <v>DirEmissions_Heat benchmark sub-installation, non-CL</v>
      </c>
      <c r="R192" s="328" t="str">
        <f>EUconst_CNTR_AttributedEmissions &amp; $I143</f>
        <v>AttrEmissions_Heat benchmark sub-installation, non-CL</v>
      </c>
      <c r="S192" s="389" t="str">
        <f>IF(S143,SUM(I192),"")</f>
        <v/>
      </c>
      <c r="T192" s="389" t="str">
        <f>IF(T143,SUM(J192),"")</f>
        <v/>
      </c>
      <c r="U192" s="389" t="str">
        <f>IF(U143,SUM(K192),"")</f>
        <v/>
      </c>
      <c r="V192" s="389" t="str">
        <f>IF(V143,SUM(L192),"")</f>
        <v/>
      </c>
      <c r="W192" s="390" t="str">
        <f>IF(W143,SUM(M192),"")</f>
        <v/>
      </c>
    </row>
    <row r="193" spans="2:23" ht="5.0999999999999996" customHeight="1" x14ac:dyDescent="0.25">
      <c r="B193" s="8"/>
      <c r="C193" s="899"/>
      <c r="D193" s="159"/>
      <c r="E193" s="159"/>
      <c r="F193" s="159"/>
      <c r="G193" s="159"/>
      <c r="H193" s="159"/>
      <c r="I193" s="159"/>
      <c r="J193" s="159"/>
      <c r="K193" s="159"/>
      <c r="L193" s="159"/>
      <c r="M193" s="159"/>
      <c r="N193" s="158"/>
      <c r="O193" s="8"/>
      <c r="P193" s="9"/>
      <c r="R193" s="9"/>
    </row>
    <row r="194" spans="2:23" ht="12.75" customHeight="1" x14ac:dyDescent="0.25">
      <c r="B194" s="8"/>
      <c r="C194" s="899"/>
      <c r="D194" s="157" t="s">
        <v>197</v>
      </c>
      <c r="E194" s="1529" t="str">
        <f>Translations!$B$726</f>
        <v>Fuel input to this sub-installation and relevant emission factor</v>
      </c>
      <c r="F194" s="1529"/>
      <c r="G194" s="1529"/>
      <c r="H194" s="1529"/>
      <c r="I194" s="1529"/>
      <c r="J194" s="1529"/>
      <c r="K194" s="1529"/>
      <c r="L194" s="1529"/>
      <c r="M194" s="1529"/>
      <c r="N194" s="1534"/>
      <c r="O194" s="8"/>
      <c r="R194" s="9"/>
    </row>
    <row r="195" spans="2:23" ht="12.75" customHeight="1" x14ac:dyDescent="0.25">
      <c r="B195" s="8"/>
      <c r="C195" s="899"/>
      <c r="D195" s="159"/>
      <c r="E195" s="1533" t="str">
        <f>Translations!$B$877</f>
        <v>Detailed instructions for data entries here can be found under point 1.d above.</v>
      </c>
      <c r="F195" s="1533"/>
      <c r="G195" s="1533"/>
      <c r="H195" s="1533"/>
      <c r="I195" s="1533"/>
      <c r="J195" s="1533"/>
      <c r="K195" s="1533"/>
      <c r="L195" s="1533"/>
      <c r="M195" s="1533"/>
      <c r="N195" s="1537"/>
      <c r="O195" s="8"/>
      <c r="P195" s="9"/>
      <c r="R195" s="9"/>
    </row>
    <row r="196" spans="2:23" ht="12.75" customHeight="1" x14ac:dyDescent="0.25">
      <c r="B196" s="8"/>
      <c r="C196" s="899"/>
      <c r="D196" s="157"/>
      <c r="E196" s="1522"/>
      <c r="F196" s="1523"/>
      <c r="G196" s="1523"/>
      <c r="H196" s="152" t="str">
        <f>EUconst_Unit</f>
        <v>Unit</v>
      </c>
      <c r="I196" s="153">
        <f>I$559</f>
        <v>2019</v>
      </c>
      <c r="J196" s="153">
        <f>J$559</f>
        <v>2020</v>
      </c>
      <c r="K196" s="153">
        <f>K$559</f>
        <v>2021</v>
      </c>
      <c r="L196" s="153">
        <f>L$559</f>
        <v>2022</v>
      </c>
      <c r="M196" s="153">
        <f>M$559</f>
        <v>2023</v>
      </c>
      <c r="N196" s="158"/>
      <c r="O196" s="8"/>
      <c r="P196" s="9"/>
      <c r="R196" s="9"/>
    </row>
    <row r="197" spans="2:23" ht="12.75" customHeight="1" x14ac:dyDescent="0.25">
      <c r="B197" s="8"/>
      <c r="C197" s="899"/>
      <c r="D197" s="160" t="s">
        <v>206</v>
      </c>
      <c r="E197" s="1528" t="str">
        <f>Translations!$B$852</f>
        <v>Total fuel input</v>
      </c>
      <c r="F197" s="1528"/>
      <c r="G197" s="1528"/>
      <c r="H197" s="154" t="str">
        <f>EUconst_TJpa</f>
        <v>TJ / year</v>
      </c>
      <c r="I197" s="293"/>
      <c r="J197" s="293"/>
      <c r="K197" s="293"/>
      <c r="L197" s="293"/>
      <c r="M197" s="293"/>
      <c r="N197" s="195"/>
      <c r="O197" s="8"/>
      <c r="P197" s="116" t="str">
        <f>EUconst_CNTR_FuelInput &amp; I143</f>
        <v>FuelInput_Heat benchmark sub-installation, non-CL</v>
      </c>
      <c r="R197" s="9"/>
    </row>
    <row r="198" spans="2:23" ht="12.75" customHeight="1" x14ac:dyDescent="0.25">
      <c r="B198" s="8"/>
      <c r="C198" s="899"/>
      <c r="D198" s="160" t="s">
        <v>208</v>
      </c>
      <c r="E198" s="1523" t="str">
        <f>Translations!$B$732</f>
        <v>Weighted emission factor</v>
      </c>
      <c r="F198" s="1523"/>
      <c r="G198" s="1523"/>
      <c r="H198" s="904" t="str">
        <f>EUconst_tCO2pTJ</f>
        <v>t CO2 / TJ</v>
      </c>
      <c r="I198" s="865"/>
      <c r="J198" s="865"/>
      <c r="K198" s="865"/>
      <c r="L198" s="865"/>
      <c r="M198" s="865"/>
      <c r="N198" s="158"/>
      <c r="O198" s="8"/>
      <c r="P198" s="116" t="str">
        <f>EUconst_CNTR_FuelEF &amp; I143</f>
        <v>FuelEF_Heat benchmark sub-installation, non-CL</v>
      </c>
      <c r="R198" s="9"/>
    </row>
    <row r="199" spans="2:23" ht="5.0999999999999996" customHeight="1" x14ac:dyDescent="0.25">
      <c r="B199" s="8"/>
      <c r="C199" s="899"/>
      <c r="D199" s="159"/>
      <c r="E199" s="159"/>
      <c r="F199" s="159"/>
      <c r="G199" s="159"/>
      <c r="H199" s="159"/>
      <c r="I199" s="159"/>
      <c r="J199" s="159"/>
      <c r="K199" s="159"/>
      <c r="L199" s="159"/>
      <c r="M199" s="159"/>
      <c r="N199" s="158"/>
      <c r="O199" s="8"/>
      <c r="P199" s="9"/>
      <c r="R199" s="9"/>
    </row>
    <row r="200" spans="2:23" ht="12.75" customHeight="1" x14ac:dyDescent="0.25">
      <c r="B200" s="8"/>
      <c r="C200" s="899"/>
      <c r="D200" s="160" t="s">
        <v>209</v>
      </c>
      <c r="E200" s="1528" t="str">
        <f>Translations!$B$853</f>
        <v>Fuel input from waste gases</v>
      </c>
      <c r="F200" s="1528"/>
      <c r="G200" s="1528"/>
      <c r="H200" s="154" t="str">
        <f>EUconst_TJpa</f>
        <v>TJ / year</v>
      </c>
      <c r="I200" s="293"/>
      <c r="J200" s="293"/>
      <c r="K200" s="293"/>
      <c r="L200" s="293"/>
      <c r="M200" s="293"/>
      <c r="N200" s="158"/>
      <c r="O200" s="8"/>
      <c r="P200" s="626" t="str">
        <f>EUconst_CNTR_WGConsumed &amp; I143</f>
        <v>WasteGasCons_Heat benchmark sub-installation, non-CL</v>
      </c>
      <c r="R200" s="9"/>
    </row>
    <row r="201" spans="2:23" ht="12.75" customHeight="1" x14ac:dyDescent="0.25">
      <c r="B201" s="8"/>
      <c r="C201" s="899"/>
      <c r="D201" s="160" t="s">
        <v>210</v>
      </c>
      <c r="E201" s="1528" t="str">
        <f>Translations!$B$854</f>
        <v>Specific EF (waste gas)</v>
      </c>
      <c r="F201" s="1528"/>
      <c r="G201" s="1528"/>
      <c r="H201" s="904" t="str">
        <f>EUconst_tCO2pTJ</f>
        <v>t CO2 / TJ</v>
      </c>
      <c r="I201" s="865"/>
      <c r="J201" s="865"/>
      <c r="K201" s="865"/>
      <c r="L201" s="865"/>
      <c r="M201" s="865"/>
      <c r="N201" s="158"/>
      <c r="O201" s="8"/>
      <c r="P201" s="116" t="str">
        <f>EUconst_CNTR_WGConsumedEF &amp; I143</f>
        <v>WasteGasConsEF_Heat benchmark sub-installation, non-CL</v>
      </c>
      <c r="R201" s="9"/>
    </row>
    <row r="202" spans="2:23" ht="5.0999999999999996" customHeight="1" x14ac:dyDescent="0.25">
      <c r="B202" s="17"/>
      <c r="C202" s="900"/>
      <c r="D202" s="342"/>
      <c r="E202" s="342"/>
      <c r="F202" s="342"/>
      <c r="G202" s="342"/>
      <c r="H202" s="342"/>
      <c r="I202" s="342"/>
      <c r="J202" s="342"/>
      <c r="K202" s="342"/>
      <c r="L202" s="342"/>
      <c r="M202" s="342"/>
      <c r="N202" s="266"/>
      <c r="O202" s="8"/>
      <c r="R202" s="9"/>
      <c r="S202" s="9"/>
    </row>
    <row r="203" spans="2:23" ht="12.75" customHeight="1" x14ac:dyDescent="0.25">
      <c r="B203" s="8"/>
      <c r="C203" s="899"/>
      <c r="D203" s="157" t="s">
        <v>202</v>
      </c>
      <c r="E203" s="1511" t="str">
        <f>Translations!$B$532</f>
        <v>Measurable heat produced</v>
      </c>
      <c r="F203" s="1512"/>
      <c r="G203" s="1512"/>
      <c r="H203" s="1512"/>
      <c r="I203" s="1512"/>
      <c r="J203" s="1512"/>
      <c r="K203" s="1512"/>
      <c r="L203" s="1512"/>
      <c r="M203" s="1512"/>
      <c r="N203" s="1513"/>
      <c r="O203" s="8"/>
      <c r="P203" s="9"/>
      <c r="R203" s="9"/>
      <c r="S203" s="9"/>
    </row>
    <row r="204" spans="2:23" ht="12.75" customHeight="1" x14ac:dyDescent="0.25">
      <c r="B204" s="8"/>
      <c r="C204" s="899"/>
      <c r="D204" s="159"/>
      <c r="E204" s="1533" t="str">
        <f>Translations!$B$878</f>
        <v>Detailed instructions for data entries here can be found under point 1.e above.</v>
      </c>
      <c r="F204" s="1533"/>
      <c r="G204" s="1533"/>
      <c r="H204" s="1533"/>
      <c r="I204" s="1533"/>
      <c r="J204" s="1533"/>
      <c r="K204" s="1533"/>
      <c r="L204" s="1533"/>
      <c r="M204" s="1533"/>
      <c r="N204" s="1537"/>
      <c r="O204" s="8"/>
      <c r="P204" s="9"/>
      <c r="R204" s="9"/>
    </row>
    <row r="205" spans="2:23" ht="12.75" customHeight="1" x14ac:dyDescent="0.25">
      <c r="B205" s="8"/>
      <c r="C205" s="899"/>
      <c r="D205" s="157"/>
      <c r="E205" s="1522" t="str">
        <f>Translations!$B$532</f>
        <v>Measurable heat produced</v>
      </c>
      <c r="F205" s="1523"/>
      <c r="G205" s="1523"/>
      <c r="H205" s="152" t="str">
        <f>EUconst_Unit</f>
        <v>Unit</v>
      </c>
      <c r="I205" s="153">
        <f>I$559</f>
        <v>2019</v>
      </c>
      <c r="J205" s="153">
        <f>J$559</f>
        <v>2020</v>
      </c>
      <c r="K205" s="153">
        <f>K$559</f>
        <v>2021</v>
      </c>
      <c r="L205" s="153">
        <f>L$559</f>
        <v>2022</v>
      </c>
      <c r="M205" s="153">
        <f>M$559</f>
        <v>2023</v>
      </c>
      <c r="N205" s="158"/>
      <c r="O205" s="8"/>
      <c r="P205" s="9"/>
      <c r="R205" s="9"/>
      <c r="S205" s="9"/>
      <c r="T205" s="9"/>
      <c r="U205" s="9"/>
      <c r="V205" s="9"/>
      <c r="W205" s="9"/>
    </row>
    <row r="206" spans="2:23" ht="12.75" customHeight="1" x14ac:dyDescent="0.25">
      <c r="B206" s="8"/>
      <c r="C206" s="899"/>
      <c r="D206" s="159"/>
      <c r="E206" s="1510" t="str">
        <f>E192</f>
        <v>Heat benchmark sub-installation, non-CL</v>
      </c>
      <c r="F206" s="1510"/>
      <c r="G206" s="1510"/>
      <c r="H206" s="154" t="str">
        <f>EUconst_TJpa</f>
        <v>TJ / year</v>
      </c>
      <c r="I206" s="231"/>
      <c r="J206" s="231"/>
      <c r="K206" s="231"/>
      <c r="L206" s="231"/>
      <c r="M206" s="231"/>
      <c r="N206" s="158"/>
      <c r="O206" s="8"/>
      <c r="P206" s="116" t="str">
        <f>EUconst_CNTR_HeatProduced &amp; I143</f>
        <v>HeatProd_Heat benchmark sub-installation, non-CL</v>
      </c>
      <c r="R206" s="9"/>
      <c r="S206" s="9"/>
      <c r="T206" s="9"/>
      <c r="U206" s="9"/>
      <c r="V206" s="9"/>
      <c r="W206" s="9"/>
    </row>
    <row r="207" spans="2:23" ht="5.0999999999999996" customHeight="1" x14ac:dyDescent="0.25">
      <c r="B207" s="8"/>
      <c r="C207" s="899"/>
      <c r="D207" s="159"/>
      <c r="E207" s="159"/>
      <c r="F207" s="159"/>
      <c r="G207" s="159"/>
      <c r="H207" s="159"/>
      <c r="I207" s="159"/>
      <c r="J207" s="159"/>
      <c r="K207" s="159"/>
      <c r="L207" s="159"/>
      <c r="M207" s="159"/>
      <c r="N207" s="158"/>
      <c r="O207" s="8"/>
      <c r="P207" s="9"/>
      <c r="R207" s="9"/>
    </row>
    <row r="208" spans="2:23" ht="12.75" customHeight="1" x14ac:dyDescent="0.25">
      <c r="B208" s="8"/>
      <c r="C208" s="899"/>
      <c r="D208" s="157" t="s">
        <v>199</v>
      </c>
      <c r="E208" s="1511" t="str">
        <f>Translations!$B$857</f>
        <v>Measurable heat imported</v>
      </c>
      <c r="F208" s="1512"/>
      <c r="G208" s="1512"/>
      <c r="H208" s="1512"/>
      <c r="I208" s="1512"/>
      <c r="J208" s="1512"/>
      <c r="K208" s="1512"/>
      <c r="L208" s="1512"/>
      <c r="M208" s="1512"/>
      <c r="N208" s="1513"/>
      <c r="O208" s="8"/>
      <c r="P208" s="9"/>
      <c r="R208" s="9"/>
    </row>
    <row r="209" spans="2:23" ht="12.75" customHeight="1" x14ac:dyDescent="0.25">
      <c r="B209" s="8"/>
      <c r="C209" s="899"/>
      <c r="D209" s="159"/>
      <c r="E209" s="1533" t="str">
        <f>Translations!$B$879</f>
        <v>Detailed instructions for data entries here can be found under point 1.f above.</v>
      </c>
      <c r="F209" s="1533"/>
      <c r="G209" s="1533"/>
      <c r="H209" s="1533"/>
      <c r="I209" s="1533"/>
      <c r="J209" s="1533"/>
      <c r="K209" s="1533"/>
      <c r="L209" s="1533"/>
      <c r="M209" s="1533"/>
      <c r="N209" s="1537"/>
      <c r="O209" s="8"/>
      <c r="P209" s="9"/>
      <c r="R209" s="9"/>
    </row>
    <row r="210" spans="2:23" ht="12.75" customHeight="1" x14ac:dyDescent="0.25">
      <c r="B210" s="8"/>
      <c r="C210" s="899"/>
      <c r="D210" s="159"/>
      <c r="E210" s="1522" t="str">
        <f>Translations!$B$866</f>
        <v>Net heat imported (other sources)</v>
      </c>
      <c r="F210" s="1523"/>
      <c r="G210" s="1523"/>
      <c r="H210" s="152" t="str">
        <f>EUconst_Unit</f>
        <v>Unit</v>
      </c>
      <c r="I210" s="153">
        <f>I$559</f>
        <v>2019</v>
      </c>
      <c r="J210" s="153">
        <f>J$559</f>
        <v>2020</v>
      </c>
      <c r="K210" s="153">
        <f>K$559</f>
        <v>2021</v>
      </c>
      <c r="L210" s="153">
        <f>L$559</f>
        <v>2022</v>
      </c>
      <c r="M210" s="153">
        <f>M$559</f>
        <v>2023</v>
      </c>
      <c r="N210" s="903"/>
      <c r="O210" s="8"/>
      <c r="P210" s="9"/>
      <c r="R210" s="9"/>
      <c r="S210" s="28">
        <f>I210</f>
        <v>2019</v>
      </c>
      <c r="T210" s="28">
        <f>J210</f>
        <v>2020</v>
      </c>
      <c r="U210" s="28">
        <f>K210</f>
        <v>2021</v>
      </c>
      <c r="V210" s="28">
        <f>L210</f>
        <v>2022</v>
      </c>
      <c r="W210" s="28">
        <f>M210</f>
        <v>2023</v>
      </c>
    </row>
    <row r="211" spans="2:23" ht="12.75" customHeight="1" x14ac:dyDescent="0.25">
      <c r="B211" s="8"/>
      <c r="C211" s="899"/>
      <c r="D211" s="160" t="s">
        <v>206</v>
      </c>
      <c r="E211" s="1528" t="str">
        <f>Translations!$B$764</f>
        <v>Net heat imported</v>
      </c>
      <c r="F211" s="1528"/>
      <c r="G211" s="1528"/>
      <c r="H211" s="154" t="str">
        <f>EUconst_TJpa</f>
        <v>TJ / year</v>
      </c>
      <c r="I211" s="311"/>
      <c r="J211" s="311"/>
      <c r="K211" s="311"/>
      <c r="L211" s="311"/>
      <c r="M211" s="311"/>
      <c r="N211" s="195"/>
      <c r="O211" s="8"/>
      <c r="P211" s="116" t="str">
        <f>EUconst_CNTR_HeatImport &amp; I143</f>
        <v>HeatIm_Heat benchmark sub-installation, non-CL</v>
      </c>
      <c r="R211" s="352" t="str">
        <f>EUconst_ERR_AttrEmBMapplied &amp; $I143</f>
        <v>ERR_AttrEmBM_Heat benchmark sub-installation, non-CL</v>
      </c>
      <c r="S211" s="63">
        <f>IF(AND(I211&lt;&gt;0,I212="",EUconst_StatusOfDataCollection=FALSE),1,0)</f>
        <v>0</v>
      </c>
      <c r="T211" s="63">
        <f>IF(AND(J211&lt;&gt;0,J212="",EUconst_StatusOfDataCollection=FALSE),1,0)</f>
        <v>0</v>
      </c>
      <c r="U211" s="63">
        <f>IF(AND(K211&lt;&gt;0,K212="",EUconst_StatusOfDataCollection=FALSE),1,0)</f>
        <v>0</v>
      </c>
      <c r="V211" s="63">
        <f>IF(AND(L211&lt;&gt;0,L212="",EUconst_StatusOfDataCollection=FALSE),1,0)</f>
        <v>0</v>
      </c>
      <c r="W211" s="63">
        <f>IF(AND(M211&lt;&gt;0,M212="",EUconst_StatusOfDataCollection=FALSE),1,0)</f>
        <v>0</v>
      </c>
    </row>
    <row r="212" spans="2:23" ht="12.75" customHeight="1" x14ac:dyDescent="0.25">
      <c r="B212" s="8"/>
      <c r="C212" s="899"/>
      <c r="D212" s="160" t="s">
        <v>208</v>
      </c>
      <c r="E212" s="1528" t="str">
        <f>Translations!$B$765</f>
        <v>Specific EF (imported heat)</v>
      </c>
      <c r="F212" s="1528"/>
      <c r="G212" s="1528"/>
      <c r="H212" s="154" t="str">
        <f>EUconst_tCO2pTJ</f>
        <v>t CO2 / TJ</v>
      </c>
      <c r="I212" s="1065"/>
      <c r="J212" s="1065"/>
      <c r="K212" s="1065"/>
      <c r="L212" s="1065"/>
      <c r="M212" s="1065"/>
      <c r="N212" s="158"/>
      <c r="O212" s="8"/>
      <c r="P212" s="116" t="str">
        <f>EUconst_CNTR_HeatImportEF &amp; I143</f>
        <v>HeatImEF_Heat benchmark sub-installation, non-CL</v>
      </c>
      <c r="R212" s="374" t="str">
        <f>EUconst_CNTR_AttributedEmissions &amp; $I143</f>
        <v>AttrEmissions_Heat benchmark sub-installation, non-CL</v>
      </c>
      <c r="S212" s="63" t="str">
        <f>IF(S143,SUM(I211)*IF(ISNUMBER(I212),I212,EUconst_HeatBMvalueForBM),"")</f>
        <v/>
      </c>
      <c r="T212" s="63" t="str">
        <f>IF(T143,SUM(J211)*IF(ISNUMBER(J212),J212,EUconst_HeatBMvalueForBM),"")</f>
        <v/>
      </c>
      <c r="U212" s="63" t="str">
        <f>IF(U143,SUM(K211)*IF(ISNUMBER(K212),K212,EUconst_HeatBMvalueForBM),"")</f>
        <v/>
      </c>
      <c r="V212" s="63" t="str">
        <f>IF(V143,SUM(L211)*IF(ISNUMBER(L212),L212,EUconst_HeatBMvalueForBM),"")</f>
        <v/>
      </c>
      <c r="W212" s="63" t="str">
        <f>IF(W143,SUM(M211)*IF(ISNUMBER(M212),M212,EUconst_HeatBMvalueForBM),"")</f>
        <v/>
      </c>
    </row>
    <row r="213" spans="2:23" ht="5.0999999999999996" customHeight="1" x14ac:dyDescent="0.25">
      <c r="B213" s="8"/>
      <c r="C213" s="899"/>
      <c r="D213" s="159"/>
      <c r="E213" s="159"/>
      <c r="F213" s="159"/>
      <c r="G213" s="159"/>
      <c r="H213" s="159"/>
      <c r="I213" s="159"/>
      <c r="J213" s="159"/>
      <c r="K213" s="159"/>
      <c r="L213" s="159"/>
      <c r="M213" s="159"/>
      <c r="N213" s="158"/>
      <c r="O213" s="8"/>
      <c r="P213" s="9"/>
      <c r="R213" s="9"/>
      <c r="S213" s="9"/>
    </row>
    <row r="214" spans="2:23" ht="12.75" customHeight="1" x14ac:dyDescent="0.25">
      <c r="B214" s="8"/>
      <c r="C214" s="899"/>
      <c r="D214" s="159"/>
      <c r="E214" s="1522" t="str">
        <f>Translations!$B$867</f>
        <v>Heat from product BM</v>
      </c>
      <c r="F214" s="1523"/>
      <c r="G214" s="1523"/>
      <c r="H214" s="152" t="str">
        <f>EUconst_Unit</f>
        <v>Unit</v>
      </c>
      <c r="I214" s="153">
        <f>I$559</f>
        <v>2019</v>
      </c>
      <c r="J214" s="153">
        <f>J$559</f>
        <v>2020</v>
      </c>
      <c r="K214" s="153">
        <f>K$559</f>
        <v>2021</v>
      </c>
      <c r="L214" s="153">
        <f>L$559</f>
        <v>2022</v>
      </c>
      <c r="M214" s="153">
        <f>M$559</f>
        <v>2023</v>
      </c>
      <c r="N214" s="903"/>
      <c r="O214" s="8"/>
      <c r="P214" s="9"/>
      <c r="R214" s="9"/>
      <c r="S214" s="28">
        <f>I214</f>
        <v>2019</v>
      </c>
      <c r="T214" s="28">
        <f>J214</f>
        <v>2020</v>
      </c>
      <c r="U214" s="28">
        <f>K214</f>
        <v>2021</v>
      </c>
      <c r="V214" s="28">
        <f>L214</f>
        <v>2022</v>
      </c>
      <c r="W214" s="28">
        <f>M214</f>
        <v>2023</v>
      </c>
    </row>
    <row r="215" spans="2:23" ht="12.75" customHeight="1" x14ac:dyDescent="0.25">
      <c r="B215" s="8"/>
      <c r="C215" s="899"/>
      <c r="D215" s="160" t="s">
        <v>210</v>
      </c>
      <c r="E215" s="1528" t="str">
        <f>Translations!$B$764</f>
        <v>Net heat imported</v>
      </c>
      <c r="F215" s="1528"/>
      <c r="G215" s="1528"/>
      <c r="H215" s="154" t="str">
        <f>EUconst_TJpa</f>
        <v>TJ / year</v>
      </c>
      <c r="I215" s="311"/>
      <c r="J215" s="311"/>
      <c r="K215" s="311"/>
      <c r="L215" s="311"/>
      <c r="M215" s="311"/>
      <c r="N215" s="195"/>
      <c r="O215" s="8"/>
      <c r="P215" s="116" t="str">
        <f>EUconst_CNTR_HeatImportProduct &amp; I143</f>
        <v>HeatImProd_Heat benchmark sub-installation, non-CL</v>
      </c>
      <c r="R215" s="352" t="str">
        <f>EUconst_ERR_AttrEmBMapplied &amp; $I143</f>
        <v>ERR_AttrEmBM_Heat benchmark sub-installation, non-CL</v>
      </c>
      <c r="S215" s="63">
        <f>IF(AND(I215&lt;&gt;0,I216="",EUconst_StatusOfDataCollection=FALSE),1,0)</f>
        <v>0</v>
      </c>
      <c r="T215" s="63">
        <f>IF(AND(J215&lt;&gt;0,J216="",EUconst_StatusOfDataCollection=FALSE),1,0)</f>
        <v>0</v>
      </c>
      <c r="U215" s="63">
        <f>IF(AND(K215&lt;&gt;0,K216="",EUconst_StatusOfDataCollection=FALSE),1,0)</f>
        <v>0</v>
      </c>
      <c r="V215" s="63">
        <f>IF(AND(L215&lt;&gt;0,L216="",EUconst_StatusOfDataCollection=FALSE),1,0)</f>
        <v>0</v>
      </c>
      <c r="W215" s="63">
        <f>IF(AND(M215&lt;&gt;0,M216="",EUconst_StatusOfDataCollection=FALSE),1,0)</f>
        <v>0</v>
      </c>
    </row>
    <row r="216" spans="2:23" ht="12.75" customHeight="1" x14ac:dyDescent="0.25">
      <c r="B216" s="8"/>
      <c r="C216" s="899"/>
      <c r="D216" s="160" t="s">
        <v>220</v>
      </c>
      <c r="E216" s="1528" t="str">
        <f>Translations!$B$868</f>
        <v>Specific EF (from product BM)</v>
      </c>
      <c r="F216" s="1528"/>
      <c r="G216" s="1528"/>
      <c r="H216" s="154" t="str">
        <f>EUconst_tCO2pTJ</f>
        <v>t CO2 / TJ</v>
      </c>
      <c r="I216" s="1065"/>
      <c r="J216" s="1065"/>
      <c r="K216" s="1065"/>
      <c r="L216" s="1065"/>
      <c r="M216" s="1065"/>
      <c r="N216" s="158"/>
      <c r="O216" s="8"/>
      <c r="P216" s="116" t="str">
        <f>EUconst_CNTR_HeatImportProductEF &amp; I143</f>
        <v>HeatImProdEF_Heat benchmark sub-installation, non-CL</v>
      </c>
      <c r="R216" s="374" t="str">
        <f>EUconst_CNTR_AttributedEmissions &amp; $I143</f>
        <v>AttrEmissions_Heat benchmark sub-installation, non-CL</v>
      </c>
      <c r="S216" s="63" t="str">
        <f>IF(S143,SUM(I215)*IF(ISNUMBER(I216),I216,EUconst_HeatBMvalueForBM),"")</f>
        <v/>
      </c>
      <c r="T216" s="63" t="str">
        <f>IF(T143,SUM(J215)*IF(ISNUMBER(J216),J216,EUconst_HeatBMvalueForBM),"")</f>
        <v/>
      </c>
      <c r="U216" s="63" t="str">
        <f>IF(U143,SUM(K215)*IF(ISNUMBER(K216),K216,EUconst_HeatBMvalueForBM),"")</f>
        <v/>
      </c>
      <c r="V216" s="63" t="str">
        <f>IF(V143,SUM(L215)*IF(ISNUMBER(L216),L216,EUconst_HeatBMvalueForBM),"")</f>
        <v/>
      </c>
      <c r="W216" s="63" t="str">
        <f>IF(W143,SUM(M215)*IF(ISNUMBER(M216),M216,EUconst_HeatBMvalueForBM),"")</f>
        <v/>
      </c>
    </row>
    <row r="217" spans="2:23" ht="5.0999999999999996" customHeight="1" x14ac:dyDescent="0.25">
      <c r="B217" s="8"/>
      <c r="C217" s="899"/>
      <c r="D217" s="159"/>
      <c r="E217" s="159"/>
      <c r="F217" s="159"/>
      <c r="G217" s="159"/>
      <c r="H217" s="159"/>
      <c r="I217" s="159"/>
      <c r="J217" s="159"/>
      <c r="K217" s="159"/>
      <c r="L217" s="159"/>
      <c r="M217" s="159"/>
      <c r="N217" s="158"/>
      <c r="O217" s="8"/>
      <c r="P217" s="9"/>
      <c r="R217" s="9"/>
      <c r="S217" s="9"/>
    </row>
    <row r="218" spans="2:23" ht="12.75" customHeight="1" x14ac:dyDescent="0.25">
      <c r="B218" s="8"/>
      <c r="C218" s="899"/>
      <c r="D218" s="159"/>
      <c r="E218" s="1522" t="str">
        <f>Translations!$B$869</f>
        <v>Heat from pulp</v>
      </c>
      <c r="F218" s="1523"/>
      <c r="G218" s="1523"/>
      <c r="H218" s="152" t="str">
        <f>EUconst_Unit</f>
        <v>Unit</v>
      </c>
      <c r="I218" s="153">
        <f>I$559</f>
        <v>2019</v>
      </c>
      <c r="J218" s="153">
        <f>J$559</f>
        <v>2020</v>
      </c>
      <c r="K218" s="153">
        <f>K$559</f>
        <v>2021</v>
      </c>
      <c r="L218" s="153">
        <f>L$559</f>
        <v>2022</v>
      </c>
      <c r="M218" s="153">
        <f>M$559</f>
        <v>2023</v>
      </c>
      <c r="N218" s="903"/>
      <c r="O218" s="8"/>
      <c r="P218" s="9"/>
      <c r="R218" s="9"/>
      <c r="S218" s="28">
        <f>I218</f>
        <v>2019</v>
      </c>
      <c r="T218" s="28">
        <f>J218</f>
        <v>2020</v>
      </c>
      <c r="U218" s="28">
        <f>K218</f>
        <v>2021</v>
      </c>
      <c r="V218" s="28">
        <f>L218</f>
        <v>2022</v>
      </c>
      <c r="W218" s="28">
        <f>M218</f>
        <v>2023</v>
      </c>
    </row>
    <row r="219" spans="2:23" ht="12.75" customHeight="1" x14ac:dyDescent="0.25">
      <c r="B219" s="8"/>
      <c r="C219" s="899"/>
      <c r="D219" s="160" t="s">
        <v>222</v>
      </c>
      <c r="E219" s="1528" t="str">
        <f>Translations!$B$764</f>
        <v>Net heat imported</v>
      </c>
      <c r="F219" s="1528"/>
      <c r="G219" s="1528"/>
      <c r="H219" s="154" t="str">
        <f>EUconst_TJpa</f>
        <v>TJ / year</v>
      </c>
      <c r="I219" s="311"/>
      <c r="J219" s="311"/>
      <c r="K219" s="311"/>
      <c r="L219" s="311"/>
      <c r="M219" s="311"/>
      <c r="N219" s="195"/>
      <c r="O219" s="8"/>
      <c r="P219" s="116" t="str">
        <f>EUconst_CNTR_HeatImportPulp &amp; I143</f>
        <v>HeatImPulp_Heat benchmark sub-installation, non-CL</v>
      </c>
      <c r="R219" s="352" t="str">
        <f>EUconst_ERR_AttrEmBMapplied &amp; $I143</f>
        <v>ERR_AttrEmBM_Heat benchmark sub-installation, non-CL</v>
      </c>
      <c r="S219" s="63">
        <f>IF(AND(I219&lt;&gt;0,I220="",EUconst_StatusOfDataCollection=FALSE),1,0)</f>
        <v>0</v>
      </c>
      <c r="T219" s="63">
        <f>IF(AND(J219&lt;&gt;0,J220="",EUconst_StatusOfDataCollection=FALSE),1,0)</f>
        <v>0</v>
      </c>
      <c r="U219" s="63">
        <f>IF(AND(K219&lt;&gt;0,K220="",EUconst_StatusOfDataCollection=FALSE),1,0)</f>
        <v>0</v>
      </c>
      <c r="V219" s="63">
        <f>IF(AND(L219&lt;&gt;0,L220="",EUconst_StatusOfDataCollection=FALSE),1,0)</f>
        <v>0</v>
      </c>
      <c r="W219" s="63">
        <f>IF(AND(M219&lt;&gt;0,M220="",EUconst_StatusOfDataCollection=FALSE),1,0)</f>
        <v>0</v>
      </c>
    </row>
    <row r="220" spans="2:23" ht="12.75" customHeight="1" x14ac:dyDescent="0.25">
      <c r="B220" s="8"/>
      <c r="C220" s="899"/>
      <c r="D220" s="160" t="s">
        <v>223</v>
      </c>
      <c r="E220" s="1528" t="str">
        <f>Translations!$B$870</f>
        <v>Specific EF (from pulp)</v>
      </c>
      <c r="F220" s="1528"/>
      <c r="G220" s="1528"/>
      <c r="H220" s="154" t="str">
        <f>EUconst_tCO2pTJ</f>
        <v>t CO2 / TJ</v>
      </c>
      <c r="I220" s="1065"/>
      <c r="J220" s="1065"/>
      <c r="K220" s="1065"/>
      <c r="L220" s="1065"/>
      <c r="M220" s="1065"/>
      <c r="N220" s="158"/>
      <c r="O220" s="8"/>
      <c r="P220" s="116" t="str">
        <f>EUconst_CNTR_HeatImportPulpEF &amp; I143</f>
        <v>HeatImPulpEF_Heat benchmark sub-installation, non-CL</v>
      </c>
      <c r="R220" s="374" t="str">
        <f>EUconst_CNTR_AttributedEmissions &amp; $I143</f>
        <v>AttrEmissions_Heat benchmark sub-installation, non-CL</v>
      </c>
      <c r="S220" s="63" t="str">
        <f>IF(S143,SUM(I219)*IF(ISNUMBER(I220),I220,EUconst_HeatBMvalueForBM),"")</f>
        <v/>
      </c>
      <c r="T220" s="63" t="str">
        <f>IF(T143,SUM(J219)*IF(ISNUMBER(J220),J220,EUconst_HeatBMvalueForBM),"")</f>
        <v/>
      </c>
      <c r="U220" s="63" t="str">
        <f>IF(U143,SUM(K219)*IF(ISNUMBER(K220),K220,EUconst_HeatBMvalueForBM),"")</f>
        <v/>
      </c>
      <c r="V220" s="63" t="str">
        <f>IF(V143,SUM(L219)*IF(ISNUMBER(L220),L220,EUconst_HeatBMvalueForBM),"")</f>
        <v/>
      </c>
      <c r="W220" s="63" t="str">
        <f>IF(W143,SUM(M219)*IF(ISNUMBER(M220),M220,EUconst_HeatBMvalueForBM),"")</f>
        <v/>
      </c>
    </row>
    <row r="221" spans="2:23" ht="5.0999999999999996" customHeight="1" x14ac:dyDescent="0.25">
      <c r="B221" s="8"/>
      <c r="C221" s="899"/>
      <c r="D221" s="159"/>
      <c r="E221" s="159"/>
      <c r="F221" s="159"/>
      <c r="G221" s="159"/>
      <c r="H221" s="159"/>
      <c r="I221" s="159"/>
      <c r="J221" s="159"/>
      <c r="K221" s="159"/>
      <c r="L221" s="159"/>
      <c r="M221" s="159"/>
      <c r="N221" s="158"/>
      <c r="O221" s="8"/>
      <c r="P221" s="9"/>
      <c r="R221" s="9"/>
      <c r="S221" s="9"/>
    </row>
    <row r="222" spans="2:23" ht="12.75" customHeight="1" x14ac:dyDescent="0.25">
      <c r="B222" s="8"/>
      <c r="C222" s="899"/>
      <c r="D222" s="159"/>
      <c r="E222" s="1522" t="str">
        <f>Translations!$B$871</f>
        <v>Heat from fuel BM</v>
      </c>
      <c r="F222" s="1523"/>
      <c r="G222" s="1523"/>
      <c r="H222" s="152" t="str">
        <f>EUconst_Unit</f>
        <v>Unit</v>
      </c>
      <c r="I222" s="153">
        <f>I$559</f>
        <v>2019</v>
      </c>
      <c r="J222" s="153">
        <f>J$559</f>
        <v>2020</v>
      </c>
      <c r="K222" s="153">
        <f>K$559</f>
        <v>2021</v>
      </c>
      <c r="L222" s="153">
        <f>L$559</f>
        <v>2022</v>
      </c>
      <c r="M222" s="153">
        <f>M$559</f>
        <v>2023</v>
      </c>
      <c r="N222" s="903"/>
      <c r="O222" s="8"/>
      <c r="P222" s="9"/>
      <c r="R222" s="9"/>
      <c r="S222" s="28">
        <f>I222</f>
        <v>2019</v>
      </c>
      <c r="T222" s="28">
        <f>J222</f>
        <v>2020</v>
      </c>
      <c r="U222" s="28">
        <f>K222</f>
        <v>2021</v>
      </c>
      <c r="V222" s="28">
        <f>L222</f>
        <v>2022</v>
      </c>
      <c r="W222" s="28">
        <f>M222</f>
        <v>2023</v>
      </c>
    </row>
    <row r="223" spans="2:23" ht="12.75" customHeight="1" x14ac:dyDescent="0.25">
      <c r="B223" s="8"/>
      <c r="C223" s="899"/>
      <c r="D223" s="160" t="s">
        <v>345</v>
      </c>
      <c r="E223" s="1528" t="str">
        <f>Translations!$B$764</f>
        <v>Net heat imported</v>
      </c>
      <c r="F223" s="1528"/>
      <c r="G223" s="1528"/>
      <c r="H223" s="154" t="str">
        <f>EUconst_TJpa</f>
        <v>TJ / year</v>
      </c>
      <c r="I223" s="311"/>
      <c r="J223" s="311"/>
      <c r="K223" s="311"/>
      <c r="L223" s="311"/>
      <c r="M223" s="311"/>
      <c r="N223" s="195"/>
      <c r="O223" s="8"/>
      <c r="P223" s="116" t="str">
        <f>EUconst_CNTR_HeatImportFuel &amp; I143</f>
        <v>HeatImFuel_Heat benchmark sub-installation, non-CL</v>
      </c>
      <c r="R223" s="352" t="str">
        <f>EUconst_ERR_AttrEmBMapplied &amp; $I143</f>
        <v>ERR_AttrEmBM_Heat benchmark sub-installation, non-CL</v>
      </c>
      <c r="S223" s="63">
        <f>IF(AND(I223&lt;&gt;0,I224="",EUconst_StatusOfDataCollection=FALSE),1,0)</f>
        <v>0</v>
      </c>
      <c r="T223" s="63">
        <f>IF(AND(J223&lt;&gt;0,J224="",EUconst_StatusOfDataCollection=FALSE),1,0)</f>
        <v>0</v>
      </c>
      <c r="U223" s="63">
        <f>IF(AND(K223&lt;&gt;0,K224="",EUconst_StatusOfDataCollection=FALSE),1,0)</f>
        <v>0</v>
      </c>
      <c r="V223" s="63">
        <f>IF(AND(L223&lt;&gt;0,L224="",EUconst_StatusOfDataCollection=FALSE),1,0)</f>
        <v>0</v>
      </c>
      <c r="W223" s="63">
        <f>IF(AND(M223&lt;&gt;0,M224="",EUconst_StatusOfDataCollection=FALSE),1,0)</f>
        <v>0</v>
      </c>
    </row>
    <row r="224" spans="2:23" ht="12.75" customHeight="1" x14ac:dyDescent="0.25">
      <c r="B224" s="8"/>
      <c r="C224" s="899"/>
      <c r="D224" s="160" t="s">
        <v>346</v>
      </c>
      <c r="E224" s="1528" t="str">
        <f>Translations!$B$872</f>
        <v>Specific EF (from fuelBM)</v>
      </c>
      <c r="F224" s="1528"/>
      <c r="G224" s="1528"/>
      <c r="H224" s="154" t="str">
        <f>EUconst_tCO2pTJ</f>
        <v>t CO2 / TJ</v>
      </c>
      <c r="I224" s="1065"/>
      <c r="J224" s="1065"/>
      <c r="K224" s="1065"/>
      <c r="L224" s="1065"/>
      <c r="M224" s="1065"/>
      <c r="N224" s="158"/>
      <c r="O224" s="8"/>
      <c r="P224" s="116" t="str">
        <f>EUconst_CNTR_HeatImportFuelEF &amp; I143</f>
        <v>HeatImFuelEF_Heat benchmark sub-installation, non-CL</v>
      </c>
      <c r="R224" s="374" t="str">
        <f>EUconst_CNTR_AttributedEmissions &amp; $I143</f>
        <v>AttrEmissions_Heat benchmark sub-installation, non-CL</v>
      </c>
      <c r="S224" s="63" t="str">
        <f>IF(S143,SUM(I223)*IF(ISNUMBER(I224),I224,EUconst_HeatBMvalueForBM),"")</f>
        <v/>
      </c>
      <c r="T224" s="63" t="str">
        <f>IF(T143,SUM(J223)*IF(ISNUMBER(J224),J224,EUconst_HeatBMvalueForBM),"")</f>
        <v/>
      </c>
      <c r="U224" s="63" t="str">
        <f>IF(U143,SUM(K223)*IF(ISNUMBER(K224),K224,EUconst_HeatBMvalueForBM),"")</f>
        <v/>
      </c>
      <c r="V224" s="63" t="str">
        <f>IF(V143,SUM(L223)*IF(ISNUMBER(L224),L224,EUconst_HeatBMvalueForBM),"")</f>
        <v/>
      </c>
      <c r="W224" s="63" t="str">
        <f>IF(W143,SUM(M223)*IF(ISNUMBER(M224),M224,EUconst_HeatBMvalueForBM),"")</f>
        <v/>
      </c>
    </row>
    <row r="225" spans="2:29" ht="5.0999999999999996" customHeight="1" x14ac:dyDescent="0.25">
      <c r="B225" s="8"/>
      <c r="C225" s="899"/>
      <c r="D225" s="159"/>
      <c r="E225" s="159"/>
      <c r="F225" s="159"/>
      <c r="G225" s="159"/>
      <c r="H225" s="159"/>
      <c r="I225" s="159"/>
      <c r="J225" s="159"/>
      <c r="K225" s="159"/>
      <c r="L225" s="159"/>
      <c r="M225" s="159"/>
      <c r="N225" s="158"/>
      <c r="O225" s="8"/>
      <c r="P225" s="9"/>
      <c r="R225" s="9"/>
      <c r="S225" s="9"/>
    </row>
    <row r="226" spans="2:29" ht="12.75" customHeight="1" x14ac:dyDescent="0.25">
      <c r="B226" s="8"/>
      <c r="C226" s="899"/>
      <c r="D226" s="159"/>
      <c r="E226" s="1522" t="str">
        <f>Translations!$B$873</f>
        <v>Heat from waste gases</v>
      </c>
      <c r="F226" s="1523"/>
      <c r="G226" s="1523"/>
      <c r="H226" s="152" t="str">
        <f>EUconst_Unit</f>
        <v>Unit</v>
      </c>
      <c r="I226" s="153">
        <f>I$559</f>
        <v>2019</v>
      </c>
      <c r="J226" s="153">
        <f>J$559</f>
        <v>2020</v>
      </c>
      <c r="K226" s="153">
        <f>K$559</f>
        <v>2021</v>
      </c>
      <c r="L226" s="153">
        <f>L$559</f>
        <v>2022</v>
      </c>
      <c r="M226" s="153">
        <f>M$559</f>
        <v>2023</v>
      </c>
      <c r="N226" s="903"/>
      <c r="O226" s="8"/>
      <c r="P226" s="9"/>
      <c r="R226" s="9"/>
      <c r="S226" s="28">
        <f>I226</f>
        <v>2019</v>
      </c>
      <c r="T226" s="28">
        <f>J226</f>
        <v>2020</v>
      </c>
      <c r="U226" s="28">
        <f>K226</f>
        <v>2021</v>
      </c>
      <c r="V226" s="28">
        <f>L226</f>
        <v>2022</v>
      </c>
      <c r="W226" s="28">
        <f>M226</f>
        <v>2023</v>
      </c>
    </row>
    <row r="227" spans="2:29" ht="12.75" customHeight="1" x14ac:dyDescent="0.25">
      <c r="B227" s="8"/>
      <c r="C227" s="899"/>
      <c r="D227" s="160" t="s">
        <v>355</v>
      </c>
      <c r="E227" s="1528" t="str">
        <f>Translations!$B$764</f>
        <v>Net heat imported</v>
      </c>
      <c r="F227" s="1528"/>
      <c r="G227" s="1528"/>
      <c r="H227" s="154" t="str">
        <f>EUconst_TJpa</f>
        <v>TJ / year</v>
      </c>
      <c r="I227" s="311"/>
      <c r="J227" s="311"/>
      <c r="K227" s="311"/>
      <c r="L227" s="311"/>
      <c r="M227" s="311"/>
      <c r="N227" s="195"/>
      <c r="O227" s="8"/>
      <c r="P227" s="116" t="str">
        <f>EUconst_CNTR_WGImport &amp; I143</f>
        <v>WasteGasIm_Heat benchmark sub-installation, non-CL</v>
      </c>
      <c r="R227" s="352" t="str">
        <f>EUconst_ERR_AttrEmBMapplied &amp; $I143</f>
        <v>ERR_AttrEmBM_Heat benchmark sub-installation, non-CL</v>
      </c>
      <c r="S227" s="63">
        <f>IF(AND(I227&lt;&gt;0,EUconst_StatusOfDataCollection=FALSE),1,0)</f>
        <v>0</v>
      </c>
      <c r="T227" s="63">
        <f>IF(AND(J227&lt;&gt;0,EUconst_StatusOfDataCollection=FALSE),1,0)</f>
        <v>0</v>
      </c>
      <c r="U227" s="63">
        <f>IF(AND(K227&lt;&gt;0,EUconst_StatusOfDataCollection=FALSE),1,0)</f>
        <v>0</v>
      </c>
      <c r="V227" s="63">
        <f>IF(AND(L227&lt;&gt;0,EUconst_StatusOfDataCollection=FALSE),1,0)</f>
        <v>0</v>
      </c>
      <c r="W227" s="63">
        <f>IF(AND(M227&lt;&gt;0,EUconst_StatusOfDataCollection=FALSE),1,0)</f>
        <v>0</v>
      </c>
    </row>
    <row r="228" spans="2:29" ht="12.75" customHeight="1" x14ac:dyDescent="0.25">
      <c r="B228" s="8"/>
      <c r="C228" s="899"/>
      <c r="D228" s="160" t="s">
        <v>356</v>
      </c>
      <c r="E228" s="1528" t="str">
        <f>Translations!$B$874</f>
        <v>Specific EF (from waste gas)</v>
      </c>
      <c r="F228" s="1528"/>
      <c r="G228" s="1528"/>
      <c r="H228" s="154" t="str">
        <f>EUconst_tCO2pTJ</f>
        <v>t CO2 / TJ</v>
      </c>
      <c r="I228" s="1065"/>
      <c r="J228" s="1065"/>
      <c r="K228" s="1065"/>
      <c r="L228" s="1065"/>
      <c r="M228" s="1065"/>
      <c r="N228" s="158"/>
      <c r="O228" s="8"/>
      <c r="P228" s="116" t="str">
        <f>EUconst_CNTR_WGImportEF &amp; I143</f>
        <v>WasteGasImEF_Heat benchmark sub-installation, non-CL</v>
      </c>
      <c r="R228" s="374" t="str">
        <f>EUconst_CNTR_AttributedEmissions &amp; $I143</f>
        <v>AttrEmissions_Heat benchmark sub-installation, non-CL</v>
      </c>
      <c r="S228" s="63" t="str">
        <f>IF(S143,SUM(I227)*IF(ISNUMBER(I228),I228,EUconst_HeatBMvalueForBM),"")</f>
        <v/>
      </c>
      <c r="T228" s="63" t="str">
        <f>IF(T143,SUM(J227)*IF(ISNUMBER(J228),J228,EUconst_HeatBMvalueForBM),"")</f>
        <v/>
      </c>
      <c r="U228" s="63" t="str">
        <f>IF(U143,SUM(K227)*IF(ISNUMBER(K228),K228,EUconst_HeatBMvalueForBM),"")</f>
        <v/>
      </c>
      <c r="V228" s="63" t="str">
        <f>IF(V143,SUM(L227)*IF(ISNUMBER(L228),L228,EUconst_HeatBMvalueForBM),"")</f>
        <v/>
      </c>
      <c r="W228" s="63" t="str">
        <f>IF(W143,SUM(M227)*IF(ISNUMBER(M228),M228,EUconst_HeatBMvalueForBM),"")</f>
        <v/>
      </c>
    </row>
    <row r="229" spans="2:29" ht="5.0999999999999996" customHeight="1" x14ac:dyDescent="0.25">
      <c r="B229" s="8"/>
      <c r="C229" s="899"/>
      <c r="D229" s="159"/>
      <c r="E229" s="159"/>
      <c r="F229" s="159"/>
      <c r="G229" s="159"/>
      <c r="H229" s="159"/>
      <c r="I229" s="159"/>
      <c r="J229" s="159"/>
      <c r="K229" s="159"/>
      <c r="L229" s="159"/>
      <c r="M229" s="159"/>
      <c r="N229" s="158"/>
      <c r="O229" s="8"/>
      <c r="P229" s="9"/>
      <c r="R229" s="9"/>
      <c r="S229" s="9"/>
    </row>
    <row r="230" spans="2:29" ht="12.75" customHeight="1" x14ac:dyDescent="0.25">
      <c r="B230" s="8"/>
      <c r="C230" s="899"/>
      <c r="D230" s="160" t="s">
        <v>420</v>
      </c>
      <c r="E230" s="1528" t="str">
        <f>Translations!$B$875</f>
        <v>Total net heat imported</v>
      </c>
      <c r="F230" s="1528"/>
      <c r="G230" s="1528"/>
      <c r="H230" s="154" t="str">
        <f>EUconst_TJpa</f>
        <v>TJ / year</v>
      </c>
      <c r="I230" s="163" t="str">
        <f>IF(COUNT(I211,I215,I219,I223,I227)&gt;0,SUM(I211,I215,I219,I223,I227),"")</f>
        <v/>
      </c>
      <c r="J230" s="163" t="str">
        <f>IF(COUNT(J211,J215,J219,J223,J227)&gt;0,SUM(J211,J215,J219,J223,J227),"")</f>
        <v/>
      </c>
      <c r="K230" s="163" t="str">
        <f>IF(COUNT(K211,K215,K219,K223,K227)&gt;0,SUM(K211,K215,K219,K223,K227),"")</f>
        <v/>
      </c>
      <c r="L230" s="163" t="str">
        <f>IF(COUNT(L211,L215,L219,L223,L227)&gt;0,SUM(L211,L215,L219,L223,L227),"")</f>
        <v/>
      </c>
      <c r="M230" s="163" t="str">
        <f>IF(COUNT(M211,M215,M219,M223,M227)&gt;0,SUM(M211,M215,M219,M223,M227),"")</f>
        <v/>
      </c>
      <c r="N230" s="171"/>
      <c r="O230" s="8"/>
      <c r="R230" s="9"/>
      <c r="S230" s="9"/>
    </row>
    <row r="231" spans="2:29" ht="12.75" customHeight="1" thickBot="1" x14ac:dyDescent="0.3">
      <c r="B231" s="8"/>
      <c r="C231" s="905"/>
      <c r="D231" s="161"/>
      <c r="E231" s="161"/>
      <c r="F231" s="161"/>
      <c r="G231" s="161"/>
      <c r="H231" s="161"/>
      <c r="I231" s="161"/>
      <c r="J231" s="161"/>
      <c r="K231" s="161"/>
      <c r="L231" s="161"/>
      <c r="M231" s="161"/>
      <c r="N231" s="162"/>
      <c r="O231" s="8"/>
      <c r="P231" s="9"/>
      <c r="R231" s="9"/>
    </row>
    <row r="232" spans="2:29" ht="25.5" customHeight="1" thickBot="1" x14ac:dyDescent="0.3">
      <c r="B232" s="17"/>
      <c r="C232" s="17"/>
      <c r="D232" s="17"/>
      <c r="E232" s="17"/>
      <c r="F232" s="17"/>
      <c r="G232" s="17"/>
      <c r="H232" s="17"/>
      <c r="I232" s="17"/>
      <c r="J232" s="17"/>
      <c r="K232" s="17"/>
      <c r="L232" s="17"/>
      <c r="M232" s="17"/>
      <c r="N232" s="17"/>
      <c r="O232" s="8"/>
    </row>
    <row r="233" spans="2:29" ht="12.75" customHeight="1" thickBot="1" x14ac:dyDescent="0.3">
      <c r="B233" s="8"/>
      <c r="C233" s="906"/>
      <c r="D233" s="906"/>
      <c r="E233" s="906"/>
      <c r="F233" s="906"/>
      <c r="G233" s="906"/>
      <c r="H233" s="906"/>
      <c r="I233" s="906"/>
      <c r="J233" s="906"/>
      <c r="K233" s="906"/>
      <c r="L233" s="906"/>
      <c r="M233" s="906"/>
      <c r="N233" s="906"/>
      <c r="O233" s="8"/>
    </row>
    <row r="234" spans="2:29" ht="15.75" customHeight="1" thickBot="1" x14ac:dyDescent="0.3">
      <c r="B234" s="8"/>
      <c r="C234" s="19">
        <v>3</v>
      </c>
      <c r="D234" s="1234" t="str">
        <f>EUconst_FBSubinst &amp; ":"</f>
        <v>Fall-Back sub-installation:</v>
      </c>
      <c r="E234" s="1176"/>
      <c r="F234" s="1176"/>
      <c r="G234" s="1176"/>
      <c r="H234" s="1260"/>
      <c r="I234" s="1550" t="str">
        <f>INDEX(EUconst_FallBackListNames,$C234)</f>
        <v>District heating sub-installation</v>
      </c>
      <c r="J234" s="1509"/>
      <c r="K234" s="1509"/>
      <c r="L234" s="1551"/>
      <c r="M234" s="1608" t="str">
        <f>IF(ISBLANK(INDEX(CNTR_FallBackSubInstRelevant,C234)),"",IF(INDEX(CNTR_FallBackSubInstRelevant,C234),EUconst_Relevant,EUconst_NotRelevant))</f>
        <v/>
      </c>
      <c r="N234" s="1609"/>
      <c r="O234" s="8"/>
      <c r="P234" s="219">
        <f>C234</f>
        <v>3</v>
      </c>
      <c r="Q234" s="124" t="s">
        <v>296</v>
      </c>
      <c r="R234" s="354" t="str">
        <f>IF(M234&lt;&gt;EUconst_Relevant,"",INDEX(CNTR_SubInstStartDate,MATCH($I234,CNTR_SubInstListNames,0)))</f>
        <v/>
      </c>
      <c r="S234" s="352" t="b">
        <f>IF($M234&lt;&gt;EUconst_Relevant,FALSE,AND(I$562, IF($R234&lt;DATE($L$559,1,1),YEAR($R234)&lt;=I$559,YEAR($R234-1)&lt;I$559) ) )</f>
        <v>0</v>
      </c>
      <c r="T234" s="352" t="b">
        <f>IF($M234&lt;&gt;EUconst_Relevant,FALSE,AND(J$562, IF($R234&lt;DATE($L$559,1,1),YEAR($R234)&lt;=J$559,YEAR($R234-1)&lt;J$559) ) )</f>
        <v>0</v>
      </c>
      <c r="U234" s="352" t="b">
        <f>IF($M234&lt;&gt;EUconst_Relevant,FALSE,AND(K$562, IF($R234&lt;DATE($L$559,1,1),YEAR($R234)&lt;=K$559,YEAR($R234-1)&lt;K$559) ) )</f>
        <v>0</v>
      </c>
      <c r="V234" s="352" t="b">
        <f>IF($M234&lt;&gt;EUconst_Relevant,FALSE,AND(L$562, IF($R234&lt;DATE($L$559,1,1),YEAR($R234)&lt;=L$559,YEAR($R234-1)&lt;L$559) ) )</f>
        <v>0</v>
      </c>
      <c r="W234" s="352" t="b">
        <f>IF($M234&lt;&gt;EUconst_Relevant,FALSE,AND(M$562, IF($R234&lt;DATE($L$559,1,1),YEAR($R234)&lt;=M$559,YEAR($R234-1)&lt;M$559) ) )</f>
        <v>0</v>
      </c>
      <c r="X234" s="9"/>
      <c r="AB234" s="288" t="s">
        <v>390</v>
      </c>
      <c r="AC234" s="410" t="b">
        <f>AND(CNTR_ExistSubInstEntries,M234=EUconst_NotRelevant)</f>
        <v>0</v>
      </c>
    </row>
    <row r="235" spans="2:29" ht="12.75" customHeight="1" x14ac:dyDescent="0.25">
      <c r="B235" s="17"/>
      <c r="C235" s="17"/>
      <c r="D235" s="17"/>
      <c r="E235" s="17"/>
      <c r="F235" s="17"/>
      <c r="G235" s="17"/>
      <c r="H235" s="80"/>
      <c r="I235" s="1602" t="str">
        <f>IF(M234="","",IF(M234=EUconst_Relevant,HYPERLINK("",EUconst_MsgEnterThisSection),HYPERLINK(Q235,EUconst_MsgGoToNextSubInst)))</f>
        <v/>
      </c>
      <c r="J235" s="1603"/>
      <c r="K235" s="1603"/>
      <c r="L235" s="1603"/>
      <c r="M235" s="1604"/>
      <c r="N235" s="1605"/>
      <c r="O235" s="8"/>
      <c r="P235" s="145" t="s">
        <v>334</v>
      </c>
      <c r="Q235" s="877" t="str">
        <f>"#JUMP_G"&amp;P234+1</f>
        <v>#JUMP_G4</v>
      </c>
    </row>
    <row r="236" spans="2:29" ht="5.0999999999999996" customHeight="1" x14ac:dyDescent="0.25">
      <c r="B236" s="8"/>
      <c r="C236" s="8"/>
      <c r="D236" s="8"/>
      <c r="E236" s="8"/>
      <c r="F236" s="8"/>
      <c r="G236" s="8"/>
      <c r="H236" s="8"/>
      <c r="I236" s="8"/>
      <c r="J236" s="8"/>
      <c r="K236" s="8"/>
      <c r="L236" s="8"/>
      <c r="M236" s="8"/>
      <c r="N236" s="8"/>
      <c r="O236" s="8"/>
      <c r="P236" s="9"/>
    </row>
    <row r="237" spans="2:29" ht="12.75" customHeight="1" x14ac:dyDescent="0.25">
      <c r="B237" s="17"/>
      <c r="C237" s="17"/>
      <c r="D237" s="17"/>
      <c r="E237" s="1413" t="str">
        <f>CONCATENATE(EUconst_MsgSeeFirst," (G.I.1)")</f>
        <v>Detailed instructions for data entries in this tool can be found at the first copy of this tool.  (G.I.1)</v>
      </c>
      <c r="F237" s="1413"/>
      <c r="G237" s="1413"/>
      <c r="H237" s="1413"/>
      <c r="I237" s="1413"/>
      <c r="J237" s="1413"/>
      <c r="K237" s="1413"/>
      <c r="L237" s="1413"/>
      <c r="M237" s="1413"/>
      <c r="N237" s="1413"/>
      <c r="O237" s="8"/>
    </row>
    <row r="238" spans="2:29" ht="5.0999999999999996" customHeight="1" x14ac:dyDescent="0.25">
      <c r="B238" s="8"/>
      <c r="C238" s="8"/>
      <c r="D238" s="8"/>
      <c r="E238" s="8"/>
      <c r="F238" s="8"/>
      <c r="G238" s="8"/>
      <c r="H238" s="8"/>
      <c r="I238" s="8"/>
      <c r="J238" s="8"/>
      <c r="K238" s="8"/>
      <c r="L238" s="8"/>
      <c r="M238" s="8"/>
      <c r="N238" s="8"/>
      <c r="O238" s="8"/>
      <c r="P238" s="9"/>
      <c r="Q238" s="9"/>
      <c r="R238" s="9"/>
      <c r="S238" s="9"/>
      <c r="T238" s="9"/>
      <c r="U238" s="9"/>
      <c r="V238" s="9"/>
      <c r="W238" s="9"/>
      <c r="X238" s="9"/>
    </row>
    <row r="239" spans="2:29" ht="12.75" customHeight="1" thickBot="1" x14ac:dyDescent="0.3">
      <c r="B239" s="8"/>
      <c r="C239" s="15"/>
      <c r="D239" s="15" t="s">
        <v>190</v>
      </c>
      <c r="E239" s="1165" t="str">
        <f>Translations!$B$670</f>
        <v>Historic activity levels</v>
      </c>
      <c r="F239" s="1176"/>
      <c r="G239" s="1176"/>
      <c r="H239" s="1176"/>
      <c r="I239" s="1176"/>
      <c r="J239" s="1176"/>
      <c r="K239" s="1176"/>
      <c r="L239" s="1176"/>
      <c r="M239" s="1176"/>
      <c r="N239" s="1176"/>
      <c r="O239" s="8"/>
      <c r="P239" s="9"/>
      <c r="Q239" s="9"/>
      <c r="R239" s="9"/>
      <c r="S239" s="9"/>
      <c r="T239" s="9"/>
      <c r="U239" s="9"/>
      <c r="V239" s="9"/>
      <c r="W239" s="9"/>
      <c r="X239" s="9"/>
    </row>
    <row r="240" spans="2:29" ht="12.75" customHeight="1" thickBot="1" x14ac:dyDescent="0.3">
      <c r="B240" s="8"/>
      <c r="C240" s="17"/>
      <c r="D240" s="17"/>
      <c r="E240" s="1607" t="str">
        <f>Translations!$B$827</f>
        <v>The following data is taken automatically from sheet "E_EnergyFlows", section E.II.r. Thus, data input is mandatory there.</v>
      </c>
      <c r="F240" s="1607"/>
      <c r="G240" s="1607"/>
      <c r="H240" s="1607"/>
      <c r="I240" s="1607"/>
      <c r="J240" s="1607"/>
      <c r="K240" s="1607"/>
      <c r="L240" s="1607"/>
      <c r="M240" s="1607"/>
      <c r="N240" s="1607"/>
      <c r="O240" s="8"/>
      <c r="P240" s="9"/>
      <c r="Q240" s="147" t="s">
        <v>395</v>
      </c>
      <c r="R240" s="459" t="s">
        <v>465</v>
      </c>
      <c r="S240" s="879"/>
      <c r="T240" s="879"/>
      <c r="U240" s="879"/>
      <c r="V240" s="879"/>
      <c r="W240" s="879"/>
      <c r="X240" s="387"/>
    </row>
    <row r="241" spans="2:28" ht="12.75" customHeight="1" x14ac:dyDescent="0.25">
      <c r="B241" s="17"/>
      <c r="C241" s="15"/>
      <c r="D241" s="15"/>
      <c r="E241" s="1259" t="str">
        <f>Translations!$B$829</f>
        <v>Main activity level:</v>
      </c>
      <c r="F241" s="1212"/>
      <c r="G241" s="1212"/>
      <c r="H241" s="23" t="str">
        <f>EUconst_Unit</f>
        <v>Unit</v>
      </c>
      <c r="I241" s="128">
        <f>I$559</f>
        <v>2019</v>
      </c>
      <c r="J241" s="128">
        <f>J$559</f>
        <v>2020</v>
      </c>
      <c r="K241" s="128">
        <f>K$559</f>
        <v>2021</v>
      </c>
      <c r="L241" s="128">
        <f>L$559</f>
        <v>2022</v>
      </c>
      <c r="M241" s="128">
        <f>M$559</f>
        <v>2023</v>
      </c>
      <c r="N241" s="376" t="str">
        <f>IF(M234&lt;&gt;EUconst_Relevant,"",IF(Z242,YEAR(R234)+1,""))</f>
        <v/>
      </c>
      <c r="O241" s="8"/>
      <c r="P241" s="392" t="s">
        <v>397</v>
      </c>
      <c r="Q241" s="582" t="s">
        <v>398</v>
      </c>
      <c r="R241" s="59" t="s">
        <v>399</v>
      </c>
      <c r="S241" s="880">
        <f>I241</f>
        <v>2019</v>
      </c>
      <c r="T241" s="63">
        <f>J241</f>
        <v>2020</v>
      </c>
      <c r="U241" s="63">
        <f>K241</f>
        <v>2021</v>
      </c>
      <c r="V241" s="63">
        <f>L241</f>
        <v>2022</v>
      </c>
      <c r="W241" s="63">
        <f>M241</f>
        <v>2023</v>
      </c>
      <c r="X241" s="803"/>
      <c r="AA241" s="405" t="b">
        <f>IF(CNTR_ExistSubInstEntries,IF(M234=EUconst_Relevant,NOT(Z242),TRUE),FALSE)</f>
        <v>0</v>
      </c>
    </row>
    <row r="242" spans="2:28" ht="12.75" customHeight="1" thickBot="1" x14ac:dyDescent="0.3">
      <c r="B242" s="17"/>
      <c r="C242" s="17"/>
      <c r="D242" s="17"/>
      <c r="E242" s="1560" t="str">
        <f>I234</f>
        <v>District heating sub-installation</v>
      </c>
      <c r="F242" s="1560"/>
      <c r="G242" s="1560"/>
      <c r="H242" s="820" t="str">
        <f>INDEX(EUconst_FallBackListUnits,MATCH(E242,EUconst_FallBackListNames,0))</f>
        <v>TJ</v>
      </c>
      <c r="I242" s="818" t="str">
        <f>IF($M234=EUconst_Relevant,IF(ISNUMBER(INDEX(E_EnergyFlows!I$387:I$393,MATCH($E242,E_EnergyFlows!$E$387:$E$393,0))),INDEX(E_EnergyFlows!I$387:I$393,MATCH($E242,E_EnergyFlows!$E$387:$E$393,0)),INDEX(EUconst_FallbackListMissing,$P234)),"")</f>
        <v/>
      </c>
      <c r="J242" s="818" t="str">
        <f>IF($M234=EUconst_Relevant,IF(ISNUMBER(INDEX(E_EnergyFlows!J$387:J$393,MATCH($E242,E_EnergyFlows!$E$387:$E$393,0))),INDEX(E_EnergyFlows!J$387:J$393,MATCH($E242,E_EnergyFlows!$E$387:$E$393,0)),INDEX(EUconst_FallbackListMissing,$P234)),"")</f>
        <v/>
      </c>
      <c r="K242" s="818" t="str">
        <f>IF($M234=EUconst_Relevant,IF(ISNUMBER(INDEX(E_EnergyFlows!K$387:K$393,MATCH($E242,E_EnergyFlows!$E$387:$E$393,0))),INDEX(E_EnergyFlows!K$387:K$393,MATCH($E242,E_EnergyFlows!$E$387:$E$393,0)),INDEX(EUconst_FallbackListMissing,$P234)),"")</f>
        <v/>
      </c>
      <c r="L242" s="818" t="str">
        <f>IF($M234=EUconst_Relevant,IF(ISNUMBER(INDEX(E_EnergyFlows!L$387:L$393,MATCH($E242,E_EnergyFlows!$E$387:$E$393,0))),INDEX(E_EnergyFlows!L$387:L$393,MATCH($E242,E_EnergyFlows!$E$387:$E$393,0)),INDEX(EUconst_FallbackListMissing,$P234)),"")</f>
        <v/>
      </c>
      <c r="M242" s="818" t="str">
        <f>IF($M234=EUconst_Relevant,IF(ISNUMBER(INDEX(E_EnergyFlows!M$387:M$393,MATCH($E242,E_EnergyFlows!$E$387:$E$393,0))),INDEX(E_EnergyFlows!M$387:M$393,MATCH($E242,E_EnergyFlows!$E$387:$E$393,0)),INDEX(EUconst_FallbackListMissing,$P234)),"")</f>
        <v/>
      </c>
      <c r="N242" s="397"/>
      <c r="O242" s="8"/>
      <c r="P242" s="58" t="str">
        <f>EUconst_CNTR_HAL&amp;E242</f>
        <v>HAL_District heating sub-installation</v>
      </c>
      <c r="Q242" s="286" t="str">
        <f>IF(COUNT($K242:$L242)&gt;0,AVERAGE($K242:$L242),"")</f>
        <v/>
      </c>
      <c r="R242" s="57" t="str">
        <f>IF(COUNT(S242:W242)&gt;0,AVERAGE(S242:W242),"")</f>
        <v/>
      </c>
      <c r="S242" s="882" t="str">
        <f>IF(S234,IF(ISNUMBER(I242),I242,0),"")</f>
        <v/>
      </c>
      <c r="T242" s="389" t="str">
        <f>IF(T234,IF(ISNUMBER(J242),J242,0),"")</f>
        <v/>
      </c>
      <c r="U242" s="389" t="str">
        <f>IF(U234,IF(ISNUMBER(K242),K242,0),"")</f>
        <v/>
      </c>
      <c r="V242" s="389" t="str">
        <f>IF(V234,IF(ISNUMBER(L242),L242,0),"")</f>
        <v/>
      </c>
      <c r="W242" s="389" t="str">
        <f>IF(W234,IF(ISNUMBER(M242),M242,0),"")</f>
        <v/>
      </c>
      <c r="X242" s="390"/>
      <c r="Y242" s="124" t="s">
        <v>304</v>
      </c>
      <c r="Z242" s="392" t="b">
        <f>IF(M234&lt;&gt;EUconst_Relevant,FALSE,INDEX(CNTR_SubInstLess1Year,MATCH(I234,CNTR_SubInstListNames,0)))</f>
        <v>0</v>
      </c>
      <c r="AA242" s="399" t="b">
        <f>AA241</f>
        <v>0</v>
      </c>
    </row>
    <row r="243" spans="2:28" ht="12.75" customHeight="1" x14ac:dyDescent="0.25">
      <c r="B243" s="17"/>
      <c r="C243" s="8"/>
      <c r="D243" s="8"/>
      <c r="E243" s="8"/>
      <c r="F243" s="8"/>
      <c r="G243" s="8"/>
      <c r="H243" s="8"/>
      <c r="I243" s="8"/>
      <c r="J243" s="8"/>
      <c r="K243" s="8"/>
      <c r="L243" s="8"/>
      <c r="M243" s="8"/>
      <c r="N243" s="8"/>
      <c r="O243" s="8"/>
    </row>
    <row r="244" spans="2:28" ht="13.8" x14ac:dyDescent="0.25">
      <c r="B244" s="17"/>
      <c r="C244" s="20"/>
      <c r="D244" s="1234" t="str">
        <f>Translations!$B$700</f>
        <v>Production details</v>
      </c>
      <c r="E244" s="1176"/>
      <c r="F244" s="1176"/>
      <c r="G244" s="1176"/>
      <c r="H244" s="1176"/>
      <c r="I244" s="1176"/>
      <c r="J244" s="1176"/>
      <c r="K244" s="1176"/>
      <c r="L244" s="1176"/>
      <c r="M244" s="1176"/>
      <c r="N244" s="1176"/>
      <c r="O244" s="8"/>
      <c r="Y244" s="9"/>
      <c r="Z244" s="9"/>
      <c r="AA244" s="9"/>
      <c r="AB244" s="9"/>
    </row>
    <row r="245" spans="2:28" ht="5.0999999999999996" customHeight="1" x14ac:dyDescent="0.25">
      <c r="B245" s="8"/>
      <c r="C245" s="8"/>
      <c r="D245" s="8"/>
      <c r="E245" s="8"/>
      <c r="F245" s="8"/>
      <c r="G245" s="8"/>
      <c r="H245" s="8"/>
      <c r="I245" s="8"/>
      <c r="J245" s="8"/>
      <c r="K245" s="8"/>
      <c r="L245" s="8"/>
      <c r="M245" s="8"/>
      <c r="N245" s="8"/>
      <c r="O245" s="8"/>
      <c r="P245" s="9"/>
      <c r="Q245" s="9"/>
    </row>
    <row r="246" spans="2:28" ht="12.75" customHeight="1" x14ac:dyDescent="0.25">
      <c r="B246" s="8"/>
      <c r="C246" s="15"/>
      <c r="D246" s="15" t="s">
        <v>192</v>
      </c>
      <c r="E246" s="1165" t="str">
        <f>Translations!$B$830</f>
        <v>Identification of relevant products or services associated with this sub-installation</v>
      </c>
      <c r="F246" s="1176"/>
      <c r="G246" s="1176"/>
      <c r="H246" s="1176"/>
      <c r="I246" s="1176"/>
      <c r="J246" s="1176"/>
      <c r="K246" s="1176"/>
      <c r="L246" s="1176"/>
      <c r="M246" s="1176"/>
      <c r="N246" s="1176"/>
      <c r="O246" s="8"/>
      <c r="P246" s="9"/>
    </row>
    <row r="247" spans="2:28" ht="5.0999999999999996" customHeight="1" x14ac:dyDescent="0.25">
      <c r="B247" s="8"/>
      <c r="C247" s="17"/>
      <c r="D247" s="17"/>
      <c r="E247" s="884"/>
      <c r="F247" s="884"/>
      <c r="G247" s="884"/>
      <c r="H247" s="884"/>
      <c r="I247" s="884"/>
      <c r="J247" s="77"/>
      <c r="K247" s="77"/>
      <c r="L247" s="77"/>
      <c r="M247" s="8"/>
      <c r="N247" s="8"/>
      <c r="O247" s="8"/>
      <c r="P247" s="9"/>
    </row>
    <row r="248" spans="2:28" ht="25.5" customHeight="1" x14ac:dyDescent="0.25">
      <c r="B248" s="17"/>
      <c r="C248" s="15"/>
      <c r="D248" s="26"/>
      <c r="E248" s="1616" t="str">
        <f>Translations!$B$837</f>
        <v>Use type</v>
      </c>
      <c r="F248" s="1402"/>
      <c r="G248" s="1556" t="str">
        <f>Translations!$B$880</f>
        <v>District heating network</v>
      </c>
      <c r="H248" s="1630"/>
      <c r="I248" s="1630"/>
      <c r="J248" s="1630"/>
      <c r="K248" s="1630"/>
      <c r="L248" s="1557"/>
      <c r="M248" s="129" t="s">
        <v>468</v>
      </c>
      <c r="N248" s="8"/>
      <c r="O248" s="8"/>
      <c r="Y248" s="9"/>
      <c r="Z248" s="9"/>
      <c r="AA248" s="9"/>
      <c r="AB248" s="9"/>
    </row>
    <row r="249" spans="2:28" ht="12.75" customHeight="1" x14ac:dyDescent="0.25">
      <c r="B249" s="17"/>
      <c r="C249" s="80"/>
      <c r="D249" s="222">
        <v>1</v>
      </c>
      <c r="E249" s="1640" t="str">
        <f>Translations!$B$881</f>
        <v>District heating</v>
      </c>
      <c r="F249" s="1641"/>
      <c r="G249" s="1322"/>
      <c r="H249" s="1324"/>
      <c r="I249" s="1324"/>
      <c r="J249" s="1324"/>
      <c r="K249" s="1324"/>
      <c r="L249" s="1323"/>
      <c r="M249" s="885"/>
      <c r="N249" s="8"/>
      <c r="O249" s="8"/>
    </row>
    <row r="250" spans="2:28" ht="12.75" customHeight="1" x14ac:dyDescent="0.25">
      <c r="B250" s="17"/>
      <c r="C250" s="80"/>
      <c r="D250" s="225">
        <f>D249+1</f>
        <v>2</v>
      </c>
      <c r="E250" s="1628" t="str">
        <f>Translations!$B$881</f>
        <v>District heating</v>
      </c>
      <c r="F250" s="1629"/>
      <c r="G250" s="1300"/>
      <c r="H250" s="1325"/>
      <c r="I250" s="1325"/>
      <c r="J250" s="1325"/>
      <c r="K250" s="1325"/>
      <c r="L250" s="1301"/>
      <c r="M250" s="886"/>
      <c r="N250" s="8"/>
      <c r="O250" s="8"/>
    </row>
    <row r="251" spans="2:28" ht="12.75" customHeight="1" x14ac:dyDescent="0.25">
      <c r="B251" s="17"/>
      <c r="C251" s="80"/>
      <c r="D251" s="225">
        <f t="shared" ref="D251:D258" si="6">D250+1</f>
        <v>3</v>
      </c>
      <c r="E251" s="1628" t="str">
        <f>Translations!$B$881</f>
        <v>District heating</v>
      </c>
      <c r="F251" s="1629"/>
      <c r="G251" s="1300"/>
      <c r="H251" s="1325"/>
      <c r="I251" s="1325"/>
      <c r="J251" s="1325"/>
      <c r="K251" s="1325"/>
      <c r="L251" s="1301"/>
      <c r="M251" s="886"/>
      <c r="N251" s="8"/>
      <c r="O251" s="8"/>
    </row>
    <row r="252" spans="2:28" ht="12.75" customHeight="1" x14ac:dyDescent="0.25">
      <c r="B252" s="17"/>
      <c r="C252" s="80"/>
      <c r="D252" s="225">
        <f t="shared" si="6"/>
        <v>4</v>
      </c>
      <c r="E252" s="1628" t="str">
        <f>Translations!$B$881</f>
        <v>District heating</v>
      </c>
      <c r="F252" s="1629"/>
      <c r="G252" s="1300"/>
      <c r="H252" s="1325"/>
      <c r="I252" s="1325"/>
      <c r="J252" s="1325"/>
      <c r="K252" s="1325"/>
      <c r="L252" s="1301"/>
      <c r="M252" s="886"/>
      <c r="N252" s="8"/>
      <c r="O252" s="8"/>
    </row>
    <row r="253" spans="2:28" ht="12.75" customHeight="1" x14ac:dyDescent="0.25">
      <c r="B253" s="17"/>
      <c r="C253" s="80"/>
      <c r="D253" s="225">
        <f t="shared" si="6"/>
        <v>5</v>
      </c>
      <c r="E253" s="1628" t="str">
        <f>Translations!$B$881</f>
        <v>District heating</v>
      </c>
      <c r="F253" s="1629"/>
      <c r="G253" s="1300"/>
      <c r="H253" s="1325"/>
      <c r="I253" s="1325"/>
      <c r="J253" s="1325"/>
      <c r="K253" s="1325"/>
      <c r="L253" s="1301"/>
      <c r="M253" s="886"/>
      <c r="N253" s="8"/>
      <c r="O253" s="8"/>
      <c r="Y253" s="9"/>
      <c r="Z253" s="9"/>
      <c r="AA253" s="9"/>
      <c r="AB253" s="9"/>
    </row>
    <row r="254" spans="2:28" ht="12.75" customHeight="1" x14ac:dyDescent="0.25">
      <c r="B254" s="17"/>
      <c r="C254" s="80"/>
      <c r="D254" s="225">
        <f t="shared" si="6"/>
        <v>6</v>
      </c>
      <c r="E254" s="1628" t="str">
        <f>Translations!$B$881</f>
        <v>District heating</v>
      </c>
      <c r="F254" s="1629"/>
      <c r="G254" s="1300"/>
      <c r="H254" s="1325"/>
      <c r="I254" s="1325"/>
      <c r="J254" s="1325"/>
      <c r="K254" s="1325"/>
      <c r="L254" s="1301"/>
      <c r="M254" s="886"/>
      <c r="N254" s="8"/>
      <c r="O254" s="8"/>
    </row>
    <row r="255" spans="2:28" ht="12.75" customHeight="1" x14ac:dyDescent="0.25">
      <c r="B255" s="17"/>
      <c r="C255" s="80"/>
      <c r="D255" s="225">
        <f t="shared" si="6"/>
        <v>7</v>
      </c>
      <c r="E255" s="1628" t="str">
        <f>Translations!$B$881</f>
        <v>District heating</v>
      </c>
      <c r="F255" s="1629"/>
      <c r="G255" s="1300"/>
      <c r="H255" s="1325"/>
      <c r="I255" s="1325"/>
      <c r="J255" s="1325"/>
      <c r="K255" s="1325"/>
      <c r="L255" s="1301"/>
      <c r="M255" s="886"/>
      <c r="N255" s="8"/>
      <c r="O255" s="8"/>
    </row>
    <row r="256" spans="2:28" ht="12.75" customHeight="1" x14ac:dyDescent="0.25">
      <c r="B256" s="17"/>
      <c r="C256" s="80"/>
      <c r="D256" s="225">
        <f t="shared" si="6"/>
        <v>8</v>
      </c>
      <c r="E256" s="1628" t="str">
        <f>Translations!$B$881</f>
        <v>District heating</v>
      </c>
      <c r="F256" s="1629"/>
      <c r="G256" s="1300"/>
      <c r="H256" s="1325"/>
      <c r="I256" s="1325"/>
      <c r="J256" s="1325"/>
      <c r="K256" s="1325"/>
      <c r="L256" s="1301"/>
      <c r="M256" s="886"/>
      <c r="N256" s="8"/>
      <c r="O256" s="8"/>
    </row>
    <row r="257" spans="2:28" ht="12.75" customHeight="1" x14ac:dyDescent="0.25">
      <c r="B257" s="17"/>
      <c r="C257" s="80"/>
      <c r="D257" s="225">
        <f t="shared" si="6"/>
        <v>9</v>
      </c>
      <c r="E257" s="1628" t="str">
        <f>Translations!$B$881</f>
        <v>District heating</v>
      </c>
      <c r="F257" s="1629"/>
      <c r="G257" s="1300"/>
      <c r="H257" s="1325"/>
      <c r="I257" s="1325"/>
      <c r="J257" s="1325"/>
      <c r="K257" s="1325"/>
      <c r="L257" s="1301"/>
      <c r="M257" s="886"/>
      <c r="N257" s="8"/>
      <c r="O257" s="8"/>
    </row>
    <row r="258" spans="2:28" ht="12.75" customHeight="1" x14ac:dyDescent="0.25">
      <c r="B258" s="17"/>
      <c r="C258" s="80"/>
      <c r="D258" s="227">
        <f t="shared" si="6"/>
        <v>10</v>
      </c>
      <c r="E258" s="1642" t="str">
        <f>Translations!$B$881</f>
        <v>District heating</v>
      </c>
      <c r="F258" s="1643"/>
      <c r="G258" s="1319"/>
      <c r="H258" s="1320"/>
      <c r="I258" s="1320"/>
      <c r="J258" s="1320"/>
      <c r="K258" s="1320"/>
      <c r="L258" s="1321"/>
      <c r="M258" s="887"/>
      <c r="N258" s="8"/>
      <c r="O258" s="8"/>
      <c r="Y258" s="9"/>
      <c r="Z258" s="9"/>
      <c r="AA258" s="9"/>
      <c r="AB258" s="9"/>
    </row>
    <row r="259" spans="2:28" ht="5.0999999999999996" customHeight="1" x14ac:dyDescent="0.25">
      <c r="B259" s="8"/>
      <c r="C259" s="8"/>
      <c r="D259" s="8"/>
      <c r="E259" s="8"/>
      <c r="F259" s="8"/>
      <c r="G259" s="8"/>
      <c r="H259" s="8"/>
      <c r="I259" s="8"/>
      <c r="J259" s="8"/>
      <c r="K259" s="8"/>
      <c r="L259" s="8"/>
      <c r="M259" s="8"/>
      <c r="N259" s="8"/>
      <c r="O259" s="8"/>
      <c r="P259" s="9"/>
      <c r="Q259" s="9"/>
    </row>
    <row r="260" spans="2:28" ht="12.75" customHeight="1" x14ac:dyDescent="0.25">
      <c r="B260" s="8"/>
      <c r="C260" s="15"/>
      <c r="D260" s="15"/>
      <c r="E260" s="1165" t="str">
        <f>Translations!$B$840</f>
        <v>Production levels:</v>
      </c>
      <c r="F260" s="1176"/>
      <c r="G260" s="1176"/>
      <c r="H260" s="1176"/>
      <c r="I260" s="1176"/>
      <c r="J260" s="1176"/>
      <c r="K260" s="1176"/>
      <c r="L260" s="1176"/>
      <c r="M260" s="1176"/>
      <c r="N260" s="1176"/>
      <c r="O260" s="8"/>
      <c r="P260" s="9"/>
    </row>
    <row r="261" spans="2:28" ht="5.0999999999999996" customHeight="1" x14ac:dyDescent="0.25">
      <c r="B261" s="8"/>
      <c r="C261" s="17"/>
      <c r="D261" s="17"/>
      <c r="E261" s="884"/>
      <c r="F261" s="884"/>
      <c r="G261" s="884"/>
      <c r="H261" s="884"/>
      <c r="I261" s="884"/>
      <c r="J261" s="77"/>
      <c r="K261" s="77"/>
      <c r="L261" s="77"/>
      <c r="M261" s="8"/>
      <c r="N261" s="8"/>
      <c r="O261" s="8"/>
      <c r="P261" s="9"/>
    </row>
    <row r="262" spans="2:28" ht="12.75" customHeight="1" x14ac:dyDescent="0.25">
      <c r="B262" s="17"/>
      <c r="C262" s="15"/>
      <c r="D262" s="26"/>
      <c r="E262" s="1616" t="str">
        <f>G248</f>
        <v>District heating network</v>
      </c>
      <c r="F262" s="1212"/>
      <c r="G262" s="1402"/>
      <c r="H262" s="23" t="str">
        <f>EUconst_Unit</f>
        <v>Unit</v>
      </c>
      <c r="I262" s="128">
        <f>I$559</f>
        <v>2019</v>
      </c>
      <c r="J262" s="128">
        <f>J$559</f>
        <v>2020</v>
      </c>
      <c r="K262" s="128">
        <f>K$559</f>
        <v>2021</v>
      </c>
      <c r="L262" s="128">
        <f>L$559</f>
        <v>2022</v>
      </c>
      <c r="M262" s="144">
        <f>M$559</f>
        <v>2023</v>
      </c>
      <c r="N262" s="8"/>
      <c r="O262" s="8"/>
    </row>
    <row r="263" spans="2:28" ht="12.75" customHeight="1" x14ac:dyDescent="0.25">
      <c r="B263" s="17"/>
      <c r="C263" s="80"/>
      <c r="D263" s="222">
        <v>1</v>
      </c>
      <c r="E263" s="1595" t="str">
        <f>IF(ISBLANK(G249),"",G249)</f>
        <v/>
      </c>
      <c r="F263" s="1596"/>
      <c r="G263" s="1597"/>
      <c r="H263" s="907" t="str">
        <f t="shared" ref="H263:H272" si="7">EUconst_TJ</f>
        <v>TJ</v>
      </c>
      <c r="I263" s="889"/>
      <c r="J263" s="889"/>
      <c r="K263" s="889"/>
      <c r="L263" s="889"/>
      <c r="M263" s="890"/>
      <c r="N263" s="8"/>
      <c r="O263" s="8"/>
    </row>
    <row r="264" spans="2:28" ht="12.75" customHeight="1" x14ac:dyDescent="0.25">
      <c r="B264" s="17"/>
      <c r="C264" s="80"/>
      <c r="D264" s="225">
        <f>D263+1</f>
        <v>2</v>
      </c>
      <c r="E264" s="1591" t="str">
        <f t="shared" ref="E264:E272" si="8">IF(ISBLANK(G250),"",G250)</f>
        <v/>
      </c>
      <c r="F264" s="1335"/>
      <c r="G264" s="1592"/>
      <c r="H264" s="908" t="str">
        <f t="shared" si="7"/>
        <v>TJ</v>
      </c>
      <c r="I264" s="892"/>
      <c r="J264" s="892"/>
      <c r="K264" s="892"/>
      <c r="L264" s="892"/>
      <c r="M264" s="893"/>
      <c r="N264" s="8"/>
      <c r="O264" s="8"/>
    </row>
    <row r="265" spans="2:28" ht="12.75" customHeight="1" x14ac:dyDescent="0.25">
      <c r="B265" s="17"/>
      <c r="C265" s="80"/>
      <c r="D265" s="225">
        <f t="shared" ref="D265:D272" si="9">D264+1</f>
        <v>3</v>
      </c>
      <c r="E265" s="1591" t="str">
        <f t="shared" si="8"/>
        <v/>
      </c>
      <c r="F265" s="1335"/>
      <c r="G265" s="1592"/>
      <c r="H265" s="908" t="str">
        <f t="shared" si="7"/>
        <v>TJ</v>
      </c>
      <c r="I265" s="892"/>
      <c r="J265" s="892"/>
      <c r="K265" s="892"/>
      <c r="L265" s="892"/>
      <c r="M265" s="893"/>
      <c r="N265" s="8"/>
      <c r="O265" s="8"/>
    </row>
    <row r="266" spans="2:28" ht="12.75" customHeight="1" x14ac:dyDescent="0.25">
      <c r="B266" s="17"/>
      <c r="C266" s="80"/>
      <c r="D266" s="225">
        <f t="shared" si="9"/>
        <v>4</v>
      </c>
      <c r="E266" s="1591" t="str">
        <f t="shared" si="8"/>
        <v/>
      </c>
      <c r="F266" s="1335"/>
      <c r="G266" s="1592"/>
      <c r="H266" s="908" t="str">
        <f t="shared" si="7"/>
        <v>TJ</v>
      </c>
      <c r="I266" s="892"/>
      <c r="J266" s="892"/>
      <c r="K266" s="892"/>
      <c r="L266" s="892"/>
      <c r="M266" s="893"/>
      <c r="N266" s="8"/>
      <c r="O266" s="8"/>
    </row>
    <row r="267" spans="2:28" ht="12.75" customHeight="1" x14ac:dyDescent="0.25">
      <c r="B267" s="17"/>
      <c r="C267" s="80"/>
      <c r="D267" s="225">
        <f t="shared" si="9"/>
        <v>5</v>
      </c>
      <c r="E267" s="1591" t="str">
        <f t="shared" si="8"/>
        <v/>
      </c>
      <c r="F267" s="1335"/>
      <c r="G267" s="1592"/>
      <c r="H267" s="908" t="str">
        <f t="shared" si="7"/>
        <v>TJ</v>
      </c>
      <c r="I267" s="892"/>
      <c r="J267" s="892"/>
      <c r="K267" s="892"/>
      <c r="L267" s="892"/>
      <c r="M267" s="893"/>
      <c r="N267" s="8"/>
      <c r="O267" s="8"/>
    </row>
    <row r="268" spans="2:28" ht="12.75" customHeight="1" x14ac:dyDescent="0.25">
      <c r="B268" s="17"/>
      <c r="C268" s="80"/>
      <c r="D268" s="225">
        <f t="shared" si="9"/>
        <v>6</v>
      </c>
      <c r="E268" s="1591" t="str">
        <f t="shared" si="8"/>
        <v/>
      </c>
      <c r="F268" s="1335"/>
      <c r="G268" s="1592"/>
      <c r="H268" s="908" t="str">
        <f t="shared" si="7"/>
        <v>TJ</v>
      </c>
      <c r="I268" s="892"/>
      <c r="J268" s="892"/>
      <c r="K268" s="892"/>
      <c r="L268" s="892"/>
      <c r="M268" s="893"/>
      <c r="N268" s="8"/>
      <c r="O268" s="8"/>
    </row>
    <row r="269" spans="2:28" ht="12.75" customHeight="1" x14ac:dyDescent="0.25">
      <c r="B269" s="17"/>
      <c r="C269" s="80"/>
      <c r="D269" s="225">
        <f t="shared" si="9"/>
        <v>7</v>
      </c>
      <c r="E269" s="1591" t="str">
        <f t="shared" si="8"/>
        <v/>
      </c>
      <c r="F269" s="1335"/>
      <c r="G269" s="1592"/>
      <c r="H269" s="908" t="str">
        <f t="shared" si="7"/>
        <v>TJ</v>
      </c>
      <c r="I269" s="892"/>
      <c r="J269" s="892"/>
      <c r="K269" s="892"/>
      <c r="L269" s="892"/>
      <c r="M269" s="893"/>
      <c r="N269" s="8"/>
      <c r="O269" s="8"/>
    </row>
    <row r="270" spans="2:28" ht="12.75" customHeight="1" x14ac:dyDescent="0.25">
      <c r="B270" s="17"/>
      <c r="C270" s="80"/>
      <c r="D270" s="225">
        <f t="shared" si="9"/>
        <v>8</v>
      </c>
      <c r="E270" s="1591" t="str">
        <f t="shared" si="8"/>
        <v/>
      </c>
      <c r="F270" s="1335"/>
      <c r="G270" s="1592"/>
      <c r="H270" s="908" t="str">
        <f t="shared" si="7"/>
        <v>TJ</v>
      </c>
      <c r="I270" s="892"/>
      <c r="J270" s="892"/>
      <c r="K270" s="892"/>
      <c r="L270" s="892"/>
      <c r="M270" s="893"/>
      <c r="N270" s="8"/>
      <c r="O270" s="8"/>
    </row>
    <row r="271" spans="2:28" ht="12.75" customHeight="1" x14ac:dyDescent="0.25">
      <c r="B271" s="17"/>
      <c r="C271" s="80"/>
      <c r="D271" s="225">
        <f t="shared" si="9"/>
        <v>9</v>
      </c>
      <c r="E271" s="1591" t="str">
        <f t="shared" si="8"/>
        <v/>
      </c>
      <c r="F271" s="1335"/>
      <c r="G271" s="1592"/>
      <c r="H271" s="908" t="str">
        <f t="shared" si="7"/>
        <v>TJ</v>
      </c>
      <c r="I271" s="892"/>
      <c r="J271" s="892"/>
      <c r="K271" s="892"/>
      <c r="L271" s="892"/>
      <c r="M271" s="893"/>
      <c r="N271" s="8"/>
      <c r="O271" s="8"/>
    </row>
    <row r="272" spans="2:28" ht="12.75" customHeight="1" x14ac:dyDescent="0.25">
      <c r="B272" s="17"/>
      <c r="C272" s="80"/>
      <c r="D272" s="227">
        <f t="shared" si="9"/>
        <v>10</v>
      </c>
      <c r="E272" s="1593" t="str">
        <f t="shared" si="8"/>
        <v/>
      </c>
      <c r="F272" s="1386"/>
      <c r="G272" s="1594"/>
      <c r="H272" s="909" t="str">
        <f t="shared" si="7"/>
        <v>TJ</v>
      </c>
      <c r="I272" s="895"/>
      <c r="J272" s="895"/>
      <c r="K272" s="895"/>
      <c r="L272" s="895"/>
      <c r="M272" s="896"/>
      <c r="N272" s="8"/>
      <c r="O272" s="8"/>
    </row>
    <row r="273" spans="2:23" ht="12.75" customHeight="1" x14ac:dyDescent="0.25">
      <c r="B273" s="17"/>
      <c r="C273" s="17"/>
      <c r="D273" s="262"/>
      <c r="E273" s="1619" t="str">
        <f>Translations!$B$708</f>
        <v>Sum of production levels</v>
      </c>
      <c r="F273" s="1509"/>
      <c r="G273" s="1189"/>
      <c r="H273" s="1068"/>
      <c r="I273" s="841" t="str">
        <f>IF(COUNT(I263:I272)&gt;0,SUM(I263:I272),"")</f>
        <v/>
      </c>
      <c r="J273" s="841" t="str">
        <f>IF(COUNT(J263:J272)&gt;0,SUM(J263:J272),"")</f>
        <v/>
      </c>
      <c r="K273" s="841" t="str">
        <f>IF(COUNT(K263:K272)&gt;0,SUM(K263:K272),"")</f>
        <v/>
      </c>
      <c r="L273" s="841" t="str">
        <f>IF(COUNT(L263:L272)&gt;0,SUM(L263:L272),"")</f>
        <v/>
      </c>
      <c r="M273" s="897" t="str">
        <f>IF(COUNT(M263:M272)&gt;0,SUM(M263:M272),"")</f>
        <v/>
      </c>
      <c r="N273" s="8"/>
      <c r="O273" s="8"/>
    </row>
    <row r="274" spans="2:23" ht="12.75" customHeight="1" thickBot="1" x14ac:dyDescent="0.3">
      <c r="B274" s="17"/>
      <c r="C274" s="17"/>
      <c r="D274" s="17"/>
      <c r="E274" s="17"/>
      <c r="F274" s="17"/>
      <c r="G274" s="17"/>
      <c r="H274" s="17"/>
      <c r="I274" s="17"/>
      <c r="J274" s="17"/>
      <c r="K274" s="17"/>
      <c r="L274" s="17"/>
      <c r="M274" s="17"/>
      <c r="N274" s="17"/>
      <c r="O274" s="8"/>
    </row>
    <row r="275" spans="2:23" ht="5.0999999999999996" customHeight="1" x14ac:dyDescent="0.25">
      <c r="B275" s="8"/>
      <c r="C275" s="898"/>
      <c r="D275" s="155"/>
      <c r="E275" s="155"/>
      <c r="F275" s="155"/>
      <c r="G275" s="155"/>
      <c r="H275" s="155"/>
      <c r="I275" s="155"/>
      <c r="J275" s="155"/>
      <c r="K275" s="155"/>
      <c r="L275" s="155"/>
      <c r="M275" s="155"/>
      <c r="N275" s="156"/>
      <c r="O275" s="8"/>
      <c r="P275" s="9"/>
      <c r="R275" s="9"/>
      <c r="S275" s="9"/>
    </row>
    <row r="276" spans="2:23" ht="15" customHeight="1" x14ac:dyDescent="0.25">
      <c r="B276" s="17"/>
      <c r="C276" s="899"/>
      <c r="D276" s="1547" t="s">
        <v>469</v>
      </c>
      <c r="E276" s="1512"/>
      <c r="F276" s="1512"/>
      <c r="G276" s="1512"/>
      <c r="H276" s="1512"/>
      <c r="I276" s="1512"/>
      <c r="J276" s="1512"/>
      <c r="K276" s="1512"/>
      <c r="L276" s="1512"/>
      <c r="M276" s="1512"/>
      <c r="N276" s="1513"/>
      <c r="O276" s="8"/>
      <c r="R276" s="9"/>
      <c r="S276" s="9"/>
    </row>
    <row r="277" spans="2:23" ht="5.0999999999999996" customHeight="1" x14ac:dyDescent="0.25">
      <c r="B277" s="17"/>
      <c r="C277" s="900"/>
      <c r="D277" s="342"/>
      <c r="E277" s="342"/>
      <c r="F277" s="342"/>
      <c r="G277" s="342"/>
      <c r="H277" s="342"/>
      <c r="I277" s="342"/>
      <c r="J277" s="342"/>
      <c r="K277" s="342"/>
      <c r="L277" s="342"/>
      <c r="M277" s="342"/>
      <c r="N277" s="266"/>
      <c r="O277" s="8"/>
      <c r="R277" s="9"/>
      <c r="S277" s="9"/>
    </row>
    <row r="278" spans="2:23" ht="15" customHeight="1" x14ac:dyDescent="0.25">
      <c r="B278" s="17"/>
      <c r="C278" s="900"/>
      <c r="D278" s="1548" t="str">
        <f>EUconst_FBSubinst &amp; ":"</f>
        <v>Fall-Back sub-installation:</v>
      </c>
      <c r="E278" s="1512"/>
      <c r="F278" s="1512"/>
      <c r="G278" s="1512"/>
      <c r="H278" s="1549"/>
      <c r="I278" s="1550" t="str">
        <f>I234</f>
        <v>District heating sub-installation</v>
      </c>
      <c r="J278" s="1509"/>
      <c r="K278" s="1509"/>
      <c r="L278" s="1509"/>
      <c r="M278" s="1509"/>
      <c r="N278" s="1551"/>
      <c r="O278" s="8"/>
      <c r="R278" s="9"/>
      <c r="S278" s="9"/>
    </row>
    <row r="279" spans="2:23" ht="5.0999999999999996" customHeight="1" x14ac:dyDescent="0.25">
      <c r="B279" s="17"/>
      <c r="C279" s="900"/>
      <c r="D279" s="342"/>
      <c r="E279" s="342"/>
      <c r="F279" s="342"/>
      <c r="G279" s="342"/>
      <c r="H279" s="342"/>
      <c r="I279" s="342"/>
      <c r="J279" s="342"/>
      <c r="K279" s="342"/>
      <c r="L279" s="342"/>
      <c r="M279" s="342"/>
      <c r="N279" s="266"/>
      <c r="O279" s="8"/>
      <c r="R279" s="9"/>
      <c r="S279" s="9"/>
    </row>
    <row r="280" spans="2:23" ht="12.75" customHeight="1" x14ac:dyDescent="0.25">
      <c r="B280" s="8"/>
      <c r="C280" s="899"/>
      <c r="D280" s="157" t="s">
        <v>195</v>
      </c>
      <c r="E280" s="1511" t="str">
        <f>Translations!$B$841</f>
        <v>Directly attributable emissions (DirEm*) to this sub-installation</v>
      </c>
      <c r="F280" s="1512"/>
      <c r="G280" s="1512"/>
      <c r="H280" s="1512"/>
      <c r="I280" s="1512"/>
      <c r="J280" s="1512"/>
      <c r="K280" s="1512"/>
      <c r="L280" s="1512"/>
      <c r="M280" s="1512"/>
      <c r="N280" s="1513"/>
      <c r="O280" s="8"/>
      <c r="P280" s="9"/>
      <c r="R280" s="9"/>
      <c r="S280" s="9"/>
    </row>
    <row r="281" spans="2:23" ht="12.75" customHeight="1" thickBot="1" x14ac:dyDescent="0.3">
      <c r="B281" s="8"/>
      <c r="C281" s="899"/>
      <c r="D281" s="159"/>
      <c r="E281" s="1533" t="str">
        <f>Translations!$B$882</f>
        <v>Detailed instructions for data entries here can be found under point 1.c above.</v>
      </c>
      <c r="F281" s="1533"/>
      <c r="G281" s="1533"/>
      <c r="H281" s="1533"/>
      <c r="I281" s="1533"/>
      <c r="J281" s="1533"/>
      <c r="K281" s="1533"/>
      <c r="L281" s="1533"/>
      <c r="M281" s="1533"/>
      <c r="N281" s="1537"/>
      <c r="O281" s="8"/>
      <c r="P281" s="9"/>
      <c r="R281" s="9"/>
    </row>
    <row r="282" spans="2:23" ht="12.75" customHeight="1" x14ac:dyDescent="0.25">
      <c r="B282" s="8"/>
      <c r="C282" s="899"/>
      <c r="D282" s="157"/>
      <c r="E282" s="1522" t="str">
        <f>Translations!$B$690</f>
        <v>Total direct emissions</v>
      </c>
      <c r="F282" s="1523"/>
      <c r="G282" s="1523"/>
      <c r="H282" s="152" t="str">
        <f>EUconst_Unit</f>
        <v>Unit</v>
      </c>
      <c r="I282" s="153">
        <f>I$559</f>
        <v>2019</v>
      </c>
      <c r="J282" s="153">
        <f>J$559</f>
        <v>2020</v>
      </c>
      <c r="K282" s="153">
        <f>K$559</f>
        <v>2021</v>
      </c>
      <c r="L282" s="153">
        <f>L$559</f>
        <v>2022</v>
      </c>
      <c r="M282" s="153">
        <f>M$559</f>
        <v>2023</v>
      </c>
      <c r="N282" s="158"/>
      <c r="O282" s="8"/>
      <c r="P282" s="9"/>
      <c r="R282" s="325"/>
      <c r="S282" s="326">
        <f>I282</f>
        <v>2019</v>
      </c>
      <c r="T282" s="326">
        <f>J282</f>
        <v>2020</v>
      </c>
      <c r="U282" s="326">
        <f>K282</f>
        <v>2021</v>
      </c>
      <c r="V282" s="326">
        <f>L282</f>
        <v>2022</v>
      </c>
      <c r="W282" s="327">
        <f>M282</f>
        <v>2023</v>
      </c>
    </row>
    <row r="283" spans="2:23" ht="12.75" customHeight="1" thickBot="1" x14ac:dyDescent="0.3">
      <c r="B283" s="8"/>
      <c r="C283" s="899"/>
      <c r="D283" s="159"/>
      <c r="E283" s="1510" t="str">
        <f>I234</f>
        <v>District heating sub-installation</v>
      </c>
      <c r="F283" s="1510"/>
      <c r="G283" s="1510"/>
      <c r="H283" s="154" t="str">
        <f>EUconst_tCO2epa</f>
        <v>t CO2e/year</v>
      </c>
      <c r="I283" s="231"/>
      <c r="J283" s="231"/>
      <c r="K283" s="231"/>
      <c r="L283" s="231"/>
      <c r="M283" s="231"/>
      <c r="N283" s="158"/>
      <c r="O283" s="8"/>
      <c r="P283" s="116" t="str">
        <f>EUconst_CNTR_Emissions &amp; I234</f>
        <v>DirEmissions_District heating sub-installation</v>
      </c>
      <c r="R283" s="328" t="str">
        <f>EUconst_CNTR_AttributedEmissions &amp; $I234</f>
        <v>AttrEmissions_District heating sub-installation</v>
      </c>
      <c r="S283" s="389" t="str">
        <f>IF(S234,SUM(I283),"")</f>
        <v/>
      </c>
      <c r="T283" s="389" t="str">
        <f>IF(T234,SUM(J283),"")</f>
        <v/>
      </c>
      <c r="U283" s="389" t="str">
        <f>IF(U234,SUM(K283),"")</f>
        <v/>
      </c>
      <c r="V283" s="389" t="str">
        <f>IF(V234,SUM(L283),"")</f>
        <v/>
      </c>
      <c r="W283" s="390" t="str">
        <f>IF(W234,SUM(M283),"")</f>
        <v/>
      </c>
    </row>
    <row r="284" spans="2:23" ht="5.0999999999999996" customHeight="1" x14ac:dyDescent="0.25">
      <c r="B284" s="8"/>
      <c r="C284" s="899"/>
      <c r="D284" s="159"/>
      <c r="E284" s="159"/>
      <c r="F284" s="159"/>
      <c r="G284" s="159"/>
      <c r="H284" s="159"/>
      <c r="I284" s="159"/>
      <c r="J284" s="159"/>
      <c r="K284" s="159"/>
      <c r="L284" s="159"/>
      <c r="M284" s="159"/>
      <c r="N284" s="158"/>
      <c r="O284" s="8"/>
      <c r="P284" s="9"/>
      <c r="R284" s="9"/>
    </row>
    <row r="285" spans="2:23" ht="12.75" customHeight="1" x14ac:dyDescent="0.25">
      <c r="B285" s="8"/>
      <c r="C285" s="899"/>
      <c r="D285" s="157" t="s">
        <v>197</v>
      </c>
      <c r="E285" s="1529" t="str">
        <f>Translations!$B$726</f>
        <v>Fuel input to this sub-installation and relevant emission factor</v>
      </c>
      <c r="F285" s="1529"/>
      <c r="G285" s="1529"/>
      <c r="H285" s="1529"/>
      <c r="I285" s="1529"/>
      <c r="J285" s="1529"/>
      <c r="K285" s="1529"/>
      <c r="L285" s="1529"/>
      <c r="M285" s="1529"/>
      <c r="N285" s="1534"/>
      <c r="O285" s="8"/>
      <c r="R285" s="9"/>
    </row>
    <row r="286" spans="2:23" ht="12.75" customHeight="1" x14ac:dyDescent="0.25">
      <c r="B286" s="8"/>
      <c r="C286" s="899"/>
      <c r="D286" s="159"/>
      <c r="E286" s="1533" t="str">
        <f>Translations!$B$877</f>
        <v>Detailed instructions for data entries here can be found under point 1.d above.</v>
      </c>
      <c r="F286" s="1533"/>
      <c r="G286" s="1533"/>
      <c r="H286" s="1533"/>
      <c r="I286" s="1533"/>
      <c r="J286" s="1533"/>
      <c r="K286" s="1533"/>
      <c r="L286" s="1533"/>
      <c r="M286" s="1533"/>
      <c r="N286" s="1537"/>
      <c r="O286" s="8"/>
      <c r="P286" s="9"/>
      <c r="R286" s="9"/>
    </row>
    <row r="287" spans="2:23" ht="12.75" customHeight="1" x14ac:dyDescent="0.25">
      <c r="B287" s="8"/>
      <c r="C287" s="899"/>
      <c r="D287" s="157"/>
      <c r="E287" s="1522"/>
      <c r="F287" s="1523"/>
      <c r="G287" s="1523"/>
      <c r="H287" s="152" t="str">
        <f>EUconst_Unit</f>
        <v>Unit</v>
      </c>
      <c r="I287" s="153">
        <f>I$559</f>
        <v>2019</v>
      </c>
      <c r="J287" s="153">
        <f>J$559</f>
        <v>2020</v>
      </c>
      <c r="K287" s="153">
        <f>K$559</f>
        <v>2021</v>
      </c>
      <c r="L287" s="153">
        <f>L$559</f>
        <v>2022</v>
      </c>
      <c r="M287" s="153">
        <f>M$559</f>
        <v>2023</v>
      </c>
      <c r="N287" s="158"/>
      <c r="O287" s="8"/>
      <c r="P287" s="9"/>
      <c r="R287" s="9"/>
    </row>
    <row r="288" spans="2:23" ht="12.75" customHeight="1" x14ac:dyDescent="0.25">
      <c r="B288" s="8"/>
      <c r="C288" s="899"/>
      <c r="D288" s="160" t="s">
        <v>206</v>
      </c>
      <c r="E288" s="1528" t="str">
        <f>Translations!$B$852</f>
        <v>Total fuel input</v>
      </c>
      <c r="F288" s="1528"/>
      <c r="G288" s="1528"/>
      <c r="H288" s="154" t="str">
        <f>EUconst_TJpa</f>
        <v>TJ / year</v>
      </c>
      <c r="I288" s="293"/>
      <c r="J288" s="293"/>
      <c r="K288" s="293"/>
      <c r="L288" s="293"/>
      <c r="M288" s="293"/>
      <c r="N288" s="195"/>
      <c r="O288" s="8"/>
      <c r="P288" s="116" t="str">
        <f>EUconst_CNTR_FuelInput &amp; I234</f>
        <v>FuelInput_District heating sub-installation</v>
      </c>
      <c r="R288" s="9"/>
    </row>
    <row r="289" spans="2:23" ht="12.75" customHeight="1" x14ac:dyDescent="0.25">
      <c r="B289" s="8"/>
      <c r="C289" s="899"/>
      <c r="D289" s="160" t="s">
        <v>208</v>
      </c>
      <c r="E289" s="1523" t="str">
        <f>Translations!$B$732</f>
        <v>Weighted emission factor</v>
      </c>
      <c r="F289" s="1523"/>
      <c r="G289" s="1523"/>
      <c r="H289" s="904" t="str">
        <f>EUconst_tCO2pTJ</f>
        <v>t CO2 / TJ</v>
      </c>
      <c r="I289" s="865"/>
      <c r="J289" s="865"/>
      <c r="K289" s="865"/>
      <c r="L289" s="865"/>
      <c r="M289" s="865"/>
      <c r="N289" s="158"/>
      <c r="O289" s="8"/>
      <c r="P289" s="116" t="str">
        <f>EUconst_CNTR_FuelEF &amp; I234</f>
        <v>FuelEF_District heating sub-installation</v>
      </c>
      <c r="R289" s="9"/>
    </row>
    <row r="290" spans="2:23" ht="5.0999999999999996" customHeight="1" x14ac:dyDescent="0.25">
      <c r="B290" s="8"/>
      <c r="C290" s="899"/>
      <c r="D290" s="159"/>
      <c r="E290" s="159"/>
      <c r="F290" s="159"/>
      <c r="G290" s="159"/>
      <c r="H290" s="159"/>
      <c r="I290" s="159"/>
      <c r="J290" s="159"/>
      <c r="K290" s="159"/>
      <c r="L290" s="159"/>
      <c r="M290" s="159"/>
      <c r="N290" s="158"/>
      <c r="O290" s="8"/>
      <c r="P290" s="9"/>
      <c r="R290" s="9"/>
    </row>
    <row r="291" spans="2:23" ht="12.75" customHeight="1" x14ac:dyDescent="0.25">
      <c r="B291" s="8"/>
      <c r="C291" s="899"/>
      <c r="D291" s="160" t="s">
        <v>209</v>
      </c>
      <c r="E291" s="1528" t="str">
        <f>Translations!$B$853</f>
        <v>Fuel input from waste gases</v>
      </c>
      <c r="F291" s="1528"/>
      <c r="G291" s="1528"/>
      <c r="H291" s="154" t="str">
        <f>EUconst_TJpa</f>
        <v>TJ / year</v>
      </c>
      <c r="I291" s="293"/>
      <c r="J291" s="293"/>
      <c r="K291" s="293"/>
      <c r="L291" s="293"/>
      <c r="M291" s="293"/>
      <c r="N291" s="158"/>
      <c r="O291" s="8"/>
      <c r="P291" s="626" t="str">
        <f>EUconst_CNTR_WGConsumed &amp; I234</f>
        <v>WasteGasCons_District heating sub-installation</v>
      </c>
      <c r="R291" s="9"/>
    </row>
    <row r="292" spans="2:23" ht="12.75" customHeight="1" x14ac:dyDescent="0.25">
      <c r="B292" s="8"/>
      <c r="C292" s="899"/>
      <c r="D292" s="160" t="s">
        <v>210</v>
      </c>
      <c r="E292" s="1528" t="str">
        <f>Translations!$B$854</f>
        <v>Specific EF (waste gas)</v>
      </c>
      <c r="F292" s="1528"/>
      <c r="G292" s="1528"/>
      <c r="H292" s="904" t="str">
        <f>EUconst_tCO2pTJ</f>
        <v>t CO2 / TJ</v>
      </c>
      <c r="I292" s="865"/>
      <c r="J292" s="865"/>
      <c r="K292" s="865"/>
      <c r="L292" s="865"/>
      <c r="M292" s="865"/>
      <c r="N292" s="158"/>
      <c r="O292" s="8"/>
      <c r="P292" s="116" t="str">
        <f>EUconst_CNTR_WGConsumedEF &amp; I234</f>
        <v>WasteGasConsEF_District heating sub-installation</v>
      </c>
      <c r="R292" s="9"/>
    </row>
    <row r="293" spans="2:23" ht="5.0999999999999996" customHeight="1" x14ac:dyDescent="0.25">
      <c r="B293" s="17"/>
      <c r="C293" s="900"/>
      <c r="D293" s="342"/>
      <c r="E293" s="342"/>
      <c r="F293" s="342"/>
      <c r="G293" s="342"/>
      <c r="H293" s="342"/>
      <c r="I293" s="342"/>
      <c r="J293" s="342"/>
      <c r="K293" s="342"/>
      <c r="L293" s="342"/>
      <c r="M293" s="342"/>
      <c r="N293" s="266"/>
      <c r="O293" s="8"/>
      <c r="R293" s="9"/>
      <c r="S293" s="9"/>
    </row>
    <row r="294" spans="2:23" ht="12.75" customHeight="1" x14ac:dyDescent="0.25">
      <c r="B294" s="8"/>
      <c r="C294" s="899"/>
      <c r="D294" s="157" t="s">
        <v>202</v>
      </c>
      <c r="E294" s="1511" t="str">
        <f>Translations!$B$532</f>
        <v>Measurable heat produced</v>
      </c>
      <c r="F294" s="1512"/>
      <c r="G294" s="1512"/>
      <c r="H294" s="1512"/>
      <c r="I294" s="1512"/>
      <c r="J294" s="1512"/>
      <c r="K294" s="1512"/>
      <c r="L294" s="1512"/>
      <c r="M294" s="1512"/>
      <c r="N294" s="1513"/>
      <c r="O294" s="8"/>
      <c r="P294" s="9"/>
      <c r="R294" s="9"/>
      <c r="S294" s="9"/>
    </row>
    <row r="295" spans="2:23" ht="12.75" customHeight="1" x14ac:dyDescent="0.25">
      <c r="B295" s="8"/>
      <c r="C295" s="899"/>
      <c r="D295" s="159"/>
      <c r="E295" s="1533" t="str">
        <f>Translations!$B$878</f>
        <v>Detailed instructions for data entries here can be found under point 1.e above.</v>
      </c>
      <c r="F295" s="1533"/>
      <c r="G295" s="1533"/>
      <c r="H295" s="1533"/>
      <c r="I295" s="1533"/>
      <c r="J295" s="1533"/>
      <c r="K295" s="1533"/>
      <c r="L295" s="1533"/>
      <c r="M295" s="1533"/>
      <c r="N295" s="1537"/>
      <c r="O295" s="8"/>
      <c r="P295" s="9"/>
      <c r="R295" s="9"/>
    </row>
    <row r="296" spans="2:23" ht="12.75" customHeight="1" x14ac:dyDescent="0.25">
      <c r="B296" s="8"/>
      <c r="C296" s="899"/>
      <c r="D296" s="157"/>
      <c r="E296" s="1522" t="str">
        <f>Translations!$B$532</f>
        <v>Measurable heat produced</v>
      </c>
      <c r="F296" s="1523"/>
      <c r="G296" s="1523"/>
      <c r="H296" s="152" t="str">
        <f>EUconst_Unit</f>
        <v>Unit</v>
      </c>
      <c r="I296" s="153">
        <f>I$559</f>
        <v>2019</v>
      </c>
      <c r="J296" s="153">
        <f>J$559</f>
        <v>2020</v>
      </c>
      <c r="K296" s="153">
        <f>K$559</f>
        <v>2021</v>
      </c>
      <c r="L296" s="153">
        <f>L$559</f>
        <v>2022</v>
      </c>
      <c r="M296" s="153">
        <f>M$559</f>
        <v>2023</v>
      </c>
      <c r="N296" s="158"/>
      <c r="O296" s="8"/>
      <c r="P296" s="9"/>
      <c r="R296" s="9"/>
      <c r="S296" s="9"/>
      <c r="T296" s="9"/>
      <c r="U296" s="9"/>
      <c r="V296" s="9"/>
      <c r="W296" s="9"/>
    </row>
    <row r="297" spans="2:23" ht="12.75" customHeight="1" x14ac:dyDescent="0.25">
      <c r="B297" s="8"/>
      <c r="C297" s="899"/>
      <c r="D297" s="159"/>
      <c r="E297" s="1510" t="str">
        <f>E283</f>
        <v>District heating sub-installation</v>
      </c>
      <c r="F297" s="1510"/>
      <c r="G297" s="1510"/>
      <c r="H297" s="154" t="str">
        <f>EUconst_TJpa</f>
        <v>TJ / year</v>
      </c>
      <c r="I297" s="231"/>
      <c r="J297" s="231"/>
      <c r="K297" s="231"/>
      <c r="L297" s="231"/>
      <c r="M297" s="231"/>
      <c r="N297" s="158"/>
      <c r="O297" s="8"/>
      <c r="P297" s="116" t="str">
        <f>EUconst_CNTR_HeatProduced &amp; I234</f>
        <v>HeatProd_District heating sub-installation</v>
      </c>
      <c r="R297" s="9"/>
      <c r="S297" s="9"/>
      <c r="T297" s="9"/>
      <c r="U297" s="9"/>
      <c r="V297" s="9"/>
      <c r="W297" s="9"/>
    </row>
    <row r="298" spans="2:23" ht="5.0999999999999996" customHeight="1" x14ac:dyDescent="0.25">
      <c r="B298" s="8"/>
      <c r="C298" s="899"/>
      <c r="D298" s="159"/>
      <c r="E298" s="159"/>
      <c r="F298" s="159"/>
      <c r="G298" s="159"/>
      <c r="H298" s="159"/>
      <c r="I298" s="159"/>
      <c r="J298" s="159"/>
      <c r="K298" s="159"/>
      <c r="L298" s="159"/>
      <c r="M298" s="159"/>
      <c r="N298" s="158"/>
      <c r="O298" s="8"/>
      <c r="P298" s="9"/>
      <c r="R298" s="9"/>
    </row>
    <row r="299" spans="2:23" ht="12.75" customHeight="1" x14ac:dyDescent="0.25">
      <c r="B299" s="8"/>
      <c r="C299" s="899"/>
      <c r="D299" s="157" t="s">
        <v>199</v>
      </c>
      <c r="E299" s="1511" t="str">
        <f>Translations!$B$857</f>
        <v>Measurable heat imported</v>
      </c>
      <c r="F299" s="1512"/>
      <c r="G299" s="1512"/>
      <c r="H299" s="1512"/>
      <c r="I299" s="1512"/>
      <c r="J299" s="1512"/>
      <c r="K299" s="1512"/>
      <c r="L299" s="1512"/>
      <c r="M299" s="1512"/>
      <c r="N299" s="1513"/>
      <c r="O299" s="8"/>
      <c r="P299" s="9"/>
      <c r="R299" s="9"/>
    </row>
    <row r="300" spans="2:23" ht="12.75" customHeight="1" x14ac:dyDescent="0.25">
      <c r="B300" s="8"/>
      <c r="C300" s="899"/>
      <c r="D300" s="159"/>
      <c r="E300" s="1533" t="str">
        <f>Translations!$B$879</f>
        <v>Detailed instructions for data entries here can be found under point 1.f above.</v>
      </c>
      <c r="F300" s="1533"/>
      <c r="G300" s="1533"/>
      <c r="H300" s="1533"/>
      <c r="I300" s="1533"/>
      <c r="J300" s="1533"/>
      <c r="K300" s="1533"/>
      <c r="L300" s="1533"/>
      <c r="M300" s="1533"/>
      <c r="N300" s="1537"/>
      <c r="O300" s="8"/>
      <c r="P300" s="9"/>
      <c r="R300" s="9"/>
    </row>
    <row r="301" spans="2:23" ht="12.75" customHeight="1" x14ac:dyDescent="0.25">
      <c r="B301" s="8"/>
      <c r="C301" s="899"/>
      <c r="D301" s="159"/>
      <c r="E301" s="1522" t="str">
        <f>Translations!$B$866</f>
        <v>Net heat imported (other sources)</v>
      </c>
      <c r="F301" s="1523"/>
      <c r="G301" s="1523"/>
      <c r="H301" s="152" t="str">
        <f>EUconst_Unit</f>
        <v>Unit</v>
      </c>
      <c r="I301" s="153">
        <f>I$559</f>
        <v>2019</v>
      </c>
      <c r="J301" s="153">
        <f>J$559</f>
        <v>2020</v>
      </c>
      <c r="K301" s="153">
        <f>K$559</f>
        <v>2021</v>
      </c>
      <c r="L301" s="153">
        <f>L$559</f>
        <v>2022</v>
      </c>
      <c r="M301" s="153">
        <f>M$559</f>
        <v>2023</v>
      </c>
      <c r="N301" s="903"/>
      <c r="O301" s="8"/>
      <c r="P301" s="9"/>
      <c r="R301" s="9"/>
      <c r="S301" s="28">
        <f>I301</f>
        <v>2019</v>
      </c>
      <c r="T301" s="28">
        <f>J301</f>
        <v>2020</v>
      </c>
      <c r="U301" s="28">
        <f>K301</f>
        <v>2021</v>
      </c>
      <c r="V301" s="28">
        <f>L301</f>
        <v>2022</v>
      </c>
      <c r="W301" s="28">
        <f>M301</f>
        <v>2023</v>
      </c>
    </row>
    <row r="302" spans="2:23" ht="12.75" customHeight="1" x14ac:dyDescent="0.25">
      <c r="B302" s="8"/>
      <c r="C302" s="899"/>
      <c r="D302" s="160" t="s">
        <v>206</v>
      </c>
      <c r="E302" s="1528" t="str">
        <f>Translations!$B$764</f>
        <v>Net heat imported</v>
      </c>
      <c r="F302" s="1528"/>
      <c r="G302" s="1528"/>
      <c r="H302" s="154" t="str">
        <f>EUconst_TJpa</f>
        <v>TJ / year</v>
      </c>
      <c r="I302" s="311"/>
      <c r="J302" s="311"/>
      <c r="K302" s="311"/>
      <c r="L302" s="311"/>
      <c r="M302" s="311"/>
      <c r="N302" s="195"/>
      <c r="O302" s="8"/>
      <c r="P302" s="116" t="str">
        <f>EUconst_CNTR_HeatImport &amp; I234</f>
        <v>HeatIm_District heating sub-installation</v>
      </c>
      <c r="R302" s="352" t="str">
        <f>EUconst_ERR_AttrEmBMapplied &amp; $I234</f>
        <v>ERR_AttrEmBM_District heating sub-installation</v>
      </c>
      <c r="S302" s="63">
        <f>IF(AND(I302&lt;&gt;0,I303="",EUconst_StatusOfDataCollection=FALSE),1,0)</f>
        <v>0</v>
      </c>
      <c r="T302" s="63">
        <f>IF(AND(J302&lt;&gt;0,J303="",EUconst_StatusOfDataCollection=FALSE),1,0)</f>
        <v>0</v>
      </c>
      <c r="U302" s="63">
        <f>IF(AND(K302&lt;&gt;0,K303="",EUconst_StatusOfDataCollection=FALSE),1,0)</f>
        <v>0</v>
      </c>
      <c r="V302" s="63">
        <f>IF(AND(L302&lt;&gt;0,L303="",EUconst_StatusOfDataCollection=FALSE),1,0)</f>
        <v>0</v>
      </c>
      <c r="W302" s="63">
        <f>IF(AND(M302&lt;&gt;0,M303="",EUconst_StatusOfDataCollection=FALSE),1,0)</f>
        <v>0</v>
      </c>
    </row>
    <row r="303" spans="2:23" ht="12.75" customHeight="1" x14ac:dyDescent="0.25">
      <c r="B303" s="8"/>
      <c r="C303" s="899"/>
      <c r="D303" s="160" t="s">
        <v>208</v>
      </c>
      <c r="E303" s="1528" t="str">
        <f>Translations!$B$765</f>
        <v>Specific EF (imported heat)</v>
      </c>
      <c r="F303" s="1528"/>
      <c r="G303" s="1528"/>
      <c r="H303" s="154" t="str">
        <f>EUconst_tCO2pTJ</f>
        <v>t CO2 / TJ</v>
      </c>
      <c r="I303" s="1065"/>
      <c r="J303" s="1065"/>
      <c r="K303" s="1065"/>
      <c r="L303" s="1065"/>
      <c r="M303" s="1065"/>
      <c r="N303" s="158"/>
      <c r="O303" s="8"/>
      <c r="P303" s="116" t="str">
        <f>EUconst_CNTR_HeatImportEF &amp; I234</f>
        <v>HeatImEF_District heating sub-installation</v>
      </c>
      <c r="R303" s="374" t="str">
        <f>EUconst_CNTR_AttributedEmissions &amp; $I234</f>
        <v>AttrEmissions_District heating sub-installation</v>
      </c>
      <c r="S303" s="63" t="str">
        <f>IF(S234,SUM(I302)*IF(ISNUMBER(I303),I303,EUconst_HeatBMvalueForBM),"")</f>
        <v/>
      </c>
      <c r="T303" s="63" t="str">
        <f>IF(T234,SUM(J302)*IF(ISNUMBER(J303),J303,EUconst_HeatBMvalueForBM),"")</f>
        <v/>
      </c>
      <c r="U303" s="63" t="str">
        <f>IF(U234,SUM(K302)*IF(ISNUMBER(K303),K303,EUconst_HeatBMvalueForBM),"")</f>
        <v/>
      </c>
      <c r="V303" s="63" t="str">
        <f>IF(V234,SUM(L302)*IF(ISNUMBER(L303),L303,EUconst_HeatBMvalueForBM),"")</f>
        <v/>
      </c>
      <c r="W303" s="63" t="str">
        <f>IF(W234,SUM(M302)*IF(ISNUMBER(M303),M303,EUconst_HeatBMvalueForBM),"")</f>
        <v/>
      </c>
    </row>
    <row r="304" spans="2:23" ht="5.0999999999999996" customHeight="1" x14ac:dyDescent="0.25">
      <c r="B304" s="8"/>
      <c r="C304" s="899"/>
      <c r="D304" s="159"/>
      <c r="E304" s="159"/>
      <c r="F304" s="159"/>
      <c r="G304" s="159"/>
      <c r="H304" s="159"/>
      <c r="I304" s="159"/>
      <c r="J304" s="159"/>
      <c r="K304" s="159"/>
      <c r="L304" s="159"/>
      <c r="M304" s="159"/>
      <c r="N304" s="158"/>
      <c r="O304" s="8"/>
      <c r="P304" s="9"/>
      <c r="R304" s="9"/>
      <c r="S304" s="9"/>
    </row>
    <row r="305" spans="2:23" ht="12.75" customHeight="1" x14ac:dyDescent="0.25">
      <c r="B305" s="8"/>
      <c r="C305" s="899"/>
      <c r="D305" s="159"/>
      <c r="E305" s="1522" t="str">
        <f>Translations!$B$867</f>
        <v>Heat from product BM</v>
      </c>
      <c r="F305" s="1523"/>
      <c r="G305" s="1523"/>
      <c r="H305" s="152" t="str">
        <f>EUconst_Unit</f>
        <v>Unit</v>
      </c>
      <c r="I305" s="153">
        <f>I$559</f>
        <v>2019</v>
      </c>
      <c r="J305" s="153">
        <f>J$559</f>
        <v>2020</v>
      </c>
      <c r="K305" s="153">
        <f>K$559</f>
        <v>2021</v>
      </c>
      <c r="L305" s="153">
        <f>L$559</f>
        <v>2022</v>
      </c>
      <c r="M305" s="153">
        <f>M$559</f>
        <v>2023</v>
      </c>
      <c r="N305" s="903"/>
      <c r="O305" s="8"/>
      <c r="P305" s="9"/>
      <c r="R305" s="9"/>
      <c r="S305" s="28">
        <f>I305</f>
        <v>2019</v>
      </c>
      <c r="T305" s="28">
        <f>J305</f>
        <v>2020</v>
      </c>
      <c r="U305" s="28">
        <f>K305</f>
        <v>2021</v>
      </c>
      <c r="V305" s="28">
        <f>L305</f>
        <v>2022</v>
      </c>
      <c r="W305" s="28">
        <f>M305</f>
        <v>2023</v>
      </c>
    </row>
    <row r="306" spans="2:23" ht="12.75" customHeight="1" x14ac:dyDescent="0.25">
      <c r="B306" s="8"/>
      <c r="C306" s="899"/>
      <c r="D306" s="160" t="s">
        <v>210</v>
      </c>
      <c r="E306" s="1528" t="str">
        <f>Translations!$B$764</f>
        <v>Net heat imported</v>
      </c>
      <c r="F306" s="1528"/>
      <c r="G306" s="1528"/>
      <c r="H306" s="154" t="str">
        <f>EUconst_TJpa</f>
        <v>TJ / year</v>
      </c>
      <c r="I306" s="311"/>
      <c r="J306" s="311"/>
      <c r="K306" s="311"/>
      <c r="L306" s="311"/>
      <c r="M306" s="311"/>
      <c r="N306" s="195"/>
      <c r="O306" s="8"/>
      <c r="P306" s="116" t="str">
        <f>EUconst_CNTR_HeatImportProduct &amp; I234</f>
        <v>HeatImProd_District heating sub-installation</v>
      </c>
      <c r="R306" s="352" t="str">
        <f>EUconst_ERR_AttrEmBMapplied &amp; $I234</f>
        <v>ERR_AttrEmBM_District heating sub-installation</v>
      </c>
      <c r="S306" s="63">
        <f>IF(AND(I306&lt;&gt;0,I307="",EUconst_StatusOfDataCollection=FALSE),1,0)</f>
        <v>0</v>
      </c>
      <c r="T306" s="63">
        <f>IF(AND(J306&lt;&gt;0,J307="",EUconst_StatusOfDataCollection=FALSE),1,0)</f>
        <v>0</v>
      </c>
      <c r="U306" s="63">
        <f>IF(AND(K306&lt;&gt;0,K307="",EUconst_StatusOfDataCollection=FALSE),1,0)</f>
        <v>0</v>
      </c>
      <c r="V306" s="63">
        <f>IF(AND(L306&lt;&gt;0,L307="",EUconst_StatusOfDataCollection=FALSE),1,0)</f>
        <v>0</v>
      </c>
      <c r="W306" s="63">
        <f>IF(AND(M306&lt;&gt;0,M307="",EUconst_StatusOfDataCollection=FALSE),1,0)</f>
        <v>0</v>
      </c>
    </row>
    <row r="307" spans="2:23" ht="12.75" customHeight="1" x14ac:dyDescent="0.25">
      <c r="B307" s="8"/>
      <c r="C307" s="899"/>
      <c r="D307" s="160" t="s">
        <v>220</v>
      </c>
      <c r="E307" s="1528" t="str">
        <f>Translations!$B$868</f>
        <v>Specific EF (from product BM)</v>
      </c>
      <c r="F307" s="1528"/>
      <c r="G307" s="1528"/>
      <c r="H307" s="154" t="str">
        <f>EUconst_tCO2pTJ</f>
        <v>t CO2 / TJ</v>
      </c>
      <c r="I307" s="1065"/>
      <c r="J307" s="1065"/>
      <c r="K307" s="1065"/>
      <c r="L307" s="1065"/>
      <c r="M307" s="1065"/>
      <c r="N307" s="158"/>
      <c r="O307" s="8"/>
      <c r="P307" s="116" t="str">
        <f>EUconst_CNTR_HeatImportProductEF &amp; I234</f>
        <v>HeatImProdEF_District heating sub-installation</v>
      </c>
      <c r="R307" s="374" t="str">
        <f>EUconst_CNTR_AttributedEmissions &amp; $I234</f>
        <v>AttrEmissions_District heating sub-installation</v>
      </c>
      <c r="S307" s="63" t="str">
        <f>IF(S234,SUM(I306)*IF(ISNUMBER(I307),I307,EUconst_HeatBMvalueForBM),"")</f>
        <v/>
      </c>
      <c r="T307" s="63" t="str">
        <f>IF(T234,SUM(J306)*IF(ISNUMBER(J307),J307,EUconst_HeatBMvalueForBM),"")</f>
        <v/>
      </c>
      <c r="U307" s="63" t="str">
        <f>IF(U234,SUM(K306)*IF(ISNUMBER(K307),K307,EUconst_HeatBMvalueForBM),"")</f>
        <v/>
      </c>
      <c r="V307" s="63" t="str">
        <f>IF(V234,SUM(L306)*IF(ISNUMBER(L307),L307,EUconst_HeatBMvalueForBM),"")</f>
        <v/>
      </c>
      <c r="W307" s="63" t="str">
        <f>IF(W234,SUM(M306)*IF(ISNUMBER(M307),M307,EUconst_HeatBMvalueForBM),"")</f>
        <v/>
      </c>
    </row>
    <row r="308" spans="2:23" ht="5.0999999999999996" customHeight="1" x14ac:dyDescent="0.25">
      <c r="B308" s="8"/>
      <c r="C308" s="899"/>
      <c r="D308" s="159"/>
      <c r="E308" s="159"/>
      <c r="F308" s="159"/>
      <c r="G308" s="159"/>
      <c r="H308" s="159"/>
      <c r="I308" s="159"/>
      <c r="J308" s="159"/>
      <c r="K308" s="159"/>
      <c r="L308" s="159"/>
      <c r="M308" s="159"/>
      <c r="N308" s="158"/>
      <c r="O308" s="8"/>
      <c r="P308" s="9"/>
      <c r="R308" s="9"/>
      <c r="S308" s="9"/>
    </row>
    <row r="309" spans="2:23" ht="12.75" customHeight="1" x14ac:dyDescent="0.25">
      <c r="B309" s="8"/>
      <c r="C309" s="899"/>
      <c r="D309" s="159"/>
      <c r="E309" s="1522" t="str">
        <f>Translations!$B$869</f>
        <v>Heat from pulp</v>
      </c>
      <c r="F309" s="1523"/>
      <c r="G309" s="1523"/>
      <c r="H309" s="152" t="str">
        <f>EUconst_Unit</f>
        <v>Unit</v>
      </c>
      <c r="I309" s="153">
        <f>I$559</f>
        <v>2019</v>
      </c>
      <c r="J309" s="153">
        <f>J$559</f>
        <v>2020</v>
      </c>
      <c r="K309" s="153">
        <f>K$559</f>
        <v>2021</v>
      </c>
      <c r="L309" s="153">
        <f>L$559</f>
        <v>2022</v>
      </c>
      <c r="M309" s="153">
        <f>M$559</f>
        <v>2023</v>
      </c>
      <c r="N309" s="903"/>
      <c r="O309" s="8"/>
      <c r="P309" s="9"/>
      <c r="R309" s="9"/>
      <c r="S309" s="28">
        <f>I309</f>
        <v>2019</v>
      </c>
      <c r="T309" s="28">
        <f>J309</f>
        <v>2020</v>
      </c>
      <c r="U309" s="28">
        <f>K309</f>
        <v>2021</v>
      </c>
      <c r="V309" s="28">
        <f>L309</f>
        <v>2022</v>
      </c>
      <c r="W309" s="28">
        <f>M309</f>
        <v>2023</v>
      </c>
    </row>
    <row r="310" spans="2:23" ht="12.75" customHeight="1" x14ac:dyDescent="0.25">
      <c r="B310" s="8"/>
      <c r="C310" s="899"/>
      <c r="D310" s="160" t="s">
        <v>222</v>
      </c>
      <c r="E310" s="1528" t="str">
        <f>Translations!$B$764</f>
        <v>Net heat imported</v>
      </c>
      <c r="F310" s="1528"/>
      <c r="G310" s="1528"/>
      <c r="H310" s="154" t="str">
        <f>EUconst_TJpa</f>
        <v>TJ / year</v>
      </c>
      <c r="I310" s="311"/>
      <c r="J310" s="311"/>
      <c r="K310" s="311"/>
      <c r="L310" s="311"/>
      <c r="M310" s="311"/>
      <c r="N310" s="195"/>
      <c r="O310" s="8"/>
      <c r="P310" s="116" t="str">
        <f>EUconst_CNTR_HeatImportPulp &amp; I234</f>
        <v>HeatImPulp_District heating sub-installation</v>
      </c>
      <c r="R310" s="352" t="str">
        <f>EUconst_ERR_AttrEmBMapplied &amp; $I234</f>
        <v>ERR_AttrEmBM_District heating sub-installation</v>
      </c>
      <c r="S310" s="63">
        <f>IF(AND(I310&lt;&gt;0,I311="",EUconst_StatusOfDataCollection=FALSE),1,0)</f>
        <v>0</v>
      </c>
      <c r="T310" s="63">
        <f>IF(AND(J310&lt;&gt;0,J311="",EUconst_StatusOfDataCollection=FALSE),1,0)</f>
        <v>0</v>
      </c>
      <c r="U310" s="63">
        <f>IF(AND(K310&lt;&gt;0,K311="",EUconst_StatusOfDataCollection=FALSE),1,0)</f>
        <v>0</v>
      </c>
      <c r="V310" s="63">
        <f>IF(AND(L310&lt;&gt;0,L311="",EUconst_StatusOfDataCollection=FALSE),1,0)</f>
        <v>0</v>
      </c>
      <c r="W310" s="63">
        <f>IF(AND(M310&lt;&gt;0,M311="",EUconst_StatusOfDataCollection=FALSE),1,0)</f>
        <v>0</v>
      </c>
    </row>
    <row r="311" spans="2:23" ht="12.75" customHeight="1" x14ac:dyDescent="0.25">
      <c r="B311" s="8"/>
      <c r="C311" s="899"/>
      <c r="D311" s="160" t="s">
        <v>223</v>
      </c>
      <c r="E311" s="1528" t="str">
        <f>Translations!$B$870</f>
        <v>Specific EF (from pulp)</v>
      </c>
      <c r="F311" s="1528"/>
      <c r="G311" s="1528"/>
      <c r="H311" s="154" t="str">
        <f>EUconst_tCO2pTJ</f>
        <v>t CO2 / TJ</v>
      </c>
      <c r="I311" s="1065"/>
      <c r="J311" s="1065"/>
      <c r="K311" s="1065"/>
      <c r="L311" s="1065"/>
      <c r="M311" s="1065"/>
      <c r="N311" s="158"/>
      <c r="O311" s="8"/>
      <c r="P311" s="116" t="str">
        <f>EUconst_CNTR_HeatImportPulpEF &amp; I234</f>
        <v>HeatImPulpEF_District heating sub-installation</v>
      </c>
      <c r="R311" s="374" t="str">
        <f>EUconst_CNTR_AttributedEmissions &amp; $I234</f>
        <v>AttrEmissions_District heating sub-installation</v>
      </c>
      <c r="S311" s="63" t="str">
        <f>IF(S234,SUM(I310)*IF(ISNUMBER(I311),I311,EUconst_HeatBMvalueForBM),"")</f>
        <v/>
      </c>
      <c r="T311" s="63" t="str">
        <f>IF(T234,SUM(J310)*IF(ISNUMBER(J311),J311,EUconst_HeatBMvalueForBM),"")</f>
        <v/>
      </c>
      <c r="U311" s="63" t="str">
        <f>IF(U234,SUM(K310)*IF(ISNUMBER(K311),K311,EUconst_HeatBMvalueForBM),"")</f>
        <v/>
      </c>
      <c r="V311" s="63" t="str">
        <f>IF(V234,SUM(L310)*IF(ISNUMBER(L311),L311,EUconst_HeatBMvalueForBM),"")</f>
        <v/>
      </c>
      <c r="W311" s="63" t="str">
        <f>IF(W234,SUM(M310)*IF(ISNUMBER(M311),M311,EUconst_HeatBMvalueForBM),"")</f>
        <v/>
      </c>
    </row>
    <row r="312" spans="2:23" ht="5.0999999999999996" customHeight="1" x14ac:dyDescent="0.25">
      <c r="B312" s="8"/>
      <c r="C312" s="899"/>
      <c r="D312" s="159"/>
      <c r="E312" s="159"/>
      <c r="F312" s="159"/>
      <c r="G312" s="159"/>
      <c r="H312" s="159"/>
      <c r="I312" s="159"/>
      <c r="J312" s="159"/>
      <c r="K312" s="159"/>
      <c r="L312" s="159"/>
      <c r="M312" s="159"/>
      <c r="N312" s="158"/>
      <c r="O312" s="8"/>
      <c r="P312" s="9"/>
      <c r="R312" s="9"/>
      <c r="S312" s="9"/>
    </row>
    <row r="313" spans="2:23" ht="12.75" customHeight="1" x14ac:dyDescent="0.25">
      <c r="B313" s="8"/>
      <c r="C313" s="899"/>
      <c r="D313" s="159"/>
      <c r="E313" s="1522" t="str">
        <f>Translations!$B$871</f>
        <v>Heat from fuel BM</v>
      </c>
      <c r="F313" s="1523"/>
      <c r="G313" s="1523"/>
      <c r="H313" s="152" t="str">
        <f>EUconst_Unit</f>
        <v>Unit</v>
      </c>
      <c r="I313" s="153">
        <f>I$559</f>
        <v>2019</v>
      </c>
      <c r="J313" s="153">
        <f>J$559</f>
        <v>2020</v>
      </c>
      <c r="K313" s="153">
        <f>K$559</f>
        <v>2021</v>
      </c>
      <c r="L313" s="153">
        <f>L$559</f>
        <v>2022</v>
      </c>
      <c r="M313" s="153">
        <f>M$559</f>
        <v>2023</v>
      </c>
      <c r="N313" s="903"/>
      <c r="O313" s="8"/>
      <c r="P313" s="9"/>
      <c r="R313" s="9"/>
      <c r="S313" s="28">
        <f>I313</f>
        <v>2019</v>
      </c>
      <c r="T313" s="28">
        <f>J313</f>
        <v>2020</v>
      </c>
      <c r="U313" s="28">
        <f>K313</f>
        <v>2021</v>
      </c>
      <c r="V313" s="28">
        <f>L313</f>
        <v>2022</v>
      </c>
      <c r="W313" s="28">
        <f>M313</f>
        <v>2023</v>
      </c>
    </row>
    <row r="314" spans="2:23" ht="12.75" customHeight="1" x14ac:dyDescent="0.25">
      <c r="B314" s="8"/>
      <c r="C314" s="899"/>
      <c r="D314" s="160" t="s">
        <v>345</v>
      </c>
      <c r="E314" s="1528" t="str">
        <f>Translations!$B$764</f>
        <v>Net heat imported</v>
      </c>
      <c r="F314" s="1528"/>
      <c r="G314" s="1528"/>
      <c r="H314" s="154" t="str">
        <f>EUconst_TJpa</f>
        <v>TJ / year</v>
      </c>
      <c r="I314" s="311"/>
      <c r="J314" s="311"/>
      <c r="K314" s="311"/>
      <c r="L314" s="311"/>
      <c r="M314" s="311"/>
      <c r="N314" s="195"/>
      <c r="O314" s="8"/>
      <c r="P314" s="116" t="str">
        <f>EUconst_CNTR_HeatImportFuel &amp; I234</f>
        <v>HeatImFuel_District heating sub-installation</v>
      </c>
      <c r="R314" s="352" t="str">
        <f>EUconst_ERR_AttrEmBMapplied &amp; $I234</f>
        <v>ERR_AttrEmBM_District heating sub-installation</v>
      </c>
      <c r="S314" s="63">
        <f>IF(AND(I314&lt;&gt;0,I315="",EUconst_StatusOfDataCollection=FALSE),1,0)</f>
        <v>0</v>
      </c>
      <c r="T314" s="63">
        <f>IF(AND(J314&lt;&gt;0,J315="",EUconst_StatusOfDataCollection=FALSE),1,0)</f>
        <v>0</v>
      </c>
      <c r="U314" s="63">
        <f>IF(AND(K314&lt;&gt;0,K315="",EUconst_StatusOfDataCollection=FALSE),1,0)</f>
        <v>0</v>
      </c>
      <c r="V314" s="63">
        <f>IF(AND(L314&lt;&gt;0,L315="",EUconst_StatusOfDataCollection=FALSE),1,0)</f>
        <v>0</v>
      </c>
      <c r="W314" s="63">
        <f>IF(AND(M314&lt;&gt;0,M315="",EUconst_StatusOfDataCollection=FALSE),1,0)</f>
        <v>0</v>
      </c>
    </row>
    <row r="315" spans="2:23" ht="12.75" customHeight="1" x14ac:dyDescent="0.25">
      <c r="B315" s="8"/>
      <c r="C315" s="899"/>
      <c r="D315" s="160" t="s">
        <v>346</v>
      </c>
      <c r="E315" s="1528" t="str">
        <f>Translations!$B$872</f>
        <v>Specific EF (from fuelBM)</v>
      </c>
      <c r="F315" s="1528"/>
      <c r="G315" s="1528"/>
      <c r="H315" s="154" t="str">
        <f>EUconst_tCO2pTJ</f>
        <v>t CO2 / TJ</v>
      </c>
      <c r="I315" s="1065"/>
      <c r="J315" s="1065"/>
      <c r="K315" s="1065"/>
      <c r="L315" s="1065"/>
      <c r="M315" s="1065"/>
      <c r="N315" s="158"/>
      <c r="O315" s="8"/>
      <c r="P315" s="116" t="str">
        <f>EUconst_CNTR_HeatImportFuelEF &amp; I234</f>
        <v>HeatImFuelEF_District heating sub-installation</v>
      </c>
      <c r="R315" s="374" t="str">
        <f>EUconst_CNTR_AttributedEmissions &amp; $I234</f>
        <v>AttrEmissions_District heating sub-installation</v>
      </c>
      <c r="S315" s="63" t="str">
        <f>IF(S234,SUM(I314)*IF(ISNUMBER(I315),I315,EUconst_HeatBMvalueForBM),"")</f>
        <v/>
      </c>
      <c r="T315" s="63" t="str">
        <f>IF(T234,SUM(J314)*IF(ISNUMBER(J315),J315,EUconst_HeatBMvalueForBM),"")</f>
        <v/>
      </c>
      <c r="U315" s="63" t="str">
        <f>IF(U234,SUM(K314)*IF(ISNUMBER(K315),K315,EUconst_HeatBMvalueForBM),"")</f>
        <v/>
      </c>
      <c r="V315" s="63" t="str">
        <f>IF(V234,SUM(L314)*IF(ISNUMBER(L315),L315,EUconst_HeatBMvalueForBM),"")</f>
        <v/>
      </c>
      <c r="W315" s="63" t="str">
        <f>IF(W234,SUM(M314)*IF(ISNUMBER(M315),M315,EUconst_HeatBMvalueForBM),"")</f>
        <v/>
      </c>
    </row>
    <row r="316" spans="2:23" ht="5.0999999999999996" customHeight="1" x14ac:dyDescent="0.25">
      <c r="B316" s="8"/>
      <c r="C316" s="899"/>
      <c r="D316" s="159"/>
      <c r="E316" s="159"/>
      <c r="F316" s="159"/>
      <c r="G316" s="159"/>
      <c r="H316" s="159"/>
      <c r="I316" s="159"/>
      <c r="J316" s="159"/>
      <c r="K316" s="159"/>
      <c r="L316" s="159"/>
      <c r="M316" s="159"/>
      <c r="N316" s="158"/>
      <c r="O316" s="8"/>
      <c r="P316" s="9"/>
      <c r="R316" s="9"/>
      <c r="S316" s="9"/>
    </row>
    <row r="317" spans="2:23" ht="12.75" customHeight="1" x14ac:dyDescent="0.25">
      <c r="B317" s="8"/>
      <c r="C317" s="899"/>
      <c r="D317" s="159"/>
      <c r="E317" s="1522" t="str">
        <f>Translations!$B$873</f>
        <v>Heat from waste gases</v>
      </c>
      <c r="F317" s="1523"/>
      <c r="G317" s="1523"/>
      <c r="H317" s="152" t="str">
        <f>EUconst_Unit</f>
        <v>Unit</v>
      </c>
      <c r="I317" s="153">
        <f>I$559</f>
        <v>2019</v>
      </c>
      <c r="J317" s="153">
        <f>J$559</f>
        <v>2020</v>
      </c>
      <c r="K317" s="153">
        <f>K$559</f>
        <v>2021</v>
      </c>
      <c r="L317" s="153">
        <f>L$559</f>
        <v>2022</v>
      </c>
      <c r="M317" s="153">
        <f>M$559</f>
        <v>2023</v>
      </c>
      <c r="N317" s="903"/>
      <c r="O317" s="8"/>
      <c r="P317" s="9"/>
      <c r="R317" s="9"/>
      <c r="S317" s="28">
        <f>I317</f>
        <v>2019</v>
      </c>
      <c r="T317" s="28">
        <f>J317</f>
        <v>2020</v>
      </c>
      <c r="U317" s="28">
        <f>K317</f>
        <v>2021</v>
      </c>
      <c r="V317" s="28">
        <f>L317</f>
        <v>2022</v>
      </c>
      <c r="W317" s="28">
        <f>M317</f>
        <v>2023</v>
      </c>
    </row>
    <row r="318" spans="2:23" ht="12.75" customHeight="1" x14ac:dyDescent="0.25">
      <c r="B318" s="8"/>
      <c r="C318" s="899"/>
      <c r="D318" s="160" t="s">
        <v>355</v>
      </c>
      <c r="E318" s="1528" t="str">
        <f>Translations!$B$764</f>
        <v>Net heat imported</v>
      </c>
      <c r="F318" s="1528"/>
      <c r="G318" s="1528"/>
      <c r="H318" s="154" t="str">
        <f>EUconst_TJpa</f>
        <v>TJ / year</v>
      </c>
      <c r="I318" s="311"/>
      <c r="J318" s="311"/>
      <c r="K318" s="311"/>
      <c r="L318" s="311"/>
      <c r="M318" s="311"/>
      <c r="N318" s="195"/>
      <c r="O318" s="8"/>
      <c r="P318" s="116" t="str">
        <f>EUconst_CNTR_WGImport &amp; I234</f>
        <v>WasteGasIm_District heating sub-installation</v>
      </c>
      <c r="R318" s="352" t="str">
        <f>EUconst_ERR_AttrEmBMapplied &amp; $I234</f>
        <v>ERR_AttrEmBM_District heating sub-installation</v>
      </c>
      <c r="S318" s="63">
        <f>IF(AND(I318&lt;&gt;0,EUconst_StatusOfDataCollection=FALSE),1,0)</f>
        <v>0</v>
      </c>
      <c r="T318" s="63">
        <f>IF(AND(J318&lt;&gt;0,EUconst_StatusOfDataCollection=FALSE),1,0)</f>
        <v>0</v>
      </c>
      <c r="U318" s="63">
        <f>IF(AND(K318&lt;&gt;0,EUconst_StatusOfDataCollection=FALSE),1,0)</f>
        <v>0</v>
      </c>
      <c r="V318" s="63">
        <f>IF(AND(L318&lt;&gt;0,EUconst_StatusOfDataCollection=FALSE),1,0)</f>
        <v>0</v>
      </c>
      <c r="W318" s="63">
        <f>IF(AND(M318&lt;&gt;0,EUconst_StatusOfDataCollection=FALSE),1,0)</f>
        <v>0</v>
      </c>
    </row>
    <row r="319" spans="2:23" ht="12.75" customHeight="1" x14ac:dyDescent="0.25">
      <c r="B319" s="8"/>
      <c r="C319" s="899"/>
      <c r="D319" s="160" t="s">
        <v>356</v>
      </c>
      <c r="E319" s="1528" t="str">
        <f>Translations!$B$874</f>
        <v>Specific EF (from waste gas)</v>
      </c>
      <c r="F319" s="1528"/>
      <c r="G319" s="1528"/>
      <c r="H319" s="154" t="str">
        <f>EUconst_tCO2pTJ</f>
        <v>t CO2 / TJ</v>
      </c>
      <c r="I319" s="1065"/>
      <c r="J319" s="1065"/>
      <c r="K319" s="1065"/>
      <c r="L319" s="1065"/>
      <c r="M319" s="1065"/>
      <c r="N319" s="158"/>
      <c r="O319" s="8"/>
      <c r="P319" s="116" t="str">
        <f>EUconst_CNTR_WGImportEF &amp; I234</f>
        <v>WasteGasImEF_District heating sub-installation</v>
      </c>
      <c r="R319" s="374" t="str">
        <f>EUconst_CNTR_AttributedEmissions &amp; $I234</f>
        <v>AttrEmissions_District heating sub-installation</v>
      </c>
      <c r="S319" s="63" t="str">
        <f>IF(S234,SUM(I318)*IF(ISNUMBER(I319),I319,EUconst_HeatBMvalueForBM),"")</f>
        <v/>
      </c>
      <c r="T319" s="63" t="str">
        <f>IF(T234,SUM(J318)*IF(ISNUMBER(J319),J319,EUconst_HeatBMvalueForBM),"")</f>
        <v/>
      </c>
      <c r="U319" s="63" t="str">
        <f>IF(U234,SUM(K318)*IF(ISNUMBER(K319),K319,EUconst_HeatBMvalueForBM),"")</f>
        <v/>
      </c>
      <c r="V319" s="63" t="str">
        <f>IF(V234,SUM(L318)*IF(ISNUMBER(L319),L319,EUconst_HeatBMvalueForBM),"")</f>
        <v/>
      </c>
      <c r="W319" s="63" t="str">
        <f>IF(W234,SUM(M318)*IF(ISNUMBER(M319),M319,EUconst_HeatBMvalueForBM),"")</f>
        <v/>
      </c>
    </row>
    <row r="320" spans="2:23" ht="5.0999999999999996" customHeight="1" x14ac:dyDescent="0.25">
      <c r="B320" s="8"/>
      <c r="C320" s="899"/>
      <c r="D320" s="159"/>
      <c r="E320" s="159"/>
      <c r="F320" s="159"/>
      <c r="G320" s="159"/>
      <c r="H320" s="159"/>
      <c r="I320" s="159"/>
      <c r="J320" s="159"/>
      <c r="K320" s="159"/>
      <c r="L320" s="159"/>
      <c r="M320" s="159"/>
      <c r="N320" s="158"/>
      <c r="O320" s="8"/>
      <c r="P320" s="9"/>
      <c r="R320" s="9"/>
      <c r="S320" s="9"/>
    </row>
    <row r="321" spans="2:29" ht="12.75" customHeight="1" x14ac:dyDescent="0.25">
      <c r="B321" s="8"/>
      <c r="C321" s="899"/>
      <c r="D321" s="160" t="s">
        <v>421</v>
      </c>
      <c r="E321" s="1528" t="str">
        <f>Translations!$B$875</f>
        <v>Total net heat imported</v>
      </c>
      <c r="F321" s="1528"/>
      <c r="G321" s="1528"/>
      <c r="H321" s="154" t="str">
        <f>EUconst_TJpa</f>
        <v>TJ / year</v>
      </c>
      <c r="I321" s="163" t="str">
        <f>IF(COUNT(I302,I306,I310,I314,I318)&gt;0,SUM(I302,I306,I310,I314,I318),"")</f>
        <v/>
      </c>
      <c r="J321" s="163" t="str">
        <f>IF(COUNT(J302,J306,J310,J314,J318)&gt;0,SUM(J302,J306,J310,J314,J318),"")</f>
        <v/>
      </c>
      <c r="K321" s="163" t="str">
        <f>IF(COUNT(K302,K306,K310,K314,K318)&gt;0,SUM(K302,K306,K310,K314,K318),"")</f>
        <v/>
      </c>
      <c r="L321" s="163" t="str">
        <f>IF(COUNT(L302,L306,L310,L314,L318)&gt;0,SUM(L302,L306,L310,L314,L318),"")</f>
        <v/>
      </c>
      <c r="M321" s="163" t="str">
        <f>IF(COUNT(M302,M306,M310,M314,M318)&gt;0,SUM(M302,M306,M310,M314,M318),"")</f>
        <v/>
      </c>
      <c r="N321" s="171"/>
      <c r="O321" s="8"/>
      <c r="R321" s="9"/>
      <c r="S321" s="9"/>
    </row>
    <row r="322" spans="2:29" ht="12.75" customHeight="1" thickBot="1" x14ac:dyDescent="0.3">
      <c r="B322" s="8"/>
      <c r="C322" s="905"/>
      <c r="D322" s="161"/>
      <c r="E322" s="161"/>
      <c r="F322" s="161"/>
      <c r="G322" s="161"/>
      <c r="H322" s="161"/>
      <c r="I322" s="161"/>
      <c r="J322" s="161"/>
      <c r="K322" s="161"/>
      <c r="L322" s="161"/>
      <c r="M322" s="161"/>
      <c r="N322" s="162"/>
      <c r="O322" s="8"/>
      <c r="P322" s="9"/>
      <c r="R322" s="9"/>
    </row>
    <row r="323" spans="2:29" ht="25.5" customHeight="1" thickBot="1" x14ac:dyDescent="0.3">
      <c r="B323" s="17"/>
      <c r="C323" s="17"/>
      <c r="D323" s="17"/>
      <c r="E323" s="17"/>
      <c r="F323" s="17"/>
      <c r="G323" s="17"/>
      <c r="H323" s="17"/>
      <c r="I323" s="17"/>
      <c r="J323" s="17"/>
      <c r="K323" s="17"/>
      <c r="L323" s="17"/>
      <c r="M323" s="17"/>
      <c r="N323" s="17"/>
      <c r="O323" s="8"/>
    </row>
    <row r="324" spans="2:29" ht="12.75" customHeight="1" thickBot="1" x14ac:dyDescent="0.3">
      <c r="B324" s="8"/>
      <c r="C324" s="906"/>
      <c r="D324" s="906"/>
      <c r="E324" s="906"/>
      <c r="F324" s="906"/>
      <c r="G324" s="906"/>
      <c r="H324" s="906"/>
      <c r="I324" s="906"/>
      <c r="J324" s="906"/>
      <c r="K324" s="906"/>
      <c r="L324" s="906"/>
      <c r="M324" s="906"/>
      <c r="N324" s="906"/>
      <c r="O324" s="8"/>
    </row>
    <row r="325" spans="2:29" ht="15.75" customHeight="1" thickBot="1" x14ac:dyDescent="0.3">
      <c r="B325" s="8"/>
      <c r="C325" s="19">
        <v>4</v>
      </c>
      <c r="D325" s="1234" t="str">
        <f>EUconst_FBSubinst &amp; ":"</f>
        <v>Fall-Back sub-installation:</v>
      </c>
      <c r="E325" s="1176"/>
      <c r="F325" s="1176"/>
      <c r="G325" s="1176"/>
      <c r="H325" s="1260"/>
      <c r="I325" s="1550" t="str">
        <f>INDEX(EUconst_FallBackListNames,$C325)</f>
        <v>Fuel benchmark sub-installation, CL</v>
      </c>
      <c r="J325" s="1509"/>
      <c r="K325" s="1509"/>
      <c r="L325" s="1551"/>
      <c r="M325" s="1608" t="str">
        <f>IF(ISBLANK(INDEX(CNTR_FallBackSubInstRelevant,C325)),"",IF(INDEX(CNTR_FallBackSubInstRelevant,C325),EUconst_Relevant,EUconst_NotRelevant))</f>
        <v/>
      </c>
      <c r="N325" s="1609"/>
      <c r="O325" s="8"/>
      <c r="P325" s="219">
        <f>C325</f>
        <v>4</v>
      </c>
      <c r="Q325" s="124" t="s">
        <v>296</v>
      </c>
      <c r="R325" s="354" t="str">
        <f>IF(M325&lt;&gt;EUconst_Relevant,"",INDEX(CNTR_SubInstStartDate,MATCH($I325,CNTR_SubInstListNames,0)))</f>
        <v/>
      </c>
      <c r="S325" s="352" t="b">
        <f>IF($M325&lt;&gt;EUconst_Relevant,FALSE,AND(I$562, IF($R325&lt;DATE($L$559,1,1),YEAR($R325)&lt;=I$559,YEAR($R325-1)&lt;I$559) ) )</f>
        <v>0</v>
      </c>
      <c r="T325" s="352" t="b">
        <f>IF($M325&lt;&gt;EUconst_Relevant,FALSE,AND(J$562, IF($R325&lt;DATE($L$559,1,1),YEAR($R325)&lt;=J$559,YEAR($R325-1)&lt;J$559) ) )</f>
        <v>0</v>
      </c>
      <c r="U325" s="352" t="b">
        <f>IF($M325&lt;&gt;EUconst_Relevant,FALSE,AND(K$562, IF($R325&lt;DATE($L$559,1,1),YEAR($R325)&lt;=K$559,YEAR($R325-1)&lt;K$559) ) )</f>
        <v>0</v>
      </c>
      <c r="V325" s="352" t="b">
        <f>IF($M325&lt;&gt;EUconst_Relevant,FALSE,AND(L$562, IF($R325&lt;DATE($L$559,1,1),YEAR($R325)&lt;=L$559,YEAR($R325-1)&lt;L$559) ) )</f>
        <v>0</v>
      </c>
      <c r="W325" s="352" t="b">
        <f>IF($M325&lt;&gt;EUconst_Relevant,FALSE,AND(M$562, IF($R325&lt;DATE($L$559,1,1),YEAR($R325)&lt;=M$559,YEAR($R325-1)&lt;M$559) ) )</f>
        <v>0</v>
      </c>
      <c r="X325" s="9"/>
      <c r="AB325" s="288" t="s">
        <v>390</v>
      </c>
      <c r="AC325" s="410" t="b">
        <f>AND(CNTR_ExistSubInstEntries,M325=EUconst_NotRelevant)</f>
        <v>0</v>
      </c>
    </row>
    <row r="326" spans="2:29" ht="12.75" customHeight="1" x14ac:dyDescent="0.25">
      <c r="B326" s="17"/>
      <c r="C326" s="17"/>
      <c r="D326" s="17"/>
      <c r="E326" s="17"/>
      <c r="F326" s="17"/>
      <c r="G326" s="17"/>
      <c r="H326" s="80"/>
      <c r="I326" s="1602" t="str">
        <f>IF(M325="","",IF(M325=EUconst_Relevant,HYPERLINK("",EUconst_MsgEnterThisSection),HYPERLINK(Q326,EUconst_MsgGoToNextSubInst)))</f>
        <v/>
      </c>
      <c r="J326" s="1603"/>
      <c r="K326" s="1603"/>
      <c r="L326" s="1603"/>
      <c r="M326" s="1604"/>
      <c r="N326" s="1605"/>
      <c r="O326" s="8"/>
      <c r="P326" s="145" t="s">
        <v>334</v>
      </c>
      <c r="Q326" s="877" t="str">
        <f>"#JUMP_G"&amp;P325+1</f>
        <v>#JUMP_G5</v>
      </c>
    </row>
    <row r="327" spans="2:29" ht="5.0999999999999996" customHeight="1" x14ac:dyDescent="0.25">
      <c r="B327" s="8"/>
      <c r="C327" s="8"/>
      <c r="D327" s="8"/>
      <c r="E327" s="8"/>
      <c r="F327" s="8"/>
      <c r="G327" s="8"/>
      <c r="H327" s="8"/>
      <c r="I327" s="8"/>
      <c r="J327" s="8"/>
      <c r="K327" s="8"/>
      <c r="L327" s="8"/>
      <c r="M327" s="8"/>
      <c r="N327" s="8"/>
      <c r="O327" s="8"/>
      <c r="P327" s="9"/>
    </row>
    <row r="328" spans="2:29" ht="12.75" customHeight="1" x14ac:dyDescent="0.25">
      <c r="B328" s="17"/>
      <c r="C328" s="17"/>
      <c r="D328" s="17"/>
      <c r="E328" s="1413" t="str">
        <f>CONCATENATE(EUconst_MsgSeeFirst," (G.I.1)")</f>
        <v>Detailed instructions for data entries in this tool can be found at the first copy of this tool.  (G.I.1)</v>
      </c>
      <c r="F328" s="1413"/>
      <c r="G328" s="1413"/>
      <c r="H328" s="1413"/>
      <c r="I328" s="1413"/>
      <c r="J328" s="1413"/>
      <c r="K328" s="1413"/>
      <c r="L328" s="1413"/>
      <c r="M328" s="1413"/>
      <c r="N328" s="1413"/>
      <c r="O328" s="8"/>
    </row>
    <row r="329" spans="2:29" ht="5.0999999999999996" customHeight="1" x14ac:dyDescent="0.25">
      <c r="B329" s="8"/>
      <c r="C329" s="8"/>
      <c r="D329" s="8"/>
      <c r="E329" s="8"/>
      <c r="F329" s="8"/>
      <c r="G329" s="8"/>
      <c r="H329" s="8"/>
      <c r="I329" s="8"/>
      <c r="J329" s="8"/>
      <c r="K329" s="8"/>
      <c r="L329" s="8"/>
      <c r="M329" s="8"/>
      <c r="N329" s="8"/>
      <c r="O329" s="8"/>
      <c r="P329" s="9"/>
    </row>
    <row r="330" spans="2:29" ht="12.75" customHeight="1" thickBot="1" x14ac:dyDescent="0.3">
      <c r="B330" s="8"/>
      <c r="C330" s="15"/>
      <c r="D330" s="15" t="s">
        <v>190</v>
      </c>
      <c r="E330" s="1165" t="str">
        <f>Translations!$B$670</f>
        <v>Historic activity levels</v>
      </c>
      <c r="F330" s="1176"/>
      <c r="G330" s="1176"/>
      <c r="H330" s="1176"/>
      <c r="I330" s="1176"/>
      <c r="J330" s="1176"/>
      <c r="K330" s="1176"/>
      <c r="L330" s="1176"/>
      <c r="M330" s="1176"/>
      <c r="N330" s="1176"/>
      <c r="O330" s="8"/>
      <c r="P330" s="9"/>
      <c r="Q330" s="9"/>
      <c r="R330" s="9"/>
      <c r="S330" s="9"/>
      <c r="T330" s="9"/>
      <c r="U330" s="9"/>
      <c r="V330" s="9"/>
      <c r="W330" s="9"/>
      <c r="X330" s="9"/>
    </row>
    <row r="331" spans="2:29" ht="12.75" customHeight="1" thickBot="1" x14ac:dyDescent="0.3">
      <c r="B331" s="8"/>
      <c r="C331" s="17"/>
      <c r="D331" s="17"/>
      <c r="E331" s="1607" t="str">
        <f>Translations!$B$884</f>
        <v>The following data is taken automatically from sheet "E_EnergyFlows", section E.I.c. Thus, data input is mandatory there.</v>
      </c>
      <c r="F331" s="1607"/>
      <c r="G331" s="1607"/>
      <c r="H331" s="1607"/>
      <c r="I331" s="1607"/>
      <c r="J331" s="1607"/>
      <c r="K331" s="1607"/>
      <c r="L331" s="1607"/>
      <c r="M331" s="1607"/>
      <c r="N331" s="1607"/>
      <c r="O331" s="8"/>
      <c r="P331" s="9"/>
      <c r="Q331" s="147" t="s">
        <v>395</v>
      </c>
      <c r="R331" s="459" t="s">
        <v>465</v>
      </c>
      <c r="S331" s="879"/>
      <c r="T331" s="879"/>
      <c r="U331" s="879"/>
      <c r="V331" s="879"/>
      <c r="W331" s="879"/>
      <c r="X331" s="387"/>
    </row>
    <row r="332" spans="2:29" ht="12.75" customHeight="1" x14ac:dyDescent="0.25">
      <c r="B332" s="17"/>
      <c r="C332" s="15"/>
      <c r="D332" s="15"/>
      <c r="E332" s="1259" t="str">
        <f>Translations!$B$829</f>
        <v>Main activity level:</v>
      </c>
      <c r="F332" s="1212"/>
      <c r="G332" s="1212"/>
      <c r="H332" s="23" t="str">
        <f>EUconst_Unit</f>
        <v>Unit</v>
      </c>
      <c r="I332" s="128">
        <f>I$559</f>
        <v>2019</v>
      </c>
      <c r="J332" s="128">
        <f>J$559</f>
        <v>2020</v>
      </c>
      <c r="K332" s="128">
        <f>K$559</f>
        <v>2021</v>
      </c>
      <c r="L332" s="128">
        <f>L$559</f>
        <v>2022</v>
      </c>
      <c r="M332" s="128">
        <f>M$559</f>
        <v>2023</v>
      </c>
      <c r="N332" s="376" t="str">
        <f>IF(M325&lt;&gt;EUconst_Relevant,"",IF(Z333,YEAR(R325)+1,""))</f>
        <v/>
      </c>
      <c r="O332" s="8"/>
      <c r="P332" s="392" t="s">
        <v>397</v>
      </c>
      <c r="Q332" s="582" t="s">
        <v>398</v>
      </c>
      <c r="R332" s="59" t="s">
        <v>399</v>
      </c>
      <c r="S332" s="880">
        <f>I332</f>
        <v>2019</v>
      </c>
      <c r="T332" s="63">
        <f>J332</f>
        <v>2020</v>
      </c>
      <c r="U332" s="63">
        <f>K332</f>
        <v>2021</v>
      </c>
      <c r="V332" s="63">
        <f>L332</f>
        <v>2022</v>
      </c>
      <c r="W332" s="63">
        <f>M332</f>
        <v>2023</v>
      </c>
      <c r="X332" s="803"/>
      <c r="AA332" s="405" t="b">
        <f>IF(CNTR_ExistSubInstEntries,IF(M325=EUconst_Relevant,NOT(Z333),TRUE),FALSE)</f>
        <v>0</v>
      </c>
    </row>
    <row r="333" spans="2:29" ht="12.75" customHeight="1" thickBot="1" x14ac:dyDescent="0.3">
      <c r="B333" s="17"/>
      <c r="C333" s="17"/>
      <c r="D333" s="17"/>
      <c r="E333" s="1560" t="str">
        <f>I325</f>
        <v>Fuel benchmark sub-installation, CL</v>
      </c>
      <c r="F333" s="1560"/>
      <c r="G333" s="1560"/>
      <c r="H333" s="820" t="str">
        <f>INDEX(EUconst_FallBackListUnits,MATCH(E333,EUconst_FallBackListNames,0))</f>
        <v>TJ</v>
      </c>
      <c r="I333" s="818" t="str">
        <f>IF($M325=EUconst_Relevant,IF(ISNUMBER(INDEX(E_EnergyFlows!I$387:I$393,MATCH($E333,E_EnergyFlows!$E$387:$E$393,0))),INDEX(E_EnergyFlows!I$387:I$393,MATCH($E333,E_EnergyFlows!$E$387:$E$393,0)),INDEX(EUconst_FallbackListMissing,$P325)),"")</f>
        <v/>
      </c>
      <c r="J333" s="818" t="str">
        <f>IF($M325=EUconst_Relevant,IF(ISNUMBER(INDEX(E_EnergyFlows!J$387:J$393,MATCH($E333,E_EnergyFlows!$E$387:$E$393,0))),INDEX(E_EnergyFlows!J$387:J$393,MATCH($E333,E_EnergyFlows!$E$387:$E$393,0)),INDEX(EUconst_FallbackListMissing,$P325)),"")</f>
        <v/>
      </c>
      <c r="K333" s="818" t="str">
        <f>IF($M325=EUconst_Relevant,IF(ISNUMBER(INDEX(E_EnergyFlows!K$387:K$393,MATCH($E333,E_EnergyFlows!$E$387:$E$393,0))),INDEX(E_EnergyFlows!K$387:K$393,MATCH($E333,E_EnergyFlows!$E$387:$E$393,0)),INDEX(EUconst_FallbackListMissing,$P325)),"")</f>
        <v/>
      </c>
      <c r="L333" s="818" t="str">
        <f>IF($M325=EUconst_Relevant,IF(ISNUMBER(INDEX(E_EnergyFlows!L$387:L$393,MATCH($E333,E_EnergyFlows!$E$387:$E$393,0))),INDEX(E_EnergyFlows!L$387:L$393,MATCH($E333,E_EnergyFlows!$E$387:$E$393,0)),INDEX(EUconst_FallbackListMissing,$P325)),"")</f>
        <v/>
      </c>
      <c r="M333" s="818" t="str">
        <f>IF($M325=EUconst_Relevant,IF(ISNUMBER(INDEX(E_EnergyFlows!M$387:M$393,MATCH($E333,E_EnergyFlows!$E$387:$E$393,0))),INDEX(E_EnergyFlows!M$387:M$393,MATCH($E333,E_EnergyFlows!$E$387:$E$393,0)),INDEX(EUconst_FallbackListMissing,$P325)),"")</f>
        <v/>
      </c>
      <c r="N333" s="397"/>
      <c r="O333" s="8"/>
      <c r="P333" s="58" t="str">
        <f>EUconst_CNTR_HAL&amp;E333</f>
        <v>HAL_Fuel benchmark sub-installation, CL</v>
      </c>
      <c r="Q333" s="286" t="str">
        <f>IF(COUNT($K333:$L333)&gt;0,AVERAGE($K333:$L333),"")</f>
        <v/>
      </c>
      <c r="R333" s="57" t="str">
        <f>IF(COUNT(S333:W333)&gt;0,AVERAGE(S333:W333),"")</f>
        <v/>
      </c>
      <c r="S333" s="882" t="str">
        <f>IF(S325,IF(ISNUMBER(I333),I333,0),"")</f>
        <v/>
      </c>
      <c r="T333" s="389" t="str">
        <f>IF(T325,IF(ISNUMBER(J333),J333,0),"")</f>
        <v/>
      </c>
      <c r="U333" s="389" t="str">
        <f>IF(U325,IF(ISNUMBER(K333),K333,0),"")</f>
        <v/>
      </c>
      <c r="V333" s="389" t="str">
        <f>IF(V325,IF(ISNUMBER(L333),L333,0),"")</f>
        <v/>
      </c>
      <c r="W333" s="389" t="str">
        <f>IF(W325,IF(ISNUMBER(M333),M333,0),"")</f>
        <v/>
      </c>
      <c r="X333" s="390"/>
      <c r="Y333" s="124" t="s">
        <v>304</v>
      </c>
      <c r="Z333" s="392" t="b">
        <f>IF(M325&lt;&gt;EUconst_Relevant,FALSE,INDEX(CNTR_SubInstLess1Year,MATCH(I325,CNTR_SubInstListNames,0)))</f>
        <v>0</v>
      </c>
      <c r="AA333" s="399" t="b">
        <f>AA332</f>
        <v>0</v>
      </c>
    </row>
    <row r="334" spans="2:29" ht="12.75" customHeight="1" x14ac:dyDescent="0.25">
      <c r="B334" s="17"/>
      <c r="C334" s="17"/>
      <c r="D334" s="17"/>
      <c r="E334" s="17"/>
      <c r="F334" s="17"/>
      <c r="G334" s="17"/>
      <c r="H334" s="17"/>
      <c r="I334" s="31"/>
      <c r="J334" s="17"/>
      <c r="K334" s="17"/>
      <c r="L334" s="17"/>
      <c r="M334" s="17"/>
      <c r="N334" s="17"/>
      <c r="O334" s="8"/>
      <c r="P334" s="44"/>
      <c r="R334" s="9"/>
      <c r="S334" s="9"/>
    </row>
    <row r="335" spans="2:29" ht="13.8" x14ac:dyDescent="0.25">
      <c r="B335" s="17"/>
      <c r="C335" s="20"/>
      <c r="D335" s="1234" t="str">
        <f>Translations!$B$700</f>
        <v>Production details</v>
      </c>
      <c r="E335" s="1176"/>
      <c r="F335" s="1176"/>
      <c r="G335" s="1176"/>
      <c r="H335" s="1176"/>
      <c r="I335" s="1176"/>
      <c r="J335" s="1176"/>
      <c r="K335" s="1176"/>
      <c r="L335" s="1176"/>
      <c r="M335" s="1176"/>
      <c r="N335" s="1176"/>
      <c r="O335" s="8"/>
      <c r="Y335" s="9"/>
      <c r="Z335" s="9"/>
      <c r="AA335" s="9"/>
      <c r="AB335" s="9"/>
    </row>
    <row r="336" spans="2:29" ht="5.0999999999999996" customHeight="1" x14ac:dyDescent="0.25">
      <c r="B336" s="8"/>
      <c r="C336" s="8"/>
      <c r="D336" s="8"/>
      <c r="E336" s="8"/>
      <c r="F336" s="8"/>
      <c r="G336" s="8"/>
      <c r="H336" s="8"/>
      <c r="I336" s="8"/>
      <c r="J336" s="8"/>
      <c r="K336" s="8"/>
      <c r="L336" s="8"/>
      <c r="M336" s="8"/>
      <c r="N336" s="8"/>
      <c r="O336" s="8"/>
      <c r="P336" s="9"/>
      <c r="Q336" s="9"/>
    </row>
    <row r="337" spans="2:28" ht="12.75" customHeight="1" x14ac:dyDescent="0.25">
      <c r="B337" s="8"/>
      <c r="C337" s="15"/>
      <c r="D337" s="15" t="s">
        <v>192</v>
      </c>
      <c r="E337" s="1165" t="str">
        <f>Translations!$B$830</f>
        <v>Identification of relevant products or services associated with this sub-installation</v>
      </c>
      <c r="F337" s="1176"/>
      <c r="G337" s="1176"/>
      <c r="H337" s="1176"/>
      <c r="I337" s="1176"/>
      <c r="J337" s="1176"/>
      <c r="K337" s="1176"/>
      <c r="L337" s="1176"/>
      <c r="M337" s="1176"/>
      <c r="N337" s="1176"/>
      <c r="O337" s="8"/>
      <c r="P337" s="9"/>
    </row>
    <row r="338" spans="2:28" ht="12.75" customHeight="1" x14ac:dyDescent="0.25">
      <c r="B338" s="8"/>
      <c r="C338" s="17"/>
      <c r="D338" s="17"/>
      <c r="E338" s="1223" t="str">
        <f>Translations!$B$831</f>
        <v>Please list here to which production processes or services this sub-installation relates. This may include the following items:</v>
      </c>
      <c r="F338" s="1176"/>
      <c r="G338" s="1176"/>
      <c r="H338" s="1176"/>
      <c r="I338" s="1176"/>
      <c r="J338" s="1176"/>
      <c r="K338" s="1176"/>
      <c r="L338" s="1176"/>
      <c r="M338" s="1176"/>
      <c r="N338" s="1176"/>
      <c r="O338" s="8"/>
      <c r="P338" s="9"/>
      <c r="Q338" s="9"/>
      <c r="R338" s="9"/>
      <c r="S338" s="9"/>
      <c r="T338" s="9"/>
      <c r="U338" s="9"/>
      <c r="V338" s="9"/>
      <c r="W338" s="9"/>
      <c r="X338" s="9"/>
      <c r="Y338" s="9"/>
      <c r="Z338" s="9"/>
      <c r="AA338" s="9"/>
      <c r="AB338" s="9"/>
    </row>
    <row r="339" spans="2:28" ht="12.75" customHeight="1" x14ac:dyDescent="0.25">
      <c r="B339" s="8"/>
      <c r="C339" s="8"/>
      <c r="D339" s="17"/>
      <c r="E339" s="883" t="s">
        <v>466</v>
      </c>
      <c r="F339" s="1223" t="str">
        <f>Translations!$B$832</f>
        <v>Production of goods not covered by product benchmarks within the installation (please provide types of product);</v>
      </c>
      <c r="G339" s="1176"/>
      <c r="H339" s="1176"/>
      <c r="I339" s="1176"/>
      <c r="J339" s="1176"/>
      <c r="K339" s="1176"/>
      <c r="L339" s="1176"/>
      <c r="M339" s="1176"/>
      <c r="N339" s="1176"/>
      <c r="O339" s="8"/>
      <c r="P339" s="9"/>
      <c r="Q339" s="9"/>
      <c r="R339" s="9"/>
      <c r="S339" s="9"/>
      <c r="T339" s="9"/>
      <c r="U339" s="9"/>
      <c r="V339" s="9"/>
      <c r="W339" s="9"/>
      <c r="X339" s="9"/>
    </row>
    <row r="340" spans="2:28" ht="12.75" customHeight="1" x14ac:dyDescent="0.25">
      <c r="B340" s="8"/>
      <c r="C340" s="8"/>
      <c r="D340" s="17"/>
      <c r="E340" s="883" t="s">
        <v>466</v>
      </c>
      <c r="F340" s="1223" t="str">
        <f>Translations!$B$885</f>
        <v>production of mechanical energy, heating or cooling (all uses excluding production of electricity).</v>
      </c>
      <c r="G340" s="1176"/>
      <c r="H340" s="1176"/>
      <c r="I340" s="1176"/>
      <c r="J340" s="1176"/>
      <c r="K340" s="1176"/>
      <c r="L340" s="1176"/>
      <c r="M340" s="1176"/>
      <c r="N340" s="1176"/>
      <c r="O340" s="8"/>
      <c r="P340" s="9"/>
      <c r="Q340" s="9"/>
      <c r="R340" s="9"/>
      <c r="S340" s="9"/>
      <c r="T340" s="9"/>
      <c r="U340" s="9"/>
      <c r="V340" s="9"/>
      <c r="W340" s="9"/>
      <c r="X340" s="9"/>
    </row>
    <row r="341" spans="2:28" ht="5.0999999999999996" customHeight="1" x14ac:dyDescent="0.25">
      <c r="B341" s="8"/>
      <c r="C341" s="8"/>
      <c r="D341" s="8"/>
      <c r="E341" s="8"/>
      <c r="F341" s="8"/>
      <c r="G341" s="8"/>
      <c r="H341" s="8"/>
      <c r="I341" s="8"/>
      <c r="J341" s="8"/>
      <c r="K341" s="8"/>
      <c r="L341" s="8"/>
      <c r="M341" s="8"/>
      <c r="N341" s="8"/>
      <c r="O341" s="8"/>
      <c r="P341" s="9"/>
      <c r="Q341" s="9"/>
    </row>
    <row r="342" spans="2:28" ht="25.5" customHeight="1" x14ac:dyDescent="0.25">
      <c r="B342" s="17"/>
      <c r="C342" s="17"/>
      <c r="D342" s="26"/>
      <c r="E342" s="1616" t="str">
        <f>Translations!$B$837</f>
        <v>Use type</v>
      </c>
      <c r="F342" s="1402"/>
      <c r="G342" s="1615" t="str">
        <f>Translations!$B$886</f>
        <v>Product name or service type</v>
      </c>
      <c r="H342" s="1208"/>
      <c r="I342" s="1208"/>
      <c r="J342" s="1208"/>
      <c r="K342" s="1208"/>
      <c r="L342" s="1433"/>
      <c r="M342" s="129" t="s">
        <v>468</v>
      </c>
      <c r="N342" s="17"/>
      <c r="O342" s="8"/>
    </row>
    <row r="343" spans="2:28" ht="12.75" customHeight="1" x14ac:dyDescent="0.25">
      <c r="B343" s="17"/>
      <c r="C343" s="17"/>
      <c r="D343" s="222">
        <v>1</v>
      </c>
      <c r="E343" s="1322"/>
      <c r="F343" s="1323"/>
      <c r="G343" s="1246"/>
      <c r="H343" s="1346"/>
      <c r="I343" s="1346"/>
      <c r="J343" s="1346"/>
      <c r="K343" s="1346"/>
      <c r="L343" s="1621"/>
      <c r="M343" s="910"/>
      <c r="N343" s="17"/>
      <c r="O343" s="8"/>
    </row>
    <row r="344" spans="2:28" ht="12.75" customHeight="1" x14ac:dyDescent="0.25">
      <c r="B344" s="17"/>
      <c r="C344" s="17"/>
      <c r="D344" s="225">
        <f>D343+1</f>
        <v>2</v>
      </c>
      <c r="E344" s="1300"/>
      <c r="F344" s="1301"/>
      <c r="G344" s="1296"/>
      <c r="H344" s="1297"/>
      <c r="I344" s="1297"/>
      <c r="J344" s="1297"/>
      <c r="K344" s="1297"/>
      <c r="L344" s="1606"/>
      <c r="M344" s="911"/>
      <c r="N344" s="17"/>
      <c r="O344" s="8"/>
    </row>
    <row r="345" spans="2:28" ht="12.75" customHeight="1" x14ac:dyDescent="0.25">
      <c r="B345" s="17"/>
      <c r="C345" s="17"/>
      <c r="D345" s="225">
        <f t="shared" ref="D345:D352" si="10">D344+1</f>
        <v>3</v>
      </c>
      <c r="E345" s="1300"/>
      <c r="F345" s="1301"/>
      <c r="G345" s="1296"/>
      <c r="H345" s="1297"/>
      <c r="I345" s="1297"/>
      <c r="J345" s="1297"/>
      <c r="K345" s="1297"/>
      <c r="L345" s="1606"/>
      <c r="M345" s="911"/>
      <c r="N345" s="17"/>
      <c r="O345" s="8"/>
    </row>
    <row r="346" spans="2:28" ht="12.75" customHeight="1" x14ac:dyDescent="0.25">
      <c r="B346" s="17"/>
      <c r="C346" s="17"/>
      <c r="D346" s="225">
        <f t="shared" si="10"/>
        <v>4</v>
      </c>
      <c r="E346" s="1300"/>
      <c r="F346" s="1301"/>
      <c r="G346" s="1296"/>
      <c r="H346" s="1297"/>
      <c r="I346" s="1297"/>
      <c r="J346" s="1297"/>
      <c r="K346" s="1297"/>
      <c r="L346" s="1606"/>
      <c r="M346" s="911"/>
      <c r="N346" s="17"/>
      <c r="O346" s="8"/>
    </row>
    <row r="347" spans="2:28" ht="12.75" customHeight="1" x14ac:dyDescent="0.25">
      <c r="B347" s="17"/>
      <c r="C347" s="17"/>
      <c r="D347" s="225">
        <f t="shared" si="10"/>
        <v>5</v>
      </c>
      <c r="E347" s="1300"/>
      <c r="F347" s="1301"/>
      <c r="G347" s="1296"/>
      <c r="H347" s="1297"/>
      <c r="I347" s="1297"/>
      <c r="J347" s="1297"/>
      <c r="K347" s="1297"/>
      <c r="L347" s="1606"/>
      <c r="M347" s="911"/>
      <c r="N347" s="17"/>
      <c r="O347" s="8"/>
    </row>
    <row r="348" spans="2:28" ht="12.75" customHeight="1" x14ac:dyDescent="0.25">
      <c r="B348" s="17"/>
      <c r="C348" s="17"/>
      <c r="D348" s="225">
        <f t="shared" si="10"/>
        <v>6</v>
      </c>
      <c r="E348" s="1300"/>
      <c r="F348" s="1301"/>
      <c r="G348" s="1296"/>
      <c r="H348" s="1297"/>
      <c r="I348" s="1297"/>
      <c r="J348" s="1297"/>
      <c r="K348" s="1297"/>
      <c r="L348" s="1606"/>
      <c r="M348" s="911"/>
      <c r="N348" s="17"/>
      <c r="O348" s="8"/>
    </row>
    <row r="349" spans="2:28" ht="12.75" customHeight="1" x14ac:dyDescent="0.25">
      <c r="B349" s="17"/>
      <c r="C349" s="17"/>
      <c r="D349" s="225">
        <f t="shared" si="10"/>
        <v>7</v>
      </c>
      <c r="E349" s="1300"/>
      <c r="F349" s="1301"/>
      <c r="G349" s="1296"/>
      <c r="H349" s="1297"/>
      <c r="I349" s="1297"/>
      <c r="J349" s="1297"/>
      <c r="K349" s="1297"/>
      <c r="L349" s="1606"/>
      <c r="M349" s="911"/>
      <c r="N349" s="17"/>
      <c r="O349" s="8"/>
    </row>
    <row r="350" spans="2:28" ht="12.75" customHeight="1" x14ac:dyDescent="0.25">
      <c r="B350" s="17"/>
      <c r="C350" s="17"/>
      <c r="D350" s="225">
        <f t="shared" si="10"/>
        <v>8</v>
      </c>
      <c r="E350" s="1300"/>
      <c r="F350" s="1301"/>
      <c r="G350" s="1296"/>
      <c r="H350" s="1297"/>
      <c r="I350" s="1297"/>
      <c r="J350" s="1297"/>
      <c r="K350" s="1297"/>
      <c r="L350" s="1606"/>
      <c r="M350" s="911"/>
      <c r="N350" s="17"/>
      <c r="O350" s="8"/>
    </row>
    <row r="351" spans="2:28" ht="12.75" customHeight="1" x14ac:dyDescent="0.25">
      <c r="B351" s="17"/>
      <c r="C351" s="17"/>
      <c r="D351" s="225">
        <f t="shared" si="10"/>
        <v>9</v>
      </c>
      <c r="E351" s="1300"/>
      <c r="F351" s="1301"/>
      <c r="G351" s="1296"/>
      <c r="H351" s="1297"/>
      <c r="I351" s="1297"/>
      <c r="J351" s="1297"/>
      <c r="K351" s="1297"/>
      <c r="L351" s="1606"/>
      <c r="M351" s="911"/>
      <c r="N351" s="17"/>
      <c r="O351" s="8"/>
    </row>
    <row r="352" spans="2:28" ht="12.75" customHeight="1" x14ac:dyDescent="0.25">
      <c r="B352" s="17"/>
      <c r="C352" s="17"/>
      <c r="D352" s="227">
        <f t="shared" si="10"/>
        <v>10</v>
      </c>
      <c r="E352" s="1319"/>
      <c r="F352" s="1321"/>
      <c r="G352" s="1326"/>
      <c r="H352" s="1327"/>
      <c r="I352" s="1327"/>
      <c r="J352" s="1327"/>
      <c r="K352" s="1327"/>
      <c r="L352" s="1620"/>
      <c r="M352" s="912"/>
      <c r="N352" s="17"/>
      <c r="O352" s="8"/>
    </row>
    <row r="353" spans="2:16" ht="5.0999999999999996" customHeight="1" x14ac:dyDescent="0.25">
      <c r="B353" s="17"/>
      <c r="C353" s="17"/>
      <c r="D353" s="17"/>
      <c r="E353" s="17"/>
      <c r="F353" s="17"/>
      <c r="G353" s="17"/>
      <c r="H353" s="17"/>
      <c r="I353" s="17"/>
      <c r="J353" s="17"/>
      <c r="K353" s="17"/>
      <c r="L353" s="17"/>
      <c r="M353" s="17"/>
      <c r="N353" s="17"/>
      <c r="O353" s="8"/>
    </row>
    <row r="354" spans="2:16" ht="12.75" customHeight="1" x14ac:dyDescent="0.25">
      <c r="B354" s="8"/>
      <c r="C354" s="15"/>
      <c r="D354" s="15"/>
      <c r="E354" s="1165" t="str">
        <f>Translations!$B$840</f>
        <v>Production levels:</v>
      </c>
      <c r="F354" s="1176"/>
      <c r="G354" s="1176"/>
      <c r="H354" s="1176"/>
      <c r="I354" s="1176"/>
      <c r="J354" s="1176"/>
      <c r="K354" s="1176"/>
      <c r="L354" s="1176"/>
      <c r="M354" s="1176"/>
      <c r="N354" s="1176"/>
      <c r="O354" s="8"/>
      <c r="P354" s="9"/>
    </row>
    <row r="355" spans="2:16" ht="5.0999999999999996" customHeight="1" x14ac:dyDescent="0.25">
      <c r="B355" s="8"/>
      <c r="C355" s="17"/>
      <c r="D355" s="17"/>
      <c r="E355" s="884"/>
      <c r="F355" s="884"/>
      <c r="G355" s="884"/>
      <c r="H355" s="884"/>
      <c r="I355" s="884"/>
      <c r="J355" s="77"/>
      <c r="K355" s="77"/>
      <c r="L355" s="77"/>
      <c r="M355" s="8"/>
      <c r="N355" s="8"/>
      <c r="O355" s="8"/>
      <c r="P355" s="9"/>
    </row>
    <row r="356" spans="2:16" ht="12.75" customHeight="1" x14ac:dyDescent="0.25">
      <c r="B356" s="17"/>
      <c r="C356" s="15"/>
      <c r="D356" s="26"/>
      <c r="E356" s="1616" t="str">
        <f>Translations!$B$886</f>
        <v>Product name or service type</v>
      </c>
      <c r="F356" s="1212"/>
      <c r="G356" s="1402"/>
      <c r="H356" s="23" t="str">
        <f>EUconst_Unit</f>
        <v>Unit</v>
      </c>
      <c r="I356" s="128">
        <f>I$559</f>
        <v>2019</v>
      </c>
      <c r="J356" s="128">
        <f>J$559</f>
        <v>2020</v>
      </c>
      <c r="K356" s="128">
        <f>K$559</f>
        <v>2021</v>
      </c>
      <c r="L356" s="128">
        <f>L$559</f>
        <v>2022</v>
      </c>
      <c r="M356" s="144">
        <f>M$559</f>
        <v>2023</v>
      </c>
      <c r="N356" s="8"/>
      <c r="O356" s="8"/>
    </row>
    <row r="357" spans="2:16" ht="12.75" customHeight="1" x14ac:dyDescent="0.25">
      <c r="B357" s="17"/>
      <c r="C357" s="80"/>
      <c r="D357" s="222">
        <v>1</v>
      </c>
      <c r="E357" s="1595" t="str">
        <f t="shared" ref="E357:E366" si="11">IF(ISBLANK(G343),"",G343)</f>
        <v/>
      </c>
      <c r="F357" s="1596"/>
      <c r="G357" s="1597"/>
      <c r="H357" s="1069"/>
      <c r="I357" s="889"/>
      <c r="J357" s="889"/>
      <c r="K357" s="889"/>
      <c r="L357" s="889"/>
      <c r="M357" s="890"/>
      <c r="N357" s="8"/>
      <c r="O357" s="8"/>
    </row>
    <row r="358" spans="2:16" ht="12.75" customHeight="1" x14ac:dyDescent="0.25">
      <c r="B358" s="17"/>
      <c r="C358" s="80"/>
      <c r="D358" s="225">
        <f>D357+1</f>
        <v>2</v>
      </c>
      <c r="E358" s="1591" t="str">
        <f t="shared" si="11"/>
        <v/>
      </c>
      <c r="F358" s="1335"/>
      <c r="G358" s="1592"/>
      <c r="H358" s="1070"/>
      <c r="I358" s="892"/>
      <c r="J358" s="892"/>
      <c r="K358" s="892"/>
      <c r="L358" s="892"/>
      <c r="M358" s="893"/>
      <c r="N358" s="8"/>
      <c r="O358" s="8"/>
    </row>
    <row r="359" spans="2:16" ht="12.75" customHeight="1" x14ac:dyDescent="0.25">
      <c r="B359" s="17"/>
      <c r="C359" s="80"/>
      <c r="D359" s="225">
        <f t="shared" ref="D359:D366" si="12">D358+1</f>
        <v>3</v>
      </c>
      <c r="E359" s="1591" t="str">
        <f t="shared" si="11"/>
        <v/>
      </c>
      <c r="F359" s="1335"/>
      <c r="G359" s="1592"/>
      <c r="H359" s="1070"/>
      <c r="I359" s="892"/>
      <c r="J359" s="892"/>
      <c r="K359" s="892"/>
      <c r="L359" s="892"/>
      <c r="M359" s="893"/>
      <c r="N359" s="8"/>
      <c r="O359" s="8"/>
    </row>
    <row r="360" spans="2:16" ht="12.75" customHeight="1" x14ac:dyDescent="0.25">
      <c r="B360" s="17"/>
      <c r="C360" s="80"/>
      <c r="D360" s="225">
        <f t="shared" si="12"/>
        <v>4</v>
      </c>
      <c r="E360" s="1591" t="str">
        <f t="shared" si="11"/>
        <v/>
      </c>
      <c r="F360" s="1335"/>
      <c r="G360" s="1592"/>
      <c r="H360" s="1070"/>
      <c r="I360" s="892"/>
      <c r="J360" s="892"/>
      <c r="K360" s="892"/>
      <c r="L360" s="892"/>
      <c r="M360" s="893"/>
      <c r="N360" s="8"/>
      <c r="O360" s="8"/>
    </row>
    <row r="361" spans="2:16" ht="12.75" customHeight="1" x14ac:dyDescent="0.25">
      <c r="B361" s="17"/>
      <c r="C361" s="80"/>
      <c r="D361" s="225">
        <f t="shared" si="12"/>
        <v>5</v>
      </c>
      <c r="E361" s="1591" t="str">
        <f t="shared" si="11"/>
        <v/>
      </c>
      <c r="F361" s="1335"/>
      <c r="G361" s="1592"/>
      <c r="H361" s="1070"/>
      <c r="I361" s="892"/>
      <c r="J361" s="892"/>
      <c r="K361" s="892"/>
      <c r="L361" s="892"/>
      <c r="M361" s="893"/>
      <c r="N361" s="8"/>
      <c r="O361" s="8"/>
    </row>
    <row r="362" spans="2:16" ht="12.75" customHeight="1" x14ac:dyDescent="0.25">
      <c r="B362" s="17"/>
      <c r="C362" s="80"/>
      <c r="D362" s="225">
        <f t="shared" si="12"/>
        <v>6</v>
      </c>
      <c r="E362" s="1591" t="str">
        <f t="shared" si="11"/>
        <v/>
      </c>
      <c r="F362" s="1335"/>
      <c r="G362" s="1592"/>
      <c r="H362" s="1070"/>
      <c r="I362" s="892"/>
      <c r="J362" s="892"/>
      <c r="K362" s="892"/>
      <c r="L362" s="892"/>
      <c r="M362" s="893"/>
      <c r="N362" s="8"/>
      <c r="O362" s="8"/>
    </row>
    <row r="363" spans="2:16" ht="12.75" customHeight="1" x14ac:dyDescent="0.25">
      <c r="B363" s="17"/>
      <c r="C363" s="80"/>
      <c r="D363" s="225">
        <f t="shared" si="12"/>
        <v>7</v>
      </c>
      <c r="E363" s="1591" t="str">
        <f t="shared" si="11"/>
        <v/>
      </c>
      <c r="F363" s="1335"/>
      <c r="G363" s="1592"/>
      <c r="H363" s="1070"/>
      <c r="I363" s="892"/>
      <c r="J363" s="892"/>
      <c r="K363" s="892"/>
      <c r="L363" s="892"/>
      <c r="M363" s="893"/>
      <c r="N363" s="8"/>
      <c r="O363" s="8"/>
    </row>
    <row r="364" spans="2:16" ht="12.75" customHeight="1" x14ac:dyDescent="0.25">
      <c r="B364" s="17"/>
      <c r="C364" s="80"/>
      <c r="D364" s="225">
        <f t="shared" si="12"/>
        <v>8</v>
      </c>
      <c r="E364" s="1591" t="str">
        <f t="shared" si="11"/>
        <v/>
      </c>
      <c r="F364" s="1335"/>
      <c r="G364" s="1592"/>
      <c r="H364" s="1070"/>
      <c r="I364" s="892"/>
      <c r="J364" s="892"/>
      <c r="K364" s="892"/>
      <c r="L364" s="892"/>
      <c r="M364" s="893"/>
      <c r="N364" s="8"/>
      <c r="O364" s="8"/>
    </row>
    <row r="365" spans="2:16" ht="12.75" customHeight="1" x14ac:dyDescent="0.25">
      <c r="B365" s="17"/>
      <c r="C365" s="80"/>
      <c r="D365" s="225">
        <f t="shared" si="12"/>
        <v>9</v>
      </c>
      <c r="E365" s="1591" t="str">
        <f t="shared" si="11"/>
        <v/>
      </c>
      <c r="F365" s="1335"/>
      <c r="G365" s="1592"/>
      <c r="H365" s="1070"/>
      <c r="I365" s="892"/>
      <c r="J365" s="892"/>
      <c r="K365" s="892"/>
      <c r="L365" s="892"/>
      <c r="M365" s="893"/>
      <c r="N365" s="8"/>
      <c r="O365" s="8"/>
    </row>
    <row r="366" spans="2:16" ht="12.75" customHeight="1" x14ac:dyDescent="0.25">
      <c r="B366" s="17"/>
      <c r="C366" s="80"/>
      <c r="D366" s="227">
        <f t="shared" si="12"/>
        <v>10</v>
      </c>
      <c r="E366" s="1593" t="str">
        <f t="shared" si="11"/>
        <v/>
      </c>
      <c r="F366" s="1386"/>
      <c r="G366" s="1594"/>
      <c r="H366" s="1068"/>
      <c r="I366" s="895"/>
      <c r="J366" s="895"/>
      <c r="K366" s="895"/>
      <c r="L366" s="895"/>
      <c r="M366" s="896"/>
      <c r="N366" s="8"/>
      <c r="O366" s="8"/>
    </row>
    <row r="367" spans="2:16" ht="12.75" customHeight="1" x14ac:dyDescent="0.25">
      <c r="B367" s="17"/>
      <c r="C367" s="17"/>
      <c r="D367" s="262"/>
      <c r="E367" s="1619" t="str">
        <f>Translations!$B$708</f>
        <v>Sum of production levels</v>
      </c>
      <c r="F367" s="1509"/>
      <c r="G367" s="1189"/>
      <c r="H367" s="1068"/>
      <c r="I367" s="841" t="str">
        <f>IF(COUNT(I357:I366)&gt;0,SUM(I357:I366),"")</f>
        <v/>
      </c>
      <c r="J367" s="841" t="str">
        <f>IF(COUNT(J357:J366)&gt;0,SUM(J357:J366),"")</f>
        <v/>
      </c>
      <c r="K367" s="841" t="str">
        <f>IF(COUNT(K357:K366)&gt;0,SUM(K357:K366),"")</f>
        <v/>
      </c>
      <c r="L367" s="841" t="str">
        <f>IF(COUNT(L357:L366)&gt;0,SUM(L357:L366),"")</f>
        <v/>
      </c>
      <c r="M367" s="897" t="str">
        <f>IF(COUNT(M357:M366)&gt;0,SUM(M357:M366),"")</f>
        <v/>
      </c>
      <c r="N367" s="8"/>
      <c r="O367" s="8"/>
    </row>
    <row r="368" spans="2:16" ht="12.75" customHeight="1" thickBot="1" x14ac:dyDescent="0.3">
      <c r="B368" s="17"/>
      <c r="C368" s="17"/>
      <c r="D368" s="17"/>
      <c r="E368" s="17"/>
      <c r="F368" s="17"/>
      <c r="G368" s="17"/>
      <c r="H368" s="17"/>
      <c r="I368" s="17"/>
      <c r="J368" s="17"/>
      <c r="K368" s="17"/>
      <c r="L368" s="17"/>
      <c r="M368" s="17"/>
      <c r="N368" s="17"/>
      <c r="O368" s="8"/>
    </row>
    <row r="369" spans="2:23" ht="5.0999999999999996" customHeight="1" x14ac:dyDescent="0.25">
      <c r="B369" s="8"/>
      <c r="C369" s="898"/>
      <c r="D369" s="155"/>
      <c r="E369" s="155"/>
      <c r="F369" s="155"/>
      <c r="G369" s="155"/>
      <c r="H369" s="155"/>
      <c r="I369" s="155"/>
      <c r="J369" s="155"/>
      <c r="K369" s="155"/>
      <c r="L369" s="155"/>
      <c r="M369" s="155"/>
      <c r="N369" s="156"/>
      <c r="O369" s="8"/>
      <c r="P369" s="9"/>
      <c r="R369" s="9"/>
      <c r="S369" s="9"/>
    </row>
    <row r="370" spans="2:23" ht="15" customHeight="1" x14ac:dyDescent="0.25">
      <c r="B370" s="17"/>
      <c r="C370" s="899"/>
      <c r="D370" s="1547" t="s">
        <v>469</v>
      </c>
      <c r="E370" s="1512"/>
      <c r="F370" s="1512"/>
      <c r="G370" s="1512"/>
      <c r="H370" s="1512"/>
      <c r="I370" s="1512"/>
      <c r="J370" s="1512"/>
      <c r="K370" s="1512"/>
      <c r="L370" s="1512"/>
      <c r="M370" s="1512"/>
      <c r="N370" s="1513"/>
      <c r="O370" s="8"/>
      <c r="R370" s="9"/>
      <c r="S370" s="9"/>
    </row>
    <row r="371" spans="2:23" ht="5.0999999999999996" customHeight="1" x14ac:dyDescent="0.25">
      <c r="B371" s="17"/>
      <c r="C371" s="900"/>
      <c r="D371" s="342"/>
      <c r="E371" s="342"/>
      <c r="F371" s="342"/>
      <c r="G371" s="342"/>
      <c r="H371" s="342"/>
      <c r="I371" s="342"/>
      <c r="J371" s="342"/>
      <c r="K371" s="342"/>
      <c r="L371" s="342"/>
      <c r="M371" s="342"/>
      <c r="N371" s="266"/>
      <c r="O371" s="8"/>
      <c r="R371" s="9"/>
      <c r="S371" s="9"/>
    </row>
    <row r="372" spans="2:23" ht="15" customHeight="1" x14ac:dyDescent="0.25">
      <c r="B372" s="17"/>
      <c r="C372" s="900"/>
      <c r="D372" s="1548" t="str">
        <f>EUconst_FBSubinst &amp; ":"</f>
        <v>Fall-Back sub-installation:</v>
      </c>
      <c r="E372" s="1512"/>
      <c r="F372" s="1512"/>
      <c r="G372" s="1512"/>
      <c r="H372" s="1549"/>
      <c r="I372" s="1550" t="str">
        <f>I325</f>
        <v>Fuel benchmark sub-installation, CL</v>
      </c>
      <c r="J372" s="1509"/>
      <c r="K372" s="1509"/>
      <c r="L372" s="1509"/>
      <c r="M372" s="1509"/>
      <c r="N372" s="1551"/>
      <c r="O372" s="8"/>
      <c r="R372" s="9"/>
      <c r="S372" s="9"/>
    </row>
    <row r="373" spans="2:23" ht="5.0999999999999996" customHeight="1" x14ac:dyDescent="0.25">
      <c r="B373" s="17"/>
      <c r="C373" s="900"/>
      <c r="D373" s="342"/>
      <c r="E373" s="342"/>
      <c r="F373" s="342"/>
      <c r="G373" s="342"/>
      <c r="H373" s="342"/>
      <c r="I373" s="342"/>
      <c r="J373" s="342"/>
      <c r="K373" s="342"/>
      <c r="L373" s="342"/>
      <c r="M373" s="342"/>
      <c r="N373" s="266"/>
      <c r="O373" s="8"/>
      <c r="R373" s="9"/>
      <c r="S373" s="9"/>
    </row>
    <row r="374" spans="2:23" ht="12.75" customHeight="1" x14ac:dyDescent="0.25">
      <c r="B374" s="8"/>
      <c r="C374" s="899"/>
      <c r="D374" s="157" t="s">
        <v>195</v>
      </c>
      <c r="E374" s="1511" t="str">
        <f>Translations!$B$841</f>
        <v>Directly attributable emissions (DirEm*) to this sub-installation</v>
      </c>
      <c r="F374" s="1512"/>
      <c r="G374" s="1512"/>
      <c r="H374" s="1512"/>
      <c r="I374" s="1512"/>
      <c r="J374" s="1512"/>
      <c r="K374" s="1512"/>
      <c r="L374" s="1512"/>
      <c r="M374" s="1512"/>
      <c r="N374" s="1513"/>
      <c r="O374" s="8"/>
      <c r="P374" s="9"/>
      <c r="R374" s="9"/>
      <c r="S374" s="9"/>
    </row>
    <row r="375" spans="2:23" ht="12.75" customHeight="1" x14ac:dyDescent="0.25">
      <c r="B375" s="8"/>
      <c r="C375" s="899"/>
      <c r="D375" s="157"/>
      <c r="E375" s="1617" t="s">
        <v>417</v>
      </c>
      <c r="F375" s="1617"/>
      <c r="G375" s="1617"/>
      <c r="H375" s="1617"/>
      <c r="I375" s="1617"/>
      <c r="J375" s="1617"/>
      <c r="K375" s="1617"/>
      <c r="L375" s="1617"/>
      <c r="M375" s="1617"/>
      <c r="N375" s="1618"/>
      <c r="O375" s="8"/>
      <c r="P375" s="9"/>
      <c r="R375" s="9"/>
      <c r="S375" s="9"/>
    </row>
    <row r="376" spans="2:23" ht="25.5" customHeight="1" x14ac:dyDescent="0.25">
      <c r="B376" s="8"/>
      <c r="C376" s="899"/>
      <c r="D376" s="159"/>
      <c r="E376" s="1552" t="str">
        <f>Translations!$B$887</f>
        <v>Please enter here the direct emissions monitored in line with the MP approved under the MRR, i.e. taking into account the emissions from calculation based methodologies (using source streams), measurement based methodologies (CEMS) as well as no-tier approaches (“fall-backs”).</v>
      </c>
      <c r="F376" s="1552"/>
      <c r="G376" s="1552"/>
      <c r="H376" s="1552"/>
      <c r="I376" s="1552"/>
      <c r="J376" s="1552"/>
      <c r="K376" s="1552"/>
      <c r="L376" s="1552"/>
      <c r="M376" s="1552"/>
      <c r="N376" s="1553"/>
      <c r="O376" s="8"/>
      <c r="P376" s="9"/>
      <c r="R376" s="9"/>
    </row>
    <row r="377" spans="2:23" ht="25.5" customHeight="1" thickBot="1" x14ac:dyDescent="0.3">
      <c r="B377" s="8"/>
      <c r="C377" s="899"/>
      <c r="D377" s="159"/>
      <c r="E377" s="1552" t="str">
        <f>Translations!$B$888</f>
        <v>Emissions from the combustion of waste gases should however not be included here but under point (d).iii below.</v>
      </c>
      <c r="F377" s="1552"/>
      <c r="G377" s="1552"/>
      <c r="H377" s="1552"/>
      <c r="I377" s="1552"/>
      <c r="J377" s="1552"/>
      <c r="K377" s="1552"/>
      <c r="L377" s="1552"/>
      <c r="M377" s="1552"/>
      <c r="N377" s="1553"/>
      <c r="O377" s="8"/>
      <c r="P377" s="9"/>
      <c r="R377" s="9"/>
    </row>
    <row r="378" spans="2:23" ht="12.75" customHeight="1" x14ac:dyDescent="0.25">
      <c r="B378" s="8"/>
      <c r="C378" s="899"/>
      <c r="D378" s="157"/>
      <c r="E378" s="1522" t="str">
        <f>Translations!$B$690</f>
        <v>Total direct emissions</v>
      </c>
      <c r="F378" s="1523"/>
      <c r="G378" s="1523"/>
      <c r="H378" s="152" t="str">
        <f>EUconst_Unit</f>
        <v>Unit</v>
      </c>
      <c r="I378" s="153">
        <f>I$559</f>
        <v>2019</v>
      </c>
      <c r="J378" s="153">
        <f>J$559</f>
        <v>2020</v>
      </c>
      <c r="K378" s="153">
        <f>K$559</f>
        <v>2021</v>
      </c>
      <c r="L378" s="153">
        <f>L$559</f>
        <v>2022</v>
      </c>
      <c r="M378" s="153">
        <f>M$559</f>
        <v>2023</v>
      </c>
      <c r="N378" s="158"/>
      <c r="O378" s="8"/>
      <c r="P378" s="9"/>
      <c r="R378" s="325"/>
      <c r="S378" s="326">
        <f>I378</f>
        <v>2019</v>
      </c>
      <c r="T378" s="326">
        <f>J378</f>
        <v>2020</v>
      </c>
      <c r="U378" s="326">
        <f>K378</f>
        <v>2021</v>
      </c>
      <c r="V378" s="326">
        <f>L378</f>
        <v>2022</v>
      </c>
      <c r="W378" s="327">
        <f>M378</f>
        <v>2023</v>
      </c>
    </row>
    <row r="379" spans="2:23" ht="12.75" customHeight="1" thickBot="1" x14ac:dyDescent="0.3">
      <c r="B379" s="8"/>
      <c r="C379" s="899"/>
      <c r="D379" s="159"/>
      <c r="E379" s="1510" t="str">
        <f>I325</f>
        <v>Fuel benchmark sub-installation, CL</v>
      </c>
      <c r="F379" s="1510"/>
      <c r="G379" s="1510"/>
      <c r="H379" s="154" t="str">
        <f>EUconst_tCO2epa</f>
        <v>t CO2e/year</v>
      </c>
      <c r="I379" s="231"/>
      <c r="J379" s="231"/>
      <c r="K379" s="231"/>
      <c r="L379" s="231"/>
      <c r="M379" s="231"/>
      <c r="N379" s="158"/>
      <c r="O379" s="8"/>
      <c r="P379" s="116" t="str">
        <f>EUconst_CNTR_Emissions &amp; I325</f>
        <v>DirEmissions_Fuel benchmark sub-installation, CL</v>
      </c>
      <c r="R379" s="328" t="str">
        <f>EUconst_CNTR_AttributedEmissions &amp; I325</f>
        <v>AttrEmissions_Fuel benchmark sub-installation, CL</v>
      </c>
      <c r="S379" s="389" t="str">
        <f>IF(S325,SUM(I379),"")</f>
        <v/>
      </c>
      <c r="T379" s="389" t="str">
        <f>IF(T325,SUM(J379),"")</f>
        <v/>
      </c>
      <c r="U379" s="389" t="str">
        <f>IF(U325,SUM(K379),"")</f>
        <v/>
      </c>
      <c r="V379" s="389" t="str">
        <f>IF(V325,SUM(L379),"")</f>
        <v/>
      </c>
      <c r="W379" s="390" t="str">
        <f>IF(W325,SUM(M379),"")</f>
        <v/>
      </c>
    </row>
    <row r="380" spans="2:23" ht="5.0999999999999996" customHeight="1" x14ac:dyDescent="0.25">
      <c r="B380" s="8"/>
      <c r="C380" s="899"/>
      <c r="D380" s="159"/>
      <c r="E380" s="159"/>
      <c r="F380" s="159"/>
      <c r="G380" s="159"/>
      <c r="H380" s="159"/>
      <c r="I380" s="159"/>
      <c r="J380" s="159"/>
      <c r="K380" s="159"/>
      <c r="L380" s="159"/>
      <c r="M380" s="159"/>
      <c r="N380" s="158"/>
      <c r="O380" s="8"/>
      <c r="P380" s="9"/>
      <c r="R380" s="9"/>
    </row>
    <row r="381" spans="2:23" ht="12.75" customHeight="1" x14ac:dyDescent="0.25">
      <c r="B381" s="8"/>
      <c r="C381" s="899"/>
      <c r="D381" s="157" t="s">
        <v>197</v>
      </c>
      <c r="E381" s="1529" t="str">
        <f>Translations!$B$726</f>
        <v>Fuel input to this sub-installation and relevant emission factor</v>
      </c>
      <c r="F381" s="1529"/>
      <c r="G381" s="1529"/>
      <c r="H381" s="1529"/>
      <c r="I381" s="1529"/>
      <c r="J381" s="1529"/>
      <c r="K381" s="1529"/>
      <c r="L381" s="1529"/>
      <c r="M381" s="1529"/>
      <c r="N381" s="1534"/>
      <c r="O381" s="8"/>
      <c r="R381" s="9"/>
    </row>
    <row r="382" spans="2:23" ht="12.75" customHeight="1" x14ac:dyDescent="0.25">
      <c r="B382" s="8"/>
      <c r="C382" s="899"/>
      <c r="D382" s="159"/>
      <c r="E382" s="1533" t="str">
        <f>Translations!$B$889</f>
        <v>Values for i. and ii. are automatically generated based on entries under (a) and (c) above.</v>
      </c>
      <c r="F382" s="1512"/>
      <c r="G382" s="1512"/>
      <c r="H382" s="1512"/>
      <c r="I382" s="1512"/>
      <c r="J382" s="1512"/>
      <c r="K382" s="1512"/>
      <c r="L382" s="1512"/>
      <c r="M382" s="1512"/>
      <c r="N382" s="1513"/>
      <c r="O382" s="8"/>
      <c r="P382" s="9"/>
      <c r="R382" s="9"/>
    </row>
    <row r="383" spans="2:23" ht="12.75" customHeight="1" x14ac:dyDescent="0.25">
      <c r="B383" s="8"/>
      <c r="C383" s="899"/>
      <c r="D383" s="159"/>
      <c r="E383" s="1533" t="str">
        <f>Translations!$B$890</f>
        <v>Under iii. and iv. the fuel input from waste gases and the corresponding emission factor has to be entered, respectively.</v>
      </c>
      <c r="F383" s="1512"/>
      <c r="G383" s="1512"/>
      <c r="H383" s="1512"/>
      <c r="I383" s="1512"/>
      <c r="J383" s="1512"/>
      <c r="K383" s="1512"/>
      <c r="L383" s="1512"/>
      <c r="M383" s="1512"/>
      <c r="N383" s="1513"/>
      <c r="O383" s="8"/>
      <c r="P383" s="9"/>
      <c r="R383" s="9"/>
    </row>
    <row r="384" spans="2:23" ht="12.75" customHeight="1" x14ac:dyDescent="0.25">
      <c r="B384" s="8"/>
      <c r="C384" s="899"/>
      <c r="D384" s="157"/>
      <c r="E384" s="1522"/>
      <c r="F384" s="1523"/>
      <c r="G384" s="1523"/>
      <c r="H384" s="152" t="str">
        <f>EUconst_Unit</f>
        <v>Unit</v>
      </c>
      <c r="I384" s="153">
        <f>I$559</f>
        <v>2019</v>
      </c>
      <c r="J384" s="153">
        <f>J$559</f>
        <v>2020</v>
      </c>
      <c r="K384" s="153">
        <f>K$559</f>
        <v>2021</v>
      </c>
      <c r="L384" s="153">
        <f>L$559</f>
        <v>2022</v>
      </c>
      <c r="M384" s="153">
        <f>M$559</f>
        <v>2023</v>
      </c>
      <c r="N384" s="158"/>
      <c r="O384" s="8"/>
      <c r="P384" s="9"/>
      <c r="R384" s="9"/>
    </row>
    <row r="385" spans="2:29" ht="12.75" customHeight="1" x14ac:dyDescent="0.25">
      <c r="B385" s="8"/>
      <c r="C385" s="899"/>
      <c r="D385" s="160" t="s">
        <v>206</v>
      </c>
      <c r="E385" s="1528" t="str">
        <f>Translations!$B$891</f>
        <v>Fuel input entered under (a)</v>
      </c>
      <c r="F385" s="1528"/>
      <c r="G385" s="1528"/>
      <c r="H385" s="154" t="str">
        <f>EUconst_TJpa</f>
        <v>TJ / year</v>
      </c>
      <c r="I385" s="163" t="str">
        <f>I333</f>
        <v/>
      </c>
      <c r="J385" s="163" t="str">
        <f>J333</f>
        <v/>
      </c>
      <c r="K385" s="163" t="str">
        <f>K333</f>
        <v/>
      </c>
      <c r="L385" s="163" t="str">
        <f>L333</f>
        <v/>
      </c>
      <c r="M385" s="163" t="str">
        <f>M333</f>
        <v/>
      </c>
      <c r="N385" s="195"/>
      <c r="O385" s="8"/>
      <c r="P385" s="116" t="str">
        <f>EUconst_CNTR_FuelInput &amp; I325</f>
        <v>FuelInput_Fuel benchmark sub-installation, CL</v>
      </c>
      <c r="R385" s="9"/>
      <c r="S385" s="28">
        <f>I384</f>
        <v>2019</v>
      </c>
      <c r="T385" s="28">
        <f>J384</f>
        <v>2020</v>
      </c>
      <c r="U385" s="28">
        <f>K384</f>
        <v>2021</v>
      </c>
      <c r="V385" s="28">
        <f>L384</f>
        <v>2022</v>
      </c>
      <c r="W385" s="28">
        <f>M384</f>
        <v>2023</v>
      </c>
    </row>
    <row r="386" spans="2:29" ht="12.75" customHeight="1" x14ac:dyDescent="0.25">
      <c r="B386" s="8"/>
      <c r="C386" s="899"/>
      <c r="D386" s="160" t="s">
        <v>208</v>
      </c>
      <c r="E386" s="1523" t="str">
        <f>Translations!$B$892</f>
        <v>Weighted emission factor (=c./d.)</v>
      </c>
      <c r="F386" s="1523"/>
      <c r="G386" s="1523"/>
      <c r="H386" s="904" t="str">
        <f>EUconst_tCO2pTJ</f>
        <v>t CO2 / TJ</v>
      </c>
      <c r="I386" s="163" t="str">
        <f>IF(COUNT(I379,I385)=2,I379/I385,"")</f>
        <v/>
      </c>
      <c r="J386" s="163" t="str">
        <f>IF(COUNT(J379,J385)=2,J379/J385,"")</f>
        <v/>
      </c>
      <c r="K386" s="163" t="str">
        <f>IF(COUNT(K379,K385)=2,K379/K385,"")</f>
        <v/>
      </c>
      <c r="L386" s="163" t="str">
        <f>IF(COUNT(L379,L385)=2,L379/L385,"")</f>
        <v/>
      </c>
      <c r="M386" s="163" t="str">
        <f>IF(COUNT(M379,M385)=2,M379/M385,"")</f>
        <v/>
      </c>
      <c r="N386" s="158"/>
      <c r="O386" s="8"/>
      <c r="P386" s="116" t="str">
        <f>EUconst_CNTR_FuelEF &amp;I325</f>
        <v>FuelEF_Fuel benchmark sub-installation, CL</v>
      </c>
      <c r="R386" s="373" t="str">
        <f>EUconst_ERR_AttrEmBMapplied &amp; I325</f>
        <v>ERR_AttrEmBM_Fuel benchmark sub-installation, CL</v>
      </c>
      <c r="S386" s="63">
        <f>IF(AND(OR(I388&lt;&gt;0,AND(I391&lt;&gt;0,I392="")),EUconst_StatusOfDataCollection=FALSE),1,0)</f>
        <v>0</v>
      </c>
      <c r="T386" s="63">
        <f>IF(AND(OR(J388&lt;&gt;0,AND(J391&lt;&gt;0,J392="")),EUconst_StatusOfDataCollection=FALSE),1,0)</f>
        <v>0</v>
      </c>
      <c r="U386" s="63">
        <f>IF(AND(OR(K388&lt;&gt;0,AND(K391&lt;&gt;0,K392="")),EUconst_StatusOfDataCollection=FALSE),1,0)</f>
        <v>0</v>
      </c>
      <c r="V386" s="63">
        <f>IF(AND(OR(L388&lt;&gt;0,AND(L391&lt;&gt;0,L392="")),EUconst_StatusOfDataCollection=FALSE),1,0)</f>
        <v>0</v>
      </c>
      <c r="W386" s="63">
        <f>IF(AND(OR(M388&lt;&gt;0,AND(M391&lt;&gt;0,M392="")),EUconst_StatusOfDataCollection=FALSE),1,0)</f>
        <v>0</v>
      </c>
    </row>
    <row r="387" spans="2:29" ht="5.0999999999999996" customHeight="1" x14ac:dyDescent="0.25">
      <c r="B387" s="8"/>
      <c r="C387" s="899"/>
      <c r="D387" s="159"/>
      <c r="E387" s="159"/>
      <c r="F387" s="159"/>
      <c r="G387" s="159"/>
      <c r="H387" s="159"/>
      <c r="I387" s="159"/>
      <c r="J387" s="159"/>
      <c r="K387" s="159"/>
      <c r="L387" s="159"/>
      <c r="M387" s="159"/>
      <c r="N387" s="158"/>
      <c r="O387" s="8"/>
      <c r="P387" s="9"/>
    </row>
    <row r="388" spans="2:29" ht="12.75" customHeight="1" x14ac:dyDescent="0.25">
      <c r="B388" s="8"/>
      <c r="C388" s="899"/>
      <c r="D388" s="160" t="s">
        <v>209</v>
      </c>
      <c r="E388" s="1528" t="str">
        <f>Translations!$B$853</f>
        <v>Fuel input from waste gases</v>
      </c>
      <c r="F388" s="1528"/>
      <c r="G388" s="1528"/>
      <c r="H388" s="154" t="str">
        <f>EUconst_TJpa</f>
        <v>TJ / year</v>
      </c>
      <c r="I388" s="293"/>
      <c r="J388" s="293"/>
      <c r="K388" s="293"/>
      <c r="L388" s="293"/>
      <c r="M388" s="293"/>
      <c r="N388" s="158"/>
      <c r="O388" s="8"/>
      <c r="P388" s="626" t="str">
        <f>EUconst_CNTR_WGConsumed &amp; I325</f>
        <v>WasteGasCons_Fuel benchmark sub-installation, CL</v>
      </c>
    </row>
    <row r="389" spans="2:29" ht="12.75" customHeight="1" x14ac:dyDescent="0.25">
      <c r="B389" s="8"/>
      <c r="C389" s="899"/>
      <c r="D389" s="160" t="s">
        <v>210</v>
      </c>
      <c r="E389" s="1528" t="str">
        <f>Translations!$B$854</f>
        <v>Specific EF (waste gas)</v>
      </c>
      <c r="F389" s="1528"/>
      <c r="G389" s="1528"/>
      <c r="H389" s="904" t="str">
        <f>EUconst_tCO2pTJ</f>
        <v>t CO2 / TJ</v>
      </c>
      <c r="I389" s="865"/>
      <c r="J389" s="865"/>
      <c r="K389" s="865"/>
      <c r="L389" s="865"/>
      <c r="M389" s="865"/>
      <c r="N389" s="158"/>
      <c r="O389" s="8"/>
      <c r="P389" s="116" t="str">
        <f>EUconst_CNTR_WGConsumedEF &amp; I325</f>
        <v>WasteGasConsEF_Fuel benchmark sub-installation, CL</v>
      </c>
      <c r="R389" s="374" t="str">
        <f>EUconst_CNTR_AttributedEmissions &amp; I325</f>
        <v>AttrEmissions_Fuel benchmark sub-installation, CL</v>
      </c>
      <c r="S389" s="63" t="str">
        <f>IF(S325,SUM(I388)*EUconst_FuelBMvalueForBM,"")</f>
        <v/>
      </c>
      <c r="T389" s="63" t="str">
        <f>IF(T325,SUM(J388)*EUconst_FuelBMvalueForBM,"")</f>
        <v/>
      </c>
      <c r="U389" s="63" t="str">
        <f>IF(U325,SUM(K388)*EUconst_FuelBMvalueForBM,"")</f>
        <v/>
      </c>
      <c r="V389" s="63" t="str">
        <f>IF(V325,SUM(L388)*EUconst_FuelBMvalueForBM,"")</f>
        <v/>
      </c>
      <c r="W389" s="63" t="str">
        <f>IF(W325,SUM(M388)*EUconst_FuelBMvalueForBM,"")</f>
        <v/>
      </c>
    </row>
    <row r="390" spans="2:29" ht="5.0999999999999996" customHeight="1" x14ac:dyDescent="0.25">
      <c r="B390" s="8"/>
      <c r="C390" s="899"/>
      <c r="D390" s="159"/>
      <c r="E390" s="159"/>
      <c r="F390" s="159"/>
      <c r="G390" s="159"/>
      <c r="H390" s="159"/>
      <c r="I390" s="159"/>
      <c r="J390" s="159"/>
      <c r="K390" s="159"/>
      <c r="L390" s="159"/>
      <c r="M390" s="159"/>
      <c r="N390" s="158"/>
      <c r="O390" s="8"/>
      <c r="P390" s="9"/>
    </row>
    <row r="391" spans="2:29" ht="12.75" customHeight="1" x14ac:dyDescent="0.25">
      <c r="B391" s="8"/>
      <c r="C391" s="899"/>
      <c r="D391" s="157" t="s">
        <v>202</v>
      </c>
      <c r="E391" s="1610" t="str">
        <f>Translations!$B$770</f>
        <v>Net heat exported</v>
      </c>
      <c r="F391" s="1610"/>
      <c r="G391" s="1610"/>
      <c r="H391" s="154" t="str">
        <f>EUconst_TJpa</f>
        <v>TJ / year</v>
      </c>
      <c r="I391" s="311"/>
      <c r="J391" s="311"/>
      <c r="K391" s="311"/>
      <c r="L391" s="311"/>
      <c r="M391" s="311"/>
      <c r="N391" s="195"/>
      <c r="O391" s="8"/>
      <c r="P391" s="218" t="str">
        <f>EUconst_CNTR_HeatExport &amp; I325</f>
        <v>HeatEx_Fuel benchmark sub-installation, CL</v>
      </c>
      <c r="R391" s="374" t="str">
        <f>EUconst_CNTR_AttributedEmissions &amp; I325</f>
        <v>AttrEmissions_Fuel benchmark sub-installation, CL</v>
      </c>
      <c r="S391" s="63" t="str">
        <f>IF(S325,-SUM(I391)*IF(ISNUMBER(I392),I392,EUconst_HeatBMvalueForBM),"")</f>
        <v/>
      </c>
      <c r="T391" s="63" t="str">
        <f>IF(T325,-SUM(J391)*IF(ISNUMBER(J392),J392,EUconst_HeatBMvalueForBM),"")</f>
        <v/>
      </c>
      <c r="U391" s="63" t="str">
        <f>IF(U325,-SUM(K391)*IF(ISNUMBER(K392),K392,EUconst_HeatBMvalueForBM),"")</f>
        <v/>
      </c>
      <c r="V391" s="63" t="str">
        <f>IF(V325,-SUM(L391)*IF(ISNUMBER(L392),L392,EUconst_HeatBMvalueForBM),"")</f>
        <v/>
      </c>
      <c r="W391" s="63" t="str">
        <f>IF(W325,-SUM(M391)*IF(ISNUMBER(M392),M392,EUconst_HeatBMvalueForBM),"")</f>
        <v/>
      </c>
    </row>
    <row r="392" spans="2:29" ht="12.75" customHeight="1" x14ac:dyDescent="0.25">
      <c r="B392" s="8"/>
      <c r="C392" s="899"/>
      <c r="D392" s="157"/>
      <c r="E392" s="1528" t="str">
        <f>Translations!$B$893</f>
        <v>Specific EF (heat export)</v>
      </c>
      <c r="F392" s="1528"/>
      <c r="G392" s="1528"/>
      <c r="H392" s="904" t="str">
        <f>EUconst_tCO2pTJ</f>
        <v>t CO2 / TJ</v>
      </c>
      <c r="I392" s="1071"/>
      <c r="J392" s="1071"/>
      <c r="K392" s="1071"/>
      <c r="L392" s="1071"/>
      <c r="M392" s="1071"/>
      <c r="N392" s="195"/>
      <c r="O392" s="8"/>
      <c r="P392" s="218" t="str">
        <f>EUconst_CNTR_HeatExportEF &amp; I325</f>
        <v>HeatExEF_Fuel benchmark sub-installation, CL</v>
      </c>
      <c r="R392" s="444"/>
    </row>
    <row r="393" spans="2:29" ht="12.75" customHeight="1" x14ac:dyDescent="0.25">
      <c r="B393" s="8"/>
      <c r="C393" s="899"/>
      <c r="D393" s="157"/>
      <c r="E393" s="1535" t="s">
        <v>425</v>
      </c>
      <c r="F393" s="1511"/>
      <c r="G393" s="1511"/>
      <c r="H393" s="1511"/>
      <c r="I393" s="1511"/>
      <c r="J393" s="1511"/>
      <c r="K393" s="1511"/>
      <c r="L393" s="1511"/>
      <c r="M393" s="1511"/>
      <c r="N393" s="1536"/>
      <c r="O393" s="8"/>
      <c r="P393" s="9"/>
      <c r="R393" s="444"/>
    </row>
    <row r="394" spans="2:29" ht="12.75" customHeight="1" x14ac:dyDescent="0.25">
      <c r="B394" s="8"/>
      <c r="C394" s="899"/>
      <c r="D394" s="159"/>
      <c r="E394" s="1533" t="str">
        <f>Translations!$B$894</f>
        <v>This concerns any waste heat recovered and eligible for a heat BM or district heating sub-installation.</v>
      </c>
      <c r="F394" s="1512"/>
      <c r="G394" s="1512"/>
      <c r="H394" s="1512"/>
      <c r="I394" s="1512"/>
      <c r="J394" s="1512"/>
      <c r="K394" s="1512"/>
      <c r="L394" s="1512"/>
      <c r="M394" s="1512"/>
      <c r="N394" s="1513"/>
      <c r="O394" s="8"/>
      <c r="P394" s="9"/>
      <c r="R394" s="9"/>
    </row>
    <row r="395" spans="2:29" ht="12.75" customHeight="1" thickBot="1" x14ac:dyDescent="0.3">
      <c r="B395" s="8"/>
      <c r="C395" s="905"/>
      <c r="D395" s="161"/>
      <c r="E395" s="161"/>
      <c r="F395" s="161"/>
      <c r="G395" s="161"/>
      <c r="H395" s="161"/>
      <c r="I395" s="161"/>
      <c r="J395" s="161"/>
      <c r="K395" s="161"/>
      <c r="L395" s="161"/>
      <c r="M395" s="161"/>
      <c r="N395" s="162"/>
      <c r="O395" s="8"/>
      <c r="P395" s="9"/>
      <c r="R395" s="9"/>
    </row>
    <row r="396" spans="2:29" ht="25.5" customHeight="1" thickBot="1" x14ac:dyDescent="0.3">
      <c r="B396" s="17"/>
      <c r="C396" s="17"/>
      <c r="D396" s="17"/>
      <c r="E396" s="17"/>
      <c r="F396" s="17"/>
      <c r="G396" s="17"/>
      <c r="H396" s="17"/>
      <c r="I396" s="17"/>
      <c r="J396" s="17"/>
      <c r="K396" s="17"/>
      <c r="L396" s="17"/>
      <c r="M396" s="17"/>
      <c r="N396" s="17"/>
      <c r="O396" s="8"/>
    </row>
    <row r="397" spans="2:29" ht="12.75" customHeight="1" thickBot="1" x14ac:dyDescent="0.3">
      <c r="B397" s="8"/>
      <c r="C397" s="906"/>
      <c r="D397" s="906"/>
      <c r="E397" s="906"/>
      <c r="F397" s="906"/>
      <c r="G397" s="906"/>
      <c r="H397" s="906"/>
      <c r="I397" s="906"/>
      <c r="J397" s="906"/>
      <c r="K397" s="906"/>
      <c r="L397" s="906"/>
      <c r="M397" s="906"/>
      <c r="N397" s="906"/>
      <c r="O397" s="8"/>
    </row>
    <row r="398" spans="2:29" ht="15.75" customHeight="1" thickBot="1" x14ac:dyDescent="0.3">
      <c r="B398" s="8"/>
      <c r="C398" s="19">
        <v>5</v>
      </c>
      <c r="D398" s="1234" t="str">
        <f>EUconst_FBSubinst &amp; ":"</f>
        <v>Fall-Back sub-installation:</v>
      </c>
      <c r="E398" s="1176"/>
      <c r="F398" s="1176"/>
      <c r="G398" s="1176"/>
      <c r="H398" s="1260"/>
      <c r="I398" s="1550" t="str">
        <f>INDEX(EUconst_FallBackListNames,$C398)</f>
        <v>Fuel benchmark sub-installation, non-CL</v>
      </c>
      <c r="J398" s="1509"/>
      <c r="K398" s="1509"/>
      <c r="L398" s="1551"/>
      <c r="M398" s="1608" t="str">
        <f>IF(ISBLANK(INDEX(CNTR_FallBackSubInstRelevant,C398)),"",IF(INDEX(CNTR_FallBackSubInstRelevant,C398),EUconst_Relevant,EUconst_NotRelevant))</f>
        <v/>
      </c>
      <c r="N398" s="1609"/>
      <c r="O398" s="8"/>
      <c r="P398" s="219">
        <f>C398</f>
        <v>5</v>
      </c>
      <c r="Q398" s="124" t="s">
        <v>296</v>
      </c>
      <c r="R398" s="354" t="str">
        <f>IF(M398&lt;&gt;EUconst_Relevant,"",INDEX(CNTR_SubInstStartDate,MATCH($I398,CNTR_SubInstListNames,0)))</f>
        <v/>
      </c>
      <c r="S398" s="352" t="b">
        <f>IF($M398&lt;&gt;EUconst_Relevant,FALSE,AND(I$562, IF($R398&lt;DATE($L$559,1,1),YEAR($R398)&lt;=I$559,YEAR($R398-1)&lt;I$559) ) )</f>
        <v>0</v>
      </c>
      <c r="T398" s="352" t="b">
        <f>IF($M398&lt;&gt;EUconst_Relevant,FALSE,AND(J$562, IF($R398&lt;DATE($L$559,1,1),YEAR($R398)&lt;=J$559,YEAR($R398-1)&lt;J$559) ) )</f>
        <v>0</v>
      </c>
      <c r="U398" s="352" t="b">
        <f>IF($M398&lt;&gt;EUconst_Relevant,FALSE,AND(K$562, IF($R398&lt;DATE($L$559,1,1),YEAR($R398)&lt;=K$559,YEAR($R398-1)&lt;K$559) ) )</f>
        <v>0</v>
      </c>
      <c r="V398" s="352" t="b">
        <f>IF($M398&lt;&gt;EUconst_Relevant,FALSE,AND(L$562, IF($R398&lt;DATE($L$559,1,1),YEAR($R398)&lt;=L$559,YEAR($R398-1)&lt;L$559) ) )</f>
        <v>0</v>
      </c>
      <c r="W398" s="352" t="b">
        <f>IF($M398&lt;&gt;EUconst_Relevant,FALSE,AND(M$562, IF($R398&lt;DATE($L$559,1,1),YEAR($R398)&lt;=M$559,YEAR($R398-1)&lt;M$559) ) )</f>
        <v>0</v>
      </c>
      <c r="X398" s="9"/>
      <c r="AB398" s="288" t="s">
        <v>390</v>
      </c>
      <c r="AC398" s="410" t="b">
        <f>AND(CNTR_ExistSubInstEntries,M398=EUconst_NotRelevant)</f>
        <v>0</v>
      </c>
    </row>
    <row r="399" spans="2:29" ht="12.75" customHeight="1" x14ac:dyDescent="0.25">
      <c r="B399" s="17"/>
      <c r="C399" s="17"/>
      <c r="D399" s="17"/>
      <c r="E399" s="17"/>
      <c r="F399" s="17"/>
      <c r="G399" s="17"/>
      <c r="H399" s="80"/>
      <c r="I399" s="1602" t="str">
        <f>IF(M398="","",IF(M398=EUconst_Relevant,HYPERLINK("",EUconst_MsgEnterThisSection),HYPERLINK(Q399,EUconst_MsgGoToNextSubInst)))</f>
        <v/>
      </c>
      <c r="J399" s="1603"/>
      <c r="K399" s="1603"/>
      <c r="L399" s="1603"/>
      <c r="M399" s="1604"/>
      <c r="N399" s="1605"/>
      <c r="O399" s="8"/>
      <c r="P399" s="145" t="s">
        <v>334</v>
      </c>
      <c r="Q399" s="877" t="str">
        <f>"#JUMP_G"&amp;P398+1</f>
        <v>#JUMP_G6</v>
      </c>
    </row>
    <row r="400" spans="2:29" ht="5.0999999999999996" customHeight="1" x14ac:dyDescent="0.25">
      <c r="B400" s="8"/>
      <c r="C400" s="8"/>
      <c r="D400" s="8"/>
      <c r="E400" s="8"/>
      <c r="F400" s="8"/>
      <c r="G400" s="8"/>
      <c r="H400" s="8"/>
      <c r="I400" s="8"/>
      <c r="J400" s="8"/>
      <c r="K400" s="8"/>
      <c r="L400" s="8"/>
      <c r="M400" s="8"/>
      <c r="N400" s="8"/>
      <c r="O400" s="8"/>
      <c r="P400" s="9"/>
    </row>
    <row r="401" spans="2:28" ht="12.75" customHeight="1" x14ac:dyDescent="0.25">
      <c r="B401" s="17"/>
      <c r="C401" s="17"/>
      <c r="D401" s="17"/>
      <c r="E401" s="1413" t="str">
        <f>CONCATENATE(EUconst_MsgSeeFirst," (G.I.1)")</f>
        <v>Detailed instructions for data entries in this tool can be found at the first copy of this tool.  (G.I.1)</v>
      </c>
      <c r="F401" s="1413"/>
      <c r="G401" s="1413"/>
      <c r="H401" s="1413"/>
      <c r="I401" s="1413"/>
      <c r="J401" s="1413"/>
      <c r="K401" s="1413"/>
      <c r="L401" s="1413"/>
      <c r="M401" s="1413"/>
      <c r="N401" s="1413"/>
      <c r="O401" s="8"/>
    </row>
    <row r="402" spans="2:28" ht="5.0999999999999996" customHeight="1" x14ac:dyDescent="0.25">
      <c r="B402" s="8"/>
      <c r="C402" s="8"/>
      <c r="D402" s="8"/>
      <c r="E402" s="8"/>
      <c r="F402" s="8"/>
      <c r="G402" s="8"/>
      <c r="H402" s="8"/>
      <c r="I402" s="8"/>
      <c r="J402" s="8"/>
      <c r="K402" s="8"/>
      <c r="L402" s="8"/>
      <c r="M402" s="8"/>
      <c r="N402" s="8"/>
      <c r="O402" s="8"/>
      <c r="P402" s="9"/>
    </row>
    <row r="403" spans="2:28" ht="12.75" customHeight="1" thickBot="1" x14ac:dyDescent="0.3">
      <c r="B403" s="8"/>
      <c r="C403" s="15"/>
      <c r="D403" s="15" t="s">
        <v>190</v>
      </c>
      <c r="E403" s="1165" t="str">
        <f>Translations!$B$670</f>
        <v>Historic activity levels</v>
      </c>
      <c r="F403" s="1176"/>
      <c r="G403" s="1176"/>
      <c r="H403" s="1176"/>
      <c r="I403" s="1176"/>
      <c r="J403" s="1176"/>
      <c r="K403" s="1176"/>
      <c r="L403" s="1176"/>
      <c r="M403" s="1176"/>
      <c r="N403" s="1176"/>
      <c r="O403" s="8"/>
      <c r="P403" s="9"/>
      <c r="Q403" s="9"/>
      <c r="R403" s="9"/>
      <c r="S403" s="9"/>
      <c r="T403" s="9"/>
      <c r="U403" s="9"/>
      <c r="V403" s="9"/>
      <c r="W403" s="9"/>
      <c r="X403" s="9"/>
    </row>
    <row r="404" spans="2:28" ht="12.75" customHeight="1" thickBot="1" x14ac:dyDescent="0.3">
      <c r="B404" s="8"/>
      <c r="C404" s="17"/>
      <c r="D404" s="17"/>
      <c r="E404" s="1607" t="str">
        <f>Translations!$B$884</f>
        <v>The following data is taken automatically from sheet "E_EnergyFlows", section E.I.c. Thus, data input is mandatory there.</v>
      </c>
      <c r="F404" s="1607"/>
      <c r="G404" s="1607"/>
      <c r="H404" s="1607"/>
      <c r="I404" s="1607"/>
      <c r="J404" s="1607"/>
      <c r="K404" s="1607"/>
      <c r="L404" s="1607"/>
      <c r="M404" s="1607"/>
      <c r="N404" s="1607"/>
      <c r="O404" s="8"/>
      <c r="P404" s="9"/>
      <c r="Q404" s="147" t="s">
        <v>395</v>
      </c>
      <c r="R404" s="459" t="s">
        <v>465</v>
      </c>
      <c r="S404" s="879"/>
      <c r="T404" s="879"/>
      <c r="U404" s="879"/>
      <c r="V404" s="879"/>
      <c r="W404" s="879"/>
      <c r="X404" s="387"/>
    </row>
    <row r="405" spans="2:28" ht="12.75" customHeight="1" x14ac:dyDescent="0.25">
      <c r="B405" s="17"/>
      <c r="C405" s="15"/>
      <c r="D405" s="15"/>
      <c r="E405" s="1259" t="str">
        <f>Translations!$B$829</f>
        <v>Main activity level:</v>
      </c>
      <c r="F405" s="1212"/>
      <c r="G405" s="1212"/>
      <c r="H405" s="23" t="str">
        <f>EUconst_Unit</f>
        <v>Unit</v>
      </c>
      <c r="I405" s="128">
        <f>I$559</f>
        <v>2019</v>
      </c>
      <c r="J405" s="128">
        <f>J$559</f>
        <v>2020</v>
      </c>
      <c r="K405" s="128">
        <f>K$559</f>
        <v>2021</v>
      </c>
      <c r="L405" s="128">
        <f>L$559</f>
        <v>2022</v>
      </c>
      <c r="M405" s="128">
        <f>M$559</f>
        <v>2023</v>
      </c>
      <c r="N405" s="376" t="str">
        <f>IF(M398&lt;&gt;EUconst_Relevant,"",IF(Z406,YEAR(R398)+1,""))</f>
        <v/>
      </c>
      <c r="O405" s="8"/>
      <c r="P405" s="392" t="s">
        <v>397</v>
      </c>
      <c r="Q405" s="582" t="s">
        <v>398</v>
      </c>
      <c r="R405" s="59" t="s">
        <v>399</v>
      </c>
      <c r="S405" s="880">
        <f>I405</f>
        <v>2019</v>
      </c>
      <c r="T405" s="63">
        <f>J405</f>
        <v>2020</v>
      </c>
      <c r="U405" s="63">
        <f>K405</f>
        <v>2021</v>
      </c>
      <c r="V405" s="63">
        <f>L405</f>
        <v>2022</v>
      </c>
      <c r="W405" s="63">
        <f>M405</f>
        <v>2023</v>
      </c>
      <c r="X405" s="803"/>
      <c r="AA405" s="398" t="b">
        <f>IF(CNTR_ExistSubInstEntries,IF(M398=EUconst_Relevant,NOT(Z406),TRUE),FALSE)</f>
        <v>0</v>
      </c>
    </row>
    <row r="406" spans="2:28" ht="12.75" customHeight="1" thickBot="1" x14ac:dyDescent="0.3">
      <c r="B406" s="17"/>
      <c r="C406" s="17"/>
      <c r="D406" s="17"/>
      <c r="E406" s="1560" t="str">
        <f>I398</f>
        <v>Fuel benchmark sub-installation, non-CL</v>
      </c>
      <c r="F406" s="1560"/>
      <c r="G406" s="1560"/>
      <c r="H406" s="820" t="str">
        <f>INDEX(EUconst_FallBackListUnits,MATCH(E406,EUconst_FallBackListNames,0))</f>
        <v>TJ</v>
      </c>
      <c r="I406" s="818" t="str">
        <f>IF($M398=EUconst_Relevant,IF(ISNUMBER(INDEX(E_EnergyFlows!I$387:I$393,MATCH($E406,E_EnergyFlows!$E$387:$E$393,0))),INDEX(E_EnergyFlows!I$387:I$393,MATCH($E406,E_EnergyFlows!$E$387:$E$393,0)),INDEX(EUconst_FallbackListMissing,$P398)),"")</f>
        <v/>
      </c>
      <c r="J406" s="818" t="str">
        <f>IF($M398=EUconst_Relevant,IF(ISNUMBER(INDEX(E_EnergyFlows!J$387:J$393,MATCH($E406,E_EnergyFlows!$E$387:$E$393,0))),INDEX(E_EnergyFlows!J$387:J$393,MATCH($E406,E_EnergyFlows!$E$387:$E$393,0)),INDEX(EUconst_FallbackListMissing,$P398)),"")</f>
        <v/>
      </c>
      <c r="K406" s="818" t="str">
        <f>IF($M398=EUconst_Relevant,IF(ISNUMBER(INDEX(E_EnergyFlows!K$387:K$393,MATCH($E406,E_EnergyFlows!$E$387:$E$393,0))),INDEX(E_EnergyFlows!K$387:K$393,MATCH($E406,E_EnergyFlows!$E$387:$E$393,0)),INDEX(EUconst_FallbackListMissing,$P398)),"")</f>
        <v/>
      </c>
      <c r="L406" s="818" t="str">
        <f>IF($M398=EUconst_Relevant,IF(ISNUMBER(INDEX(E_EnergyFlows!L$387:L$393,MATCH($E406,E_EnergyFlows!$E$387:$E$393,0))),INDEX(E_EnergyFlows!L$387:L$393,MATCH($E406,E_EnergyFlows!$E$387:$E$393,0)),INDEX(EUconst_FallbackListMissing,$P398)),"")</f>
        <v/>
      </c>
      <c r="M406" s="818" t="str">
        <f>IF($M398=EUconst_Relevant,IF(ISNUMBER(INDEX(E_EnergyFlows!M$387:M$393,MATCH($E406,E_EnergyFlows!$E$387:$E$393,0))),INDEX(E_EnergyFlows!M$387:M$393,MATCH($E406,E_EnergyFlows!$E$387:$E$393,0)),INDEX(EUconst_FallbackListMissing,$P398)),"")</f>
        <v/>
      </c>
      <c r="N406" s="397"/>
      <c r="O406" s="8"/>
      <c r="P406" s="58" t="str">
        <f>EUconst_CNTR_HAL&amp;E406</f>
        <v>HAL_Fuel benchmark sub-installation, non-CL</v>
      </c>
      <c r="Q406" s="286" t="str">
        <f>IF(COUNT($K406:$L406)&gt;0,AVERAGE($K406:$L406),"")</f>
        <v/>
      </c>
      <c r="R406" s="57" t="str">
        <f>IF(COUNT(S406:W406)&gt;0,AVERAGE(S406:W406),"")</f>
        <v/>
      </c>
      <c r="S406" s="882" t="str">
        <f>IF(S398,IF(ISNUMBER(I406),I406,0),"")</f>
        <v/>
      </c>
      <c r="T406" s="389" t="str">
        <f>IF(T398,IF(ISNUMBER(J406),J406,0),"")</f>
        <v/>
      </c>
      <c r="U406" s="389" t="str">
        <f>IF(U398,IF(ISNUMBER(K406),K406,0),"")</f>
        <v/>
      </c>
      <c r="V406" s="389" t="str">
        <f>IF(V398,IF(ISNUMBER(L406),L406,0),"")</f>
        <v/>
      </c>
      <c r="W406" s="389" t="str">
        <f>IF(W398,IF(ISNUMBER(M406),M406,0),"")</f>
        <v/>
      </c>
      <c r="X406" s="390"/>
      <c r="Y406" s="124" t="s">
        <v>304</v>
      </c>
      <c r="Z406" s="392" t="b">
        <f>IF(M398&lt;&gt;EUconst_Relevant,FALSE,INDEX(CNTR_SubInstLess1Year,MATCH(I398,CNTR_SubInstListNames,0)))</f>
        <v>0</v>
      </c>
      <c r="AA406" s="399" t="b">
        <f>AA405</f>
        <v>0</v>
      </c>
    </row>
    <row r="407" spans="2:28" ht="12.75" customHeight="1" x14ac:dyDescent="0.25">
      <c r="B407" s="17"/>
      <c r="C407" s="8"/>
      <c r="D407" s="8"/>
      <c r="E407" s="8"/>
      <c r="F407" s="8"/>
      <c r="G407" s="8"/>
      <c r="H407" s="8"/>
      <c r="I407" s="8"/>
      <c r="J407" s="8"/>
      <c r="K407" s="8"/>
      <c r="L407" s="8"/>
      <c r="M407" s="8"/>
      <c r="N407" s="8"/>
      <c r="O407" s="8"/>
    </row>
    <row r="408" spans="2:28" ht="13.8" x14ac:dyDescent="0.25">
      <c r="B408" s="17"/>
      <c r="C408" s="20"/>
      <c r="D408" s="1234" t="str">
        <f>Translations!$B$700</f>
        <v>Production details</v>
      </c>
      <c r="E408" s="1176"/>
      <c r="F408" s="1176"/>
      <c r="G408" s="1176"/>
      <c r="H408" s="1176"/>
      <c r="I408" s="1176"/>
      <c r="J408" s="1176"/>
      <c r="K408" s="1176"/>
      <c r="L408" s="1176"/>
      <c r="M408" s="1176"/>
      <c r="N408" s="1176"/>
      <c r="O408" s="8"/>
      <c r="Y408" s="9"/>
      <c r="Z408" s="9"/>
      <c r="AA408" s="9"/>
      <c r="AB408" s="9"/>
    </row>
    <row r="409" spans="2:28" ht="5.0999999999999996" customHeight="1" x14ac:dyDescent="0.25">
      <c r="B409" s="8"/>
      <c r="C409" s="8"/>
      <c r="D409" s="8"/>
      <c r="E409" s="8"/>
      <c r="F409" s="8"/>
      <c r="G409" s="8"/>
      <c r="H409" s="8"/>
      <c r="I409" s="8"/>
      <c r="J409" s="8"/>
      <c r="K409" s="8"/>
      <c r="L409" s="8"/>
      <c r="M409" s="8"/>
      <c r="N409" s="8"/>
      <c r="O409" s="8"/>
      <c r="P409" s="9"/>
      <c r="Q409" s="9"/>
    </row>
    <row r="410" spans="2:28" ht="12.75" customHeight="1" x14ac:dyDescent="0.25">
      <c r="B410" s="8"/>
      <c r="C410" s="15"/>
      <c r="D410" s="15" t="s">
        <v>192</v>
      </c>
      <c r="E410" s="1165" t="str">
        <f>Translations!$B$830</f>
        <v>Identification of relevant products or services associated with this sub-installation</v>
      </c>
      <c r="F410" s="1176"/>
      <c r="G410" s="1176"/>
      <c r="H410" s="1176"/>
      <c r="I410" s="1176"/>
      <c r="J410" s="1176"/>
      <c r="K410" s="1176"/>
      <c r="L410" s="1176"/>
      <c r="M410" s="1176"/>
      <c r="N410" s="1176"/>
      <c r="O410" s="8"/>
      <c r="P410" s="9"/>
    </row>
    <row r="411" spans="2:28" ht="12.75" customHeight="1" x14ac:dyDescent="0.25">
      <c r="B411" s="8"/>
      <c r="C411" s="17"/>
      <c r="D411" s="17"/>
      <c r="E411" s="1223" t="str">
        <f>Translations!$B$831</f>
        <v>Please list here to which production processes or services this sub-installation relates. This may include the following items:</v>
      </c>
      <c r="F411" s="1176"/>
      <c r="G411" s="1176"/>
      <c r="H411" s="1176"/>
      <c r="I411" s="1176"/>
      <c r="J411" s="1176"/>
      <c r="K411" s="1176"/>
      <c r="L411" s="1176"/>
      <c r="M411" s="1176"/>
      <c r="N411" s="1176"/>
      <c r="O411" s="8"/>
      <c r="P411" s="9"/>
      <c r="Q411" s="9"/>
      <c r="R411" s="9"/>
      <c r="S411" s="9"/>
      <c r="T411" s="9"/>
      <c r="U411" s="9"/>
      <c r="V411" s="9"/>
      <c r="W411" s="9"/>
      <c r="X411" s="9"/>
      <c r="Y411" s="9"/>
      <c r="Z411" s="9"/>
      <c r="AA411" s="9"/>
      <c r="AB411" s="9"/>
    </row>
    <row r="412" spans="2:28" ht="12.75" customHeight="1" x14ac:dyDescent="0.25">
      <c r="B412" s="8"/>
      <c r="C412" s="8"/>
      <c r="D412" s="17"/>
      <c r="E412" s="883" t="s">
        <v>466</v>
      </c>
      <c r="F412" s="1223" t="str">
        <f>Translations!$B$832</f>
        <v>Production of goods not covered by product benchmarks within the installation (please provide types of product);</v>
      </c>
      <c r="G412" s="1176"/>
      <c r="H412" s="1176"/>
      <c r="I412" s="1176"/>
      <c r="J412" s="1176"/>
      <c r="K412" s="1176"/>
      <c r="L412" s="1176"/>
      <c r="M412" s="1176"/>
      <c r="N412" s="1176"/>
      <c r="O412" s="8"/>
      <c r="P412" s="9"/>
      <c r="Q412" s="9"/>
      <c r="R412" s="9"/>
      <c r="S412" s="9"/>
      <c r="T412" s="9"/>
      <c r="U412" s="9"/>
      <c r="V412" s="9"/>
      <c r="W412" s="9"/>
      <c r="X412" s="9"/>
    </row>
    <row r="413" spans="2:28" ht="12.75" customHeight="1" x14ac:dyDescent="0.25">
      <c r="B413" s="8"/>
      <c r="C413" s="8"/>
      <c r="D413" s="17"/>
      <c r="E413" s="883" t="s">
        <v>466</v>
      </c>
      <c r="F413" s="1223" t="str">
        <f>Translations!$B$885</f>
        <v>production of mechanical energy, heating or cooling (all uses excluding production of electricity).</v>
      </c>
      <c r="G413" s="1176"/>
      <c r="H413" s="1176"/>
      <c r="I413" s="1176"/>
      <c r="J413" s="1176"/>
      <c r="K413" s="1176"/>
      <c r="L413" s="1176"/>
      <c r="M413" s="1176"/>
      <c r="N413" s="1176"/>
      <c r="O413" s="8"/>
      <c r="P413" s="9"/>
      <c r="Q413" s="9"/>
      <c r="R413" s="9"/>
      <c r="S413" s="9"/>
      <c r="T413" s="9"/>
      <c r="U413" s="9"/>
      <c r="V413" s="9"/>
      <c r="W413" s="9"/>
      <c r="X413" s="9"/>
    </row>
    <row r="414" spans="2:28" ht="5.0999999999999996" customHeight="1" x14ac:dyDescent="0.25">
      <c r="B414" s="8"/>
      <c r="C414" s="8"/>
      <c r="D414" s="8"/>
      <c r="E414" s="8"/>
      <c r="F414" s="8"/>
      <c r="G414" s="8"/>
      <c r="H414" s="8"/>
      <c r="I414" s="8"/>
      <c r="J414" s="8"/>
      <c r="K414" s="8"/>
      <c r="L414" s="8"/>
      <c r="M414" s="8"/>
      <c r="N414" s="8"/>
      <c r="O414" s="8"/>
      <c r="P414" s="9"/>
      <c r="Q414" s="9"/>
    </row>
    <row r="415" spans="2:28" ht="25.5" customHeight="1" x14ac:dyDescent="0.25">
      <c r="B415" s="17"/>
      <c r="C415" s="17"/>
      <c r="D415" s="26"/>
      <c r="E415" s="1616" t="str">
        <f>Translations!$B$837</f>
        <v>Use type</v>
      </c>
      <c r="F415" s="1402"/>
      <c r="G415" s="1615" t="str">
        <f>Translations!$B$886</f>
        <v>Product name or service type</v>
      </c>
      <c r="H415" s="1208"/>
      <c r="I415" s="1208"/>
      <c r="J415" s="1208"/>
      <c r="K415" s="1208"/>
      <c r="L415" s="1433"/>
      <c r="M415" s="129" t="s">
        <v>468</v>
      </c>
      <c r="N415" s="17"/>
      <c r="O415" s="8"/>
    </row>
    <row r="416" spans="2:28" ht="12.75" customHeight="1" x14ac:dyDescent="0.25">
      <c r="B416" s="17"/>
      <c r="C416" s="17"/>
      <c r="D416" s="222">
        <v>1</v>
      </c>
      <c r="E416" s="1322"/>
      <c r="F416" s="1323"/>
      <c r="G416" s="1246"/>
      <c r="H416" s="1346"/>
      <c r="I416" s="1346"/>
      <c r="J416" s="1346"/>
      <c r="K416" s="1346"/>
      <c r="L416" s="1621"/>
      <c r="M416" s="910"/>
      <c r="N416" s="17"/>
      <c r="O416" s="8"/>
    </row>
    <row r="417" spans="2:16" ht="12.75" customHeight="1" x14ac:dyDescent="0.25">
      <c r="B417" s="17"/>
      <c r="C417" s="17"/>
      <c r="D417" s="225">
        <f>D416+1</f>
        <v>2</v>
      </c>
      <c r="E417" s="1300"/>
      <c r="F417" s="1301"/>
      <c r="G417" s="1296"/>
      <c r="H417" s="1297"/>
      <c r="I417" s="1297"/>
      <c r="J417" s="1297"/>
      <c r="K417" s="1297"/>
      <c r="L417" s="1606"/>
      <c r="M417" s="911"/>
      <c r="N417" s="17"/>
      <c r="O417" s="8"/>
    </row>
    <row r="418" spans="2:16" ht="12.75" customHeight="1" x14ac:dyDescent="0.25">
      <c r="B418" s="17"/>
      <c r="C418" s="17"/>
      <c r="D418" s="225">
        <f t="shared" ref="D418:D425" si="13">D417+1</f>
        <v>3</v>
      </c>
      <c r="E418" s="1300"/>
      <c r="F418" s="1301"/>
      <c r="G418" s="1296"/>
      <c r="H418" s="1297"/>
      <c r="I418" s="1297"/>
      <c r="J418" s="1297"/>
      <c r="K418" s="1297"/>
      <c r="L418" s="1606"/>
      <c r="M418" s="911"/>
      <c r="N418" s="17"/>
      <c r="O418" s="8"/>
    </row>
    <row r="419" spans="2:16" ht="12.75" customHeight="1" x14ac:dyDescent="0.25">
      <c r="B419" s="17"/>
      <c r="C419" s="17"/>
      <c r="D419" s="225">
        <f t="shared" si="13"/>
        <v>4</v>
      </c>
      <c r="E419" s="1300"/>
      <c r="F419" s="1301"/>
      <c r="G419" s="1296"/>
      <c r="H419" s="1297"/>
      <c r="I419" s="1297"/>
      <c r="J419" s="1297"/>
      <c r="K419" s="1297"/>
      <c r="L419" s="1606"/>
      <c r="M419" s="911"/>
      <c r="N419" s="17"/>
      <c r="O419" s="8"/>
    </row>
    <row r="420" spans="2:16" ht="12.75" customHeight="1" x14ac:dyDescent="0.25">
      <c r="B420" s="17"/>
      <c r="C420" s="17"/>
      <c r="D420" s="225">
        <f t="shared" si="13"/>
        <v>5</v>
      </c>
      <c r="E420" s="1300"/>
      <c r="F420" s="1301"/>
      <c r="G420" s="1296"/>
      <c r="H420" s="1297"/>
      <c r="I420" s="1297"/>
      <c r="J420" s="1297"/>
      <c r="K420" s="1297"/>
      <c r="L420" s="1606"/>
      <c r="M420" s="911"/>
      <c r="N420" s="17"/>
      <c r="O420" s="8"/>
    </row>
    <row r="421" spans="2:16" ht="12.75" customHeight="1" x14ac:dyDescent="0.25">
      <c r="B421" s="17"/>
      <c r="C421" s="17"/>
      <c r="D421" s="225">
        <f t="shared" si="13"/>
        <v>6</v>
      </c>
      <c r="E421" s="1300"/>
      <c r="F421" s="1301"/>
      <c r="G421" s="1296"/>
      <c r="H421" s="1297"/>
      <c r="I421" s="1297"/>
      <c r="J421" s="1297"/>
      <c r="K421" s="1297"/>
      <c r="L421" s="1606"/>
      <c r="M421" s="911"/>
      <c r="N421" s="17"/>
      <c r="O421" s="8"/>
    </row>
    <row r="422" spans="2:16" ht="12.75" customHeight="1" x14ac:dyDescent="0.25">
      <c r="B422" s="17"/>
      <c r="C422" s="17"/>
      <c r="D422" s="225">
        <f t="shared" si="13"/>
        <v>7</v>
      </c>
      <c r="E422" s="1300"/>
      <c r="F422" s="1301"/>
      <c r="G422" s="1296"/>
      <c r="H422" s="1297"/>
      <c r="I422" s="1297"/>
      <c r="J422" s="1297"/>
      <c r="K422" s="1297"/>
      <c r="L422" s="1606"/>
      <c r="M422" s="911"/>
      <c r="N422" s="17"/>
      <c r="O422" s="8"/>
    </row>
    <row r="423" spans="2:16" ht="12.75" customHeight="1" x14ac:dyDescent="0.25">
      <c r="B423" s="17"/>
      <c r="C423" s="17"/>
      <c r="D423" s="225">
        <f t="shared" si="13"/>
        <v>8</v>
      </c>
      <c r="E423" s="1300"/>
      <c r="F423" s="1301"/>
      <c r="G423" s="1296"/>
      <c r="H423" s="1297"/>
      <c r="I423" s="1297"/>
      <c r="J423" s="1297"/>
      <c r="K423" s="1297"/>
      <c r="L423" s="1606"/>
      <c r="M423" s="911"/>
      <c r="N423" s="17"/>
      <c r="O423" s="8"/>
    </row>
    <row r="424" spans="2:16" ht="12.75" customHeight="1" x14ac:dyDescent="0.25">
      <c r="B424" s="17"/>
      <c r="C424" s="17"/>
      <c r="D424" s="225">
        <f t="shared" si="13"/>
        <v>9</v>
      </c>
      <c r="E424" s="1300"/>
      <c r="F424" s="1301"/>
      <c r="G424" s="1296"/>
      <c r="H424" s="1297"/>
      <c r="I424" s="1297"/>
      <c r="J424" s="1297"/>
      <c r="K424" s="1297"/>
      <c r="L424" s="1606"/>
      <c r="M424" s="911"/>
      <c r="N424" s="17"/>
      <c r="O424" s="8"/>
    </row>
    <row r="425" spans="2:16" ht="12.75" customHeight="1" x14ac:dyDescent="0.25">
      <c r="B425" s="17"/>
      <c r="C425" s="17"/>
      <c r="D425" s="227">
        <f t="shared" si="13"/>
        <v>10</v>
      </c>
      <c r="E425" s="1319"/>
      <c r="F425" s="1321"/>
      <c r="G425" s="1326"/>
      <c r="H425" s="1327"/>
      <c r="I425" s="1327"/>
      <c r="J425" s="1327"/>
      <c r="K425" s="1327"/>
      <c r="L425" s="1620"/>
      <c r="M425" s="912"/>
      <c r="N425" s="17"/>
      <c r="O425" s="8"/>
    </row>
    <row r="426" spans="2:16" ht="5.0999999999999996" customHeight="1" x14ac:dyDescent="0.25">
      <c r="B426" s="17"/>
      <c r="C426" s="17"/>
      <c r="D426" s="17"/>
      <c r="E426" s="17"/>
      <c r="F426" s="17"/>
      <c r="G426" s="17"/>
      <c r="H426" s="17"/>
      <c r="I426" s="17"/>
      <c r="J426" s="17"/>
      <c r="K426" s="17"/>
      <c r="L426" s="17"/>
      <c r="M426" s="17"/>
      <c r="N426" s="17"/>
      <c r="O426" s="8"/>
    </row>
    <row r="427" spans="2:16" ht="12.75" customHeight="1" x14ac:dyDescent="0.25">
      <c r="B427" s="8"/>
      <c r="C427" s="15"/>
      <c r="D427" s="15"/>
      <c r="E427" s="1165" t="str">
        <f>Translations!$B$840</f>
        <v>Production levels:</v>
      </c>
      <c r="F427" s="1176"/>
      <c r="G427" s="1176"/>
      <c r="H427" s="1176"/>
      <c r="I427" s="1176"/>
      <c r="J427" s="1176"/>
      <c r="K427" s="1176"/>
      <c r="L427" s="1176"/>
      <c r="M427" s="1176"/>
      <c r="N427" s="1176"/>
      <c r="O427" s="8"/>
      <c r="P427" s="9"/>
    </row>
    <row r="428" spans="2:16" ht="5.0999999999999996" customHeight="1" x14ac:dyDescent="0.25">
      <c r="B428" s="8"/>
      <c r="C428" s="17"/>
      <c r="D428" s="17"/>
      <c r="E428" s="884"/>
      <c r="F428" s="884"/>
      <c r="G428" s="884"/>
      <c r="H428" s="884"/>
      <c r="I428" s="884"/>
      <c r="J428" s="77"/>
      <c r="K428" s="77"/>
      <c r="L428" s="77"/>
      <c r="M428" s="8"/>
      <c r="N428" s="8"/>
      <c r="O428" s="8"/>
      <c r="P428" s="9"/>
    </row>
    <row r="429" spans="2:16" ht="12.75" customHeight="1" x14ac:dyDescent="0.25">
      <c r="B429" s="17"/>
      <c r="C429" s="15"/>
      <c r="D429" s="26"/>
      <c r="E429" s="1616" t="str">
        <f>Translations!$B$886</f>
        <v>Product name or service type</v>
      </c>
      <c r="F429" s="1212"/>
      <c r="G429" s="1402"/>
      <c r="H429" s="23" t="str">
        <f>EUconst_Unit</f>
        <v>Unit</v>
      </c>
      <c r="I429" s="128">
        <f>I$559</f>
        <v>2019</v>
      </c>
      <c r="J429" s="128">
        <f>J$559</f>
        <v>2020</v>
      </c>
      <c r="K429" s="128">
        <f>K$559</f>
        <v>2021</v>
      </c>
      <c r="L429" s="128">
        <f>L$559</f>
        <v>2022</v>
      </c>
      <c r="M429" s="144">
        <f>M$559</f>
        <v>2023</v>
      </c>
      <c r="N429" s="8"/>
      <c r="O429" s="8"/>
    </row>
    <row r="430" spans="2:16" ht="12.75" customHeight="1" x14ac:dyDescent="0.25">
      <c r="B430" s="17"/>
      <c r="C430" s="80"/>
      <c r="D430" s="222">
        <v>1</v>
      </c>
      <c r="E430" s="1595" t="str">
        <f t="shared" ref="E430:E439" si="14">IF(ISBLANK(G416),"",G416)</f>
        <v/>
      </c>
      <c r="F430" s="1596"/>
      <c r="G430" s="1597"/>
      <c r="H430" s="1069"/>
      <c r="I430" s="889"/>
      <c r="J430" s="889"/>
      <c r="K430" s="889"/>
      <c r="L430" s="889"/>
      <c r="M430" s="890"/>
      <c r="N430" s="8"/>
      <c r="O430" s="8"/>
    </row>
    <row r="431" spans="2:16" ht="12.75" customHeight="1" x14ac:dyDescent="0.25">
      <c r="B431" s="17"/>
      <c r="C431" s="80"/>
      <c r="D431" s="225">
        <f>D430+1</f>
        <v>2</v>
      </c>
      <c r="E431" s="1591" t="str">
        <f t="shared" si="14"/>
        <v/>
      </c>
      <c r="F431" s="1335"/>
      <c r="G431" s="1592"/>
      <c r="H431" s="1070"/>
      <c r="I431" s="892"/>
      <c r="J431" s="892"/>
      <c r="K431" s="892"/>
      <c r="L431" s="892"/>
      <c r="M431" s="893"/>
      <c r="N431" s="8"/>
      <c r="O431" s="8"/>
    </row>
    <row r="432" spans="2:16" ht="12.75" customHeight="1" x14ac:dyDescent="0.25">
      <c r="B432" s="17"/>
      <c r="C432" s="80"/>
      <c r="D432" s="225">
        <f t="shared" ref="D432:D439" si="15">D431+1</f>
        <v>3</v>
      </c>
      <c r="E432" s="1591" t="str">
        <f t="shared" si="14"/>
        <v/>
      </c>
      <c r="F432" s="1335"/>
      <c r="G432" s="1592"/>
      <c r="H432" s="1070"/>
      <c r="I432" s="892"/>
      <c r="J432" s="892"/>
      <c r="K432" s="892"/>
      <c r="L432" s="892"/>
      <c r="M432" s="893"/>
      <c r="N432" s="8"/>
      <c r="O432" s="8"/>
    </row>
    <row r="433" spans="2:19" ht="12.75" customHeight="1" x14ac:dyDescent="0.25">
      <c r="B433" s="17"/>
      <c r="C433" s="80"/>
      <c r="D433" s="225">
        <f t="shared" si="15"/>
        <v>4</v>
      </c>
      <c r="E433" s="1591" t="str">
        <f t="shared" si="14"/>
        <v/>
      </c>
      <c r="F433" s="1335"/>
      <c r="G433" s="1592"/>
      <c r="H433" s="1070"/>
      <c r="I433" s="892"/>
      <c r="J433" s="892"/>
      <c r="K433" s="892"/>
      <c r="L433" s="892"/>
      <c r="M433" s="893"/>
      <c r="N433" s="8"/>
      <c r="O433" s="8"/>
    </row>
    <row r="434" spans="2:19" ht="12.75" customHeight="1" x14ac:dyDescent="0.25">
      <c r="B434" s="17"/>
      <c r="C434" s="80"/>
      <c r="D434" s="225">
        <f t="shared" si="15"/>
        <v>5</v>
      </c>
      <c r="E434" s="1591" t="str">
        <f t="shared" si="14"/>
        <v/>
      </c>
      <c r="F434" s="1335"/>
      <c r="G434" s="1592"/>
      <c r="H434" s="1070"/>
      <c r="I434" s="892"/>
      <c r="J434" s="892"/>
      <c r="K434" s="892"/>
      <c r="L434" s="892"/>
      <c r="M434" s="893"/>
      <c r="N434" s="8"/>
      <c r="O434" s="8"/>
    </row>
    <row r="435" spans="2:19" ht="12.75" customHeight="1" x14ac:dyDescent="0.25">
      <c r="B435" s="17"/>
      <c r="C435" s="80"/>
      <c r="D435" s="225">
        <f t="shared" si="15"/>
        <v>6</v>
      </c>
      <c r="E435" s="1591" t="str">
        <f t="shared" si="14"/>
        <v/>
      </c>
      <c r="F435" s="1335"/>
      <c r="G435" s="1592"/>
      <c r="H435" s="1070"/>
      <c r="I435" s="892"/>
      <c r="J435" s="892"/>
      <c r="K435" s="892"/>
      <c r="L435" s="892"/>
      <c r="M435" s="893"/>
      <c r="N435" s="8"/>
      <c r="O435" s="8"/>
    </row>
    <row r="436" spans="2:19" ht="12.75" customHeight="1" x14ac:dyDescent="0.25">
      <c r="B436" s="17"/>
      <c r="C436" s="80"/>
      <c r="D436" s="225">
        <f t="shared" si="15"/>
        <v>7</v>
      </c>
      <c r="E436" s="1591" t="str">
        <f t="shared" si="14"/>
        <v/>
      </c>
      <c r="F436" s="1335"/>
      <c r="G436" s="1592"/>
      <c r="H436" s="1070"/>
      <c r="I436" s="892"/>
      <c r="J436" s="892"/>
      <c r="K436" s="892"/>
      <c r="L436" s="892"/>
      <c r="M436" s="893"/>
      <c r="N436" s="8"/>
      <c r="O436" s="8"/>
    </row>
    <row r="437" spans="2:19" ht="12.75" customHeight="1" x14ac:dyDescent="0.25">
      <c r="B437" s="17"/>
      <c r="C437" s="80"/>
      <c r="D437" s="225">
        <f t="shared" si="15"/>
        <v>8</v>
      </c>
      <c r="E437" s="1591" t="str">
        <f t="shared" si="14"/>
        <v/>
      </c>
      <c r="F437" s="1335"/>
      <c r="G437" s="1592"/>
      <c r="H437" s="1070"/>
      <c r="I437" s="892"/>
      <c r="J437" s="892"/>
      <c r="K437" s="892"/>
      <c r="L437" s="892"/>
      <c r="M437" s="893"/>
      <c r="N437" s="8"/>
      <c r="O437" s="8"/>
    </row>
    <row r="438" spans="2:19" ht="12.75" customHeight="1" x14ac:dyDescent="0.25">
      <c r="B438" s="17"/>
      <c r="C438" s="80"/>
      <c r="D438" s="225">
        <f t="shared" si="15"/>
        <v>9</v>
      </c>
      <c r="E438" s="1591" t="str">
        <f t="shared" si="14"/>
        <v/>
      </c>
      <c r="F438" s="1335"/>
      <c r="G438" s="1592"/>
      <c r="H438" s="1070"/>
      <c r="I438" s="892"/>
      <c r="J438" s="892"/>
      <c r="K438" s="892"/>
      <c r="L438" s="892"/>
      <c r="M438" s="893"/>
      <c r="N438" s="8"/>
      <c r="O438" s="8"/>
    </row>
    <row r="439" spans="2:19" ht="12.75" customHeight="1" x14ac:dyDescent="0.25">
      <c r="B439" s="17"/>
      <c r="C439" s="80"/>
      <c r="D439" s="227">
        <f t="shared" si="15"/>
        <v>10</v>
      </c>
      <c r="E439" s="1593" t="str">
        <f t="shared" si="14"/>
        <v/>
      </c>
      <c r="F439" s="1386"/>
      <c r="G439" s="1594"/>
      <c r="H439" s="1068"/>
      <c r="I439" s="895"/>
      <c r="J439" s="895"/>
      <c r="K439" s="895"/>
      <c r="L439" s="895"/>
      <c r="M439" s="896"/>
      <c r="N439" s="8"/>
      <c r="O439" s="8"/>
    </row>
    <row r="440" spans="2:19" ht="12.75" customHeight="1" x14ac:dyDescent="0.25">
      <c r="B440" s="17"/>
      <c r="C440" s="17"/>
      <c r="D440" s="262"/>
      <c r="E440" s="1619" t="str">
        <f>Translations!$B$708</f>
        <v>Sum of production levels</v>
      </c>
      <c r="F440" s="1509"/>
      <c r="G440" s="1189"/>
      <c r="H440" s="1068"/>
      <c r="I440" s="841" t="str">
        <f>IF(COUNT(I430:I439)&gt;0,SUM(I430:I439),"")</f>
        <v/>
      </c>
      <c r="J440" s="841" t="str">
        <f>IF(COUNT(J430:J439)&gt;0,SUM(J430:J439),"")</f>
        <v/>
      </c>
      <c r="K440" s="841" t="str">
        <f>IF(COUNT(K430:K439)&gt;0,SUM(K430:K439),"")</f>
        <v/>
      </c>
      <c r="L440" s="841" t="str">
        <f>IF(COUNT(L430:L439)&gt;0,SUM(L430:L439),"")</f>
        <v/>
      </c>
      <c r="M440" s="897" t="str">
        <f>IF(COUNT(M430:M439)&gt;0,SUM(M430:M439),"")</f>
        <v/>
      </c>
      <c r="N440" s="8"/>
      <c r="O440" s="8"/>
    </row>
    <row r="441" spans="2:19" ht="12.75" customHeight="1" thickBot="1" x14ac:dyDescent="0.3">
      <c r="B441" s="17"/>
      <c r="C441" s="17"/>
      <c r="D441" s="17"/>
      <c r="E441" s="17"/>
      <c r="F441" s="17"/>
      <c r="G441" s="17"/>
      <c r="H441" s="17"/>
      <c r="I441" s="17"/>
      <c r="J441" s="17"/>
      <c r="K441" s="17"/>
      <c r="L441" s="17"/>
      <c r="M441" s="17"/>
      <c r="N441" s="17"/>
      <c r="O441" s="8"/>
      <c r="P441" s="150"/>
    </row>
    <row r="442" spans="2:19" ht="5.0999999999999996" customHeight="1" x14ac:dyDescent="0.25">
      <c r="B442" s="8"/>
      <c r="C442" s="898"/>
      <c r="D442" s="155"/>
      <c r="E442" s="155"/>
      <c r="F442" s="155"/>
      <c r="G442" s="155"/>
      <c r="H442" s="155"/>
      <c r="I442" s="155"/>
      <c r="J442" s="155"/>
      <c r="K442" s="155"/>
      <c r="L442" s="155"/>
      <c r="M442" s="155"/>
      <c r="N442" s="156"/>
      <c r="O442" s="8"/>
      <c r="P442" s="9"/>
      <c r="R442" s="9"/>
      <c r="S442" s="9"/>
    </row>
    <row r="443" spans="2:19" ht="15" customHeight="1" x14ac:dyDescent="0.25">
      <c r="B443" s="17"/>
      <c r="C443" s="899"/>
      <c r="D443" s="1547" t="s">
        <v>469</v>
      </c>
      <c r="E443" s="1512"/>
      <c r="F443" s="1512"/>
      <c r="G443" s="1512"/>
      <c r="H443" s="1512"/>
      <c r="I443" s="1512"/>
      <c r="J443" s="1512"/>
      <c r="K443" s="1512"/>
      <c r="L443" s="1512"/>
      <c r="M443" s="1512"/>
      <c r="N443" s="1513"/>
      <c r="O443" s="8"/>
      <c r="R443" s="9"/>
      <c r="S443" s="9"/>
    </row>
    <row r="444" spans="2:19" ht="5.0999999999999996" customHeight="1" x14ac:dyDescent="0.25">
      <c r="B444" s="17"/>
      <c r="C444" s="900"/>
      <c r="D444" s="342"/>
      <c r="E444" s="342"/>
      <c r="F444" s="342"/>
      <c r="G444" s="342"/>
      <c r="H444" s="342"/>
      <c r="I444" s="342"/>
      <c r="J444" s="342"/>
      <c r="K444" s="342"/>
      <c r="L444" s="342"/>
      <c r="M444" s="342"/>
      <c r="N444" s="266"/>
      <c r="O444" s="8"/>
      <c r="R444" s="9"/>
      <c r="S444" s="9"/>
    </row>
    <row r="445" spans="2:19" ht="15" customHeight="1" x14ac:dyDescent="0.25">
      <c r="B445" s="17"/>
      <c r="C445" s="900"/>
      <c r="D445" s="1548" t="str">
        <f>EUconst_FBSubinst &amp; ":"</f>
        <v>Fall-Back sub-installation:</v>
      </c>
      <c r="E445" s="1512"/>
      <c r="F445" s="1512"/>
      <c r="G445" s="1512"/>
      <c r="H445" s="1549"/>
      <c r="I445" s="1550" t="str">
        <f>I398</f>
        <v>Fuel benchmark sub-installation, non-CL</v>
      </c>
      <c r="J445" s="1509"/>
      <c r="K445" s="1509"/>
      <c r="L445" s="1509"/>
      <c r="M445" s="1509"/>
      <c r="N445" s="1551"/>
      <c r="O445" s="8"/>
      <c r="R445" s="9"/>
      <c r="S445" s="9"/>
    </row>
    <row r="446" spans="2:19" ht="5.0999999999999996" customHeight="1" x14ac:dyDescent="0.25">
      <c r="B446" s="17"/>
      <c r="C446" s="900"/>
      <c r="D446" s="342"/>
      <c r="E446" s="342"/>
      <c r="F446" s="342"/>
      <c r="G446" s="342"/>
      <c r="H446" s="342"/>
      <c r="I446" s="342"/>
      <c r="J446" s="342"/>
      <c r="K446" s="342"/>
      <c r="L446" s="342"/>
      <c r="M446" s="342"/>
      <c r="N446" s="266"/>
      <c r="O446" s="8"/>
      <c r="R446" s="9"/>
      <c r="S446" s="9"/>
    </row>
    <row r="447" spans="2:19" ht="12.75" customHeight="1" x14ac:dyDescent="0.25">
      <c r="B447" s="8"/>
      <c r="C447" s="899"/>
      <c r="D447" s="157" t="s">
        <v>195</v>
      </c>
      <c r="E447" s="1511" t="str">
        <f>Translations!$B$841</f>
        <v>Directly attributable emissions (DirEm*) to this sub-installation</v>
      </c>
      <c r="F447" s="1512"/>
      <c r="G447" s="1512"/>
      <c r="H447" s="1512"/>
      <c r="I447" s="1512"/>
      <c r="J447" s="1512"/>
      <c r="K447" s="1512"/>
      <c r="L447" s="1512"/>
      <c r="M447" s="1512"/>
      <c r="N447" s="1513"/>
      <c r="O447" s="8"/>
      <c r="P447" s="9"/>
      <c r="R447" s="9"/>
      <c r="S447" s="9"/>
    </row>
    <row r="448" spans="2:19" ht="12.75" customHeight="1" thickBot="1" x14ac:dyDescent="0.3">
      <c r="B448" s="8"/>
      <c r="C448" s="899"/>
      <c r="D448" s="159"/>
      <c r="E448" s="1533" t="str">
        <f>Translations!$B$895</f>
        <v>Detailed instructions for data entries here can be found under point 4.c above.</v>
      </c>
      <c r="F448" s="1533"/>
      <c r="G448" s="1533"/>
      <c r="H448" s="1533"/>
      <c r="I448" s="1533"/>
      <c r="J448" s="1533"/>
      <c r="K448" s="1533"/>
      <c r="L448" s="1533"/>
      <c r="M448" s="1533"/>
      <c r="N448" s="1537"/>
      <c r="O448" s="8"/>
      <c r="P448" s="9"/>
      <c r="R448" s="9"/>
    </row>
    <row r="449" spans="2:23" ht="12.75" customHeight="1" x14ac:dyDescent="0.25">
      <c r="B449" s="8"/>
      <c r="C449" s="899"/>
      <c r="D449" s="157"/>
      <c r="E449" s="1522" t="str">
        <f>Translations!$B$690</f>
        <v>Total direct emissions</v>
      </c>
      <c r="F449" s="1523"/>
      <c r="G449" s="1523"/>
      <c r="H449" s="152" t="str">
        <f>EUconst_Unit</f>
        <v>Unit</v>
      </c>
      <c r="I449" s="153">
        <f>I$559</f>
        <v>2019</v>
      </c>
      <c r="J449" s="153">
        <f>J$559</f>
        <v>2020</v>
      </c>
      <c r="K449" s="153">
        <f>K$559</f>
        <v>2021</v>
      </c>
      <c r="L449" s="153">
        <f>L$559</f>
        <v>2022</v>
      </c>
      <c r="M449" s="153">
        <f>M$559</f>
        <v>2023</v>
      </c>
      <c r="N449" s="158"/>
      <c r="O449" s="8"/>
      <c r="P449" s="9"/>
      <c r="R449" s="325"/>
      <c r="S449" s="326">
        <f>I449</f>
        <v>2019</v>
      </c>
      <c r="T449" s="326">
        <f>J449</f>
        <v>2020</v>
      </c>
      <c r="U449" s="326">
        <f>K449</f>
        <v>2021</v>
      </c>
      <c r="V449" s="326">
        <f>L449</f>
        <v>2022</v>
      </c>
      <c r="W449" s="327">
        <f>M449</f>
        <v>2023</v>
      </c>
    </row>
    <row r="450" spans="2:23" ht="12.75" customHeight="1" thickBot="1" x14ac:dyDescent="0.3">
      <c r="B450" s="8"/>
      <c r="C450" s="899"/>
      <c r="D450" s="159"/>
      <c r="E450" s="1510" t="str">
        <f>I398</f>
        <v>Fuel benchmark sub-installation, non-CL</v>
      </c>
      <c r="F450" s="1510"/>
      <c r="G450" s="1510"/>
      <c r="H450" s="154" t="str">
        <f>EUconst_tCO2epa</f>
        <v>t CO2e/year</v>
      </c>
      <c r="I450" s="231"/>
      <c r="J450" s="231"/>
      <c r="K450" s="231"/>
      <c r="L450" s="231"/>
      <c r="M450" s="231"/>
      <c r="N450" s="158"/>
      <c r="O450" s="8"/>
      <c r="P450" s="116" t="str">
        <f>EUconst_CNTR_Emissions &amp; I398</f>
        <v>DirEmissions_Fuel benchmark sub-installation, non-CL</v>
      </c>
      <c r="R450" s="328" t="str">
        <f>EUconst_CNTR_AttributedEmissions &amp; I398</f>
        <v>AttrEmissions_Fuel benchmark sub-installation, non-CL</v>
      </c>
      <c r="S450" s="389" t="str">
        <f>IF(S398,SUM(I450),"")</f>
        <v/>
      </c>
      <c r="T450" s="389" t="str">
        <f>IF(T398,SUM(J450),"")</f>
        <v/>
      </c>
      <c r="U450" s="389" t="str">
        <f>IF(U398,SUM(K450),"")</f>
        <v/>
      </c>
      <c r="V450" s="389" t="str">
        <f>IF(V398,SUM(L450),"")</f>
        <v/>
      </c>
      <c r="W450" s="390" t="str">
        <f>IF(W398,SUM(M450),"")</f>
        <v/>
      </c>
    </row>
    <row r="451" spans="2:23" ht="5.0999999999999996" customHeight="1" x14ac:dyDescent="0.25">
      <c r="B451" s="8"/>
      <c r="C451" s="899"/>
      <c r="D451" s="159"/>
      <c r="E451" s="159"/>
      <c r="F451" s="159"/>
      <c r="G451" s="159"/>
      <c r="H451" s="159"/>
      <c r="I451" s="159"/>
      <c r="J451" s="159"/>
      <c r="K451" s="159"/>
      <c r="L451" s="159"/>
      <c r="M451" s="159"/>
      <c r="N451" s="158"/>
      <c r="O451" s="8"/>
      <c r="P451" s="9"/>
      <c r="R451" s="9"/>
    </row>
    <row r="452" spans="2:23" ht="12.75" customHeight="1" x14ac:dyDescent="0.25">
      <c r="B452" s="8"/>
      <c r="C452" s="899"/>
      <c r="D452" s="157" t="s">
        <v>197</v>
      </c>
      <c r="E452" s="1529" t="str">
        <f>Translations!$B$726</f>
        <v>Fuel input to this sub-installation and relevant emission factor</v>
      </c>
      <c r="F452" s="1529"/>
      <c r="G452" s="1529"/>
      <c r="H452" s="1529"/>
      <c r="I452" s="1529"/>
      <c r="J452" s="1529"/>
      <c r="K452" s="1529"/>
      <c r="L452" s="1529"/>
      <c r="M452" s="1529"/>
      <c r="N452" s="1534"/>
      <c r="O452" s="8"/>
      <c r="R452" s="9"/>
    </row>
    <row r="453" spans="2:23" ht="12.75" customHeight="1" x14ac:dyDescent="0.25">
      <c r="B453" s="8"/>
      <c r="C453" s="899"/>
      <c r="D453" s="159"/>
      <c r="E453" s="1533" t="str">
        <f>Translations!$B$896</f>
        <v>Detailed instructions for data entries here can be found under point 4.d above.</v>
      </c>
      <c r="F453" s="1533"/>
      <c r="G453" s="1533"/>
      <c r="H453" s="1533"/>
      <c r="I453" s="1533"/>
      <c r="J453" s="1533"/>
      <c r="K453" s="1533"/>
      <c r="L453" s="1533"/>
      <c r="M453" s="1533"/>
      <c r="N453" s="1537"/>
      <c r="O453" s="8"/>
      <c r="P453" s="9"/>
      <c r="R453" s="9"/>
    </row>
    <row r="454" spans="2:23" ht="12.75" customHeight="1" x14ac:dyDescent="0.25">
      <c r="B454" s="8"/>
      <c r="C454" s="899"/>
      <c r="D454" s="157"/>
      <c r="E454" s="1522"/>
      <c r="F454" s="1523"/>
      <c r="G454" s="1523"/>
      <c r="H454" s="152" t="str">
        <f>EUconst_Unit</f>
        <v>Unit</v>
      </c>
      <c r="I454" s="153">
        <f>I$559</f>
        <v>2019</v>
      </c>
      <c r="J454" s="153">
        <f>J$559</f>
        <v>2020</v>
      </c>
      <c r="K454" s="153">
        <f>K$559</f>
        <v>2021</v>
      </c>
      <c r="L454" s="153">
        <f>L$559</f>
        <v>2022</v>
      </c>
      <c r="M454" s="153">
        <f>M$559</f>
        <v>2023</v>
      </c>
      <c r="N454" s="158"/>
      <c r="O454" s="8"/>
      <c r="P454" s="9"/>
      <c r="R454" s="9"/>
    </row>
    <row r="455" spans="2:23" ht="12.75" customHeight="1" x14ac:dyDescent="0.25">
      <c r="B455" s="8"/>
      <c r="C455" s="899"/>
      <c r="D455" s="160" t="s">
        <v>206</v>
      </c>
      <c r="E455" s="1528" t="str">
        <f>Translations!$B$891</f>
        <v>Fuel input entered under (a)</v>
      </c>
      <c r="F455" s="1528"/>
      <c r="G455" s="1528"/>
      <c r="H455" s="154" t="str">
        <f>EUconst_TJpa</f>
        <v>TJ / year</v>
      </c>
      <c r="I455" s="163" t="str">
        <f>I406</f>
        <v/>
      </c>
      <c r="J455" s="163" t="str">
        <f>J406</f>
        <v/>
      </c>
      <c r="K455" s="163" t="str">
        <f>K406</f>
        <v/>
      </c>
      <c r="L455" s="163" t="str">
        <f>L406</f>
        <v/>
      </c>
      <c r="M455" s="163" t="str">
        <f>M406</f>
        <v/>
      </c>
      <c r="N455" s="195"/>
      <c r="O455" s="8"/>
      <c r="P455" s="116" t="str">
        <f>EUconst_CNTR_FuelInput &amp; I398</f>
        <v>FuelInput_Fuel benchmark sub-installation, non-CL</v>
      </c>
      <c r="R455" s="9"/>
      <c r="S455" s="28">
        <f>I454</f>
        <v>2019</v>
      </c>
      <c r="T455" s="28">
        <f>J454</f>
        <v>2020</v>
      </c>
      <c r="U455" s="28">
        <f>K454</f>
        <v>2021</v>
      </c>
      <c r="V455" s="28">
        <f>L454</f>
        <v>2022</v>
      </c>
      <c r="W455" s="28">
        <f>M454</f>
        <v>2023</v>
      </c>
    </row>
    <row r="456" spans="2:23" ht="12.75" customHeight="1" x14ac:dyDescent="0.25">
      <c r="B456" s="8"/>
      <c r="C456" s="899"/>
      <c r="D456" s="160" t="s">
        <v>208</v>
      </c>
      <c r="E456" s="1523" t="str">
        <f>Translations!$B$892</f>
        <v>Weighted emission factor (=c./d.)</v>
      </c>
      <c r="F456" s="1523"/>
      <c r="G456" s="1523"/>
      <c r="H456" s="904" t="str">
        <f>EUconst_tCO2pTJ</f>
        <v>t CO2 / TJ</v>
      </c>
      <c r="I456" s="163" t="str">
        <f>IF(COUNT(I450,I455)=2,I450/I455,"")</f>
        <v/>
      </c>
      <c r="J456" s="163" t="str">
        <f>IF(COUNT(J450,J455)=2,J450/J455,"")</f>
        <v/>
      </c>
      <c r="K456" s="163" t="str">
        <f>IF(COUNT(K450,K455)=2,K450/K455,"")</f>
        <v/>
      </c>
      <c r="L456" s="163" t="str">
        <f>IF(COUNT(L450,L455)=2,L450/L455,"")</f>
        <v/>
      </c>
      <c r="M456" s="163" t="str">
        <f>IF(COUNT(M450,M455)=2,M450/M455,"")</f>
        <v/>
      </c>
      <c r="N456" s="158"/>
      <c r="O456" s="8"/>
      <c r="P456" s="116" t="str">
        <f>EUconst_CNTR_FuelEF &amp;I398</f>
        <v>FuelEF_Fuel benchmark sub-installation, non-CL</v>
      </c>
      <c r="R456" s="373" t="str">
        <f>EUconst_ERR_AttrEmBMapplied &amp; I398</f>
        <v>ERR_AttrEmBM_Fuel benchmark sub-installation, non-CL</v>
      </c>
      <c r="S456" s="63">
        <f>IF(AND(OR(I458&lt;&gt;0,AND(I461&lt;&gt;0,I462="")),EUconst_StatusOfDataCollection=FALSE),1,0)</f>
        <v>0</v>
      </c>
      <c r="T456" s="63">
        <f>IF(AND(OR(J458&lt;&gt;0,AND(J461&lt;&gt;0,J462="")),EUconst_StatusOfDataCollection=FALSE),1,0)</f>
        <v>0</v>
      </c>
      <c r="U456" s="63">
        <f>IF(AND(OR(K458&lt;&gt;0,AND(K461&lt;&gt;0,K462="")),EUconst_StatusOfDataCollection=FALSE),1,0)</f>
        <v>0</v>
      </c>
      <c r="V456" s="63">
        <f>IF(AND(OR(L458&lt;&gt;0,AND(L461&lt;&gt;0,L462="")),EUconst_StatusOfDataCollection=FALSE),1,0)</f>
        <v>0</v>
      </c>
      <c r="W456" s="63">
        <f>IF(AND(OR(M458&lt;&gt;0,AND(M461&lt;&gt;0,M462="")),EUconst_StatusOfDataCollection=FALSE),1,0)</f>
        <v>0</v>
      </c>
    </row>
    <row r="457" spans="2:23" ht="5.0999999999999996" customHeight="1" x14ac:dyDescent="0.25">
      <c r="B457" s="8"/>
      <c r="C457" s="899"/>
      <c r="D457" s="159"/>
      <c r="E457" s="159"/>
      <c r="F457" s="159"/>
      <c r="G457" s="159"/>
      <c r="H457" s="159"/>
      <c r="I457" s="159"/>
      <c r="J457" s="159"/>
      <c r="K457" s="159"/>
      <c r="L457" s="159"/>
      <c r="M457" s="159"/>
      <c r="N457" s="158"/>
      <c r="O457" s="8"/>
      <c r="P457" s="9"/>
    </row>
    <row r="458" spans="2:23" ht="12.75" customHeight="1" x14ac:dyDescent="0.25">
      <c r="B458" s="8"/>
      <c r="C458" s="899"/>
      <c r="D458" s="160" t="s">
        <v>209</v>
      </c>
      <c r="E458" s="1528" t="str">
        <f>Translations!$B$853</f>
        <v>Fuel input from waste gases</v>
      </c>
      <c r="F458" s="1528"/>
      <c r="G458" s="1528"/>
      <c r="H458" s="154" t="str">
        <f>EUconst_TJpa</f>
        <v>TJ / year</v>
      </c>
      <c r="I458" s="293"/>
      <c r="J458" s="293"/>
      <c r="K458" s="293"/>
      <c r="L458" s="293"/>
      <c r="M458" s="293"/>
      <c r="N458" s="158"/>
      <c r="O458" s="8"/>
      <c r="P458" s="626" t="str">
        <f>EUconst_CNTR_WGConsumed &amp; I398</f>
        <v>WasteGasCons_Fuel benchmark sub-installation, non-CL</v>
      </c>
    </row>
    <row r="459" spans="2:23" ht="12.75" customHeight="1" x14ac:dyDescent="0.25">
      <c r="B459" s="8"/>
      <c r="C459" s="899"/>
      <c r="D459" s="160" t="s">
        <v>210</v>
      </c>
      <c r="E459" s="1528" t="str">
        <f>Translations!$B$854</f>
        <v>Specific EF (waste gas)</v>
      </c>
      <c r="F459" s="1528"/>
      <c r="G459" s="1528"/>
      <c r="H459" s="904" t="str">
        <f>EUconst_tCO2pTJ</f>
        <v>t CO2 / TJ</v>
      </c>
      <c r="I459" s="865"/>
      <c r="J459" s="865"/>
      <c r="K459" s="865"/>
      <c r="L459" s="865"/>
      <c r="M459" s="865"/>
      <c r="N459" s="158"/>
      <c r="O459" s="8"/>
      <c r="P459" s="116" t="str">
        <f>EUconst_CNTR_WGConsumedEF &amp; I398</f>
        <v>WasteGasConsEF_Fuel benchmark sub-installation, non-CL</v>
      </c>
      <c r="R459" s="374" t="str">
        <f>EUconst_CNTR_AttributedEmissions &amp; I398</f>
        <v>AttrEmissions_Fuel benchmark sub-installation, non-CL</v>
      </c>
      <c r="S459" s="63" t="str">
        <f>IF(S398,SUM(I458)*EUconst_FuelBMvalueForBM,"")</f>
        <v/>
      </c>
      <c r="T459" s="63" t="str">
        <f>IF(T398,SUM(J458)*EUconst_FuelBMvalueForBM,"")</f>
        <v/>
      </c>
      <c r="U459" s="63" t="str">
        <f>IF(U398,SUM(K458)*EUconst_FuelBMvalueForBM,"")</f>
        <v/>
      </c>
      <c r="V459" s="63" t="str">
        <f>IF(V398,SUM(L458)*EUconst_FuelBMvalueForBM,"")</f>
        <v/>
      </c>
      <c r="W459" s="63" t="str">
        <f>IF(W398,SUM(M458)*EUconst_FuelBMvalueForBM,"")</f>
        <v/>
      </c>
    </row>
    <row r="460" spans="2:23" ht="5.0999999999999996" customHeight="1" x14ac:dyDescent="0.25">
      <c r="B460" s="8"/>
      <c r="C460" s="899"/>
      <c r="D460" s="159"/>
      <c r="E460" s="159"/>
      <c r="F460" s="159"/>
      <c r="G460" s="159"/>
      <c r="H460" s="159"/>
      <c r="I460" s="159"/>
      <c r="J460" s="159"/>
      <c r="K460" s="159"/>
      <c r="L460" s="159"/>
      <c r="M460" s="159"/>
      <c r="N460" s="158"/>
      <c r="O460" s="8"/>
      <c r="P460" s="9"/>
    </row>
    <row r="461" spans="2:23" ht="12.75" customHeight="1" x14ac:dyDescent="0.25">
      <c r="B461" s="8"/>
      <c r="C461" s="899"/>
      <c r="D461" s="157" t="s">
        <v>202</v>
      </c>
      <c r="E461" s="1610" t="str">
        <f>Translations!$B$770</f>
        <v>Net heat exported</v>
      </c>
      <c r="F461" s="1610"/>
      <c r="G461" s="1610"/>
      <c r="H461" s="154" t="str">
        <f>EUconst_TJpa</f>
        <v>TJ / year</v>
      </c>
      <c r="I461" s="311"/>
      <c r="J461" s="311"/>
      <c r="K461" s="311"/>
      <c r="L461" s="311"/>
      <c r="M461" s="311"/>
      <c r="N461" s="195"/>
      <c r="O461" s="8"/>
      <c r="P461" s="218" t="str">
        <f>EUconst_CNTR_HeatExport &amp; I398</f>
        <v>HeatEx_Fuel benchmark sub-installation, non-CL</v>
      </c>
      <c r="R461" s="374" t="str">
        <f>EUconst_CNTR_AttributedEmissions &amp; I398</f>
        <v>AttrEmissions_Fuel benchmark sub-installation, non-CL</v>
      </c>
      <c r="S461" s="63" t="str">
        <f>IF(S398,-SUM(I461)*IF(ISNUMBER(I462),I462,EUconst_HeatBMvalueForBM),"")</f>
        <v/>
      </c>
      <c r="T461" s="63" t="str">
        <f>IF(T398,-SUM(J461)*IF(ISNUMBER(J462),J462,EUconst_HeatBMvalueForBM),"")</f>
        <v/>
      </c>
      <c r="U461" s="63" t="str">
        <f>IF(U398,-SUM(K461)*IF(ISNUMBER(K462),K462,EUconst_HeatBMvalueForBM),"")</f>
        <v/>
      </c>
      <c r="V461" s="63" t="str">
        <f>IF(V398,-SUM(L461)*IF(ISNUMBER(L462),L462,EUconst_HeatBMvalueForBM),"")</f>
        <v/>
      </c>
      <c r="W461" s="63" t="str">
        <f>IF(W398,-SUM(M461)*IF(ISNUMBER(M462),M462,EUconst_HeatBMvalueForBM),"")</f>
        <v/>
      </c>
    </row>
    <row r="462" spans="2:23" ht="12.75" customHeight="1" x14ac:dyDescent="0.25">
      <c r="B462" s="8"/>
      <c r="C462" s="899"/>
      <c r="D462" s="157"/>
      <c r="E462" s="1528" t="str">
        <f>Translations!$B$893</f>
        <v>Specific EF (heat export)</v>
      </c>
      <c r="F462" s="1528"/>
      <c r="G462" s="1528"/>
      <c r="H462" s="904" t="str">
        <f>EUconst_tCO2pTJ</f>
        <v>t CO2 / TJ</v>
      </c>
      <c r="I462" s="1071"/>
      <c r="J462" s="1071"/>
      <c r="K462" s="1071"/>
      <c r="L462" s="1071"/>
      <c r="M462" s="1071"/>
      <c r="N462" s="195"/>
      <c r="O462" s="8"/>
      <c r="P462" s="218" t="str">
        <f>EUconst_CNTR_HeatExportEF &amp; I398</f>
        <v>HeatExEF_Fuel benchmark sub-installation, non-CL</v>
      </c>
      <c r="R462" s="444"/>
    </row>
    <row r="463" spans="2:23" ht="12.75" customHeight="1" thickBot="1" x14ac:dyDescent="0.3">
      <c r="B463" s="8"/>
      <c r="C463" s="905"/>
      <c r="D463" s="161"/>
      <c r="E463" s="161"/>
      <c r="F463" s="161"/>
      <c r="G463" s="161"/>
      <c r="H463" s="161"/>
      <c r="I463" s="161"/>
      <c r="J463" s="161"/>
      <c r="K463" s="161"/>
      <c r="L463" s="161"/>
      <c r="M463" s="161"/>
      <c r="N463" s="162"/>
      <c r="O463" s="8"/>
      <c r="P463" s="9"/>
      <c r="R463" s="9"/>
    </row>
    <row r="464" spans="2:23" ht="25.5" customHeight="1" thickBot="1" x14ac:dyDescent="0.3">
      <c r="B464" s="17"/>
      <c r="C464" s="17"/>
      <c r="D464" s="17"/>
      <c r="E464" s="17"/>
      <c r="F464" s="17"/>
      <c r="G464" s="17"/>
      <c r="H464" s="17"/>
      <c r="I464" s="17"/>
      <c r="J464" s="17"/>
      <c r="K464" s="17"/>
      <c r="L464" s="17"/>
      <c r="M464" s="17"/>
      <c r="N464" s="17"/>
      <c r="O464" s="8"/>
    </row>
    <row r="465" spans="2:29" ht="12.75" customHeight="1" thickBot="1" x14ac:dyDescent="0.3">
      <c r="B465" s="8"/>
      <c r="C465" s="906"/>
      <c r="D465" s="906"/>
      <c r="E465" s="906"/>
      <c r="F465" s="906"/>
      <c r="G465" s="906"/>
      <c r="H465" s="906"/>
      <c r="I465" s="906"/>
      <c r="J465" s="906"/>
      <c r="K465" s="906"/>
      <c r="L465" s="906"/>
      <c r="M465" s="906"/>
      <c r="N465" s="906"/>
      <c r="O465" s="8"/>
    </row>
    <row r="466" spans="2:29" ht="15.75" customHeight="1" thickBot="1" x14ac:dyDescent="0.3">
      <c r="B466" s="8"/>
      <c r="C466" s="19">
        <v>6</v>
      </c>
      <c r="D466" s="1234" t="str">
        <f>EUconst_FBSubinst &amp; ":"</f>
        <v>Fall-Back sub-installation:</v>
      </c>
      <c r="E466" s="1176"/>
      <c r="F466" s="1176"/>
      <c r="G466" s="1176"/>
      <c r="H466" s="1260"/>
      <c r="I466" s="1550" t="str">
        <f>INDEX(EUconst_FallBackListNames,$C466)</f>
        <v>Process emissions sub-installation, CL</v>
      </c>
      <c r="J466" s="1509"/>
      <c r="K466" s="1509"/>
      <c r="L466" s="1551"/>
      <c r="M466" s="1608" t="str">
        <f>IF(ISBLANK(INDEX(CNTR_FallBackSubInstRelevant,C466)),"",IF(INDEX(CNTR_FallBackSubInstRelevant,C466),EUconst_Relevant,EUconst_NotRelevant))</f>
        <v/>
      </c>
      <c r="N466" s="1609"/>
      <c r="O466" s="8"/>
      <c r="P466" s="219">
        <f>C466</f>
        <v>6</v>
      </c>
      <c r="Q466" s="124" t="s">
        <v>296</v>
      </c>
      <c r="R466" s="354" t="str">
        <f>IF(M466&lt;&gt;EUconst_Relevant,"",INDEX(CNTR_SubInstStartDate,MATCH($I466,CNTR_SubInstListNames,0)))</f>
        <v/>
      </c>
      <c r="S466" s="352" t="b">
        <f>IF($M466&lt;&gt;EUconst_Relevant,FALSE,AND(I$562, IF($R466&lt;DATE($L$559,1,1),YEAR($R466)&lt;=I$559,YEAR($R466-1)&lt;I$559) ) )</f>
        <v>0</v>
      </c>
      <c r="T466" s="352" t="b">
        <f>IF($M466&lt;&gt;EUconst_Relevant,FALSE,AND(J$562, IF($R466&lt;DATE($L$559,1,1),YEAR($R466)&lt;=J$559,YEAR($R466-1)&lt;J$559) ) )</f>
        <v>0</v>
      </c>
      <c r="U466" s="352" t="b">
        <f>IF($M466&lt;&gt;EUconst_Relevant,FALSE,AND(K$562, IF($R466&lt;DATE($L$559,1,1),YEAR($R466)&lt;=K$559,YEAR($R466-1)&lt;K$559) ) )</f>
        <v>0</v>
      </c>
      <c r="V466" s="352" t="b">
        <f>IF($M466&lt;&gt;EUconst_Relevant,FALSE,AND(L$562, IF($R466&lt;DATE($L$559,1,1),YEAR($R466)&lt;=L$559,YEAR($R466-1)&lt;L$559) ) )</f>
        <v>0</v>
      </c>
      <c r="W466" s="352" t="b">
        <f>IF($M466&lt;&gt;EUconst_Relevant,FALSE,AND(M$562, IF($R466&lt;DATE($L$559,1,1),YEAR($R466)&lt;=M$559,YEAR($R466-1)&lt;M$559) ) )</f>
        <v>0</v>
      </c>
      <c r="X466" s="9"/>
      <c r="AB466" s="288" t="s">
        <v>390</v>
      </c>
      <c r="AC466" s="410" t="b">
        <f>AND(CNTR_ExistSubInstEntries,M466=EUconst_NotRelevant)</f>
        <v>0</v>
      </c>
    </row>
    <row r="467" spans="2:29" ht="12.75" customHeight="1" x14ac:dyDescent="0.25">
      <c r="B467" s="17"/>
      <c r="C467" s="17"/>
      <c r="D467" s="17"/>
      <c r="E467" s="17"/>
      <c r="F467" s="17"/>
      <c r="G467" s="17"/>
      <c r="H467" s="80"/>
      <c r="I467" s="1602" t="str">
        <f>IF(M466="","",IF(M466=EUconst_Relevant,HYPERLINK("",EUconst_MsgEnterThisSection),HYPERLINK(Q467,EUconst_MsgGoToNextSubInst)))</f>
        <v/>
      </c>
      <c r="J467" s="1603"/>
      <c r="K467" s="1603"/>
      <c r="L467" s="1603"/>
      <c r="M467" s="1604"/>
      <c r="N467" s="1605"/>
      <c r="O467" s="8"/>
      <c r="P467" s="145" t="s">
        <v>334</v>
      </c>
      <c r="Q467" s="877" t="str">
        <f>"#JUMP_G"&amp;P466+1</f>
        <v>#JUMP_G7</v>
      </c>
    </row>
    <row r="468" spans="2:29" ht="5.0999999999999996" customHeight="1" x14ac:dyDescent="0.25">
      <c r="B468" s="8"/>
      <c r="C468" s="8"/>
      <c r="D468" s="8"/>
      <c r="E468" s="8"/>
      <c r="F468" s="8"/>
      <c r="G468" s="8"/>
      <c r="H468" s="8"/>
      <c r="I468" s="8"/>
      <c r="J468" s="8"/>
      <c r="K468" s="8"/>
      <c r="L468" s="8"/>
      <c r="M468" s="8"/>
      <c r="N468" s="8"/>
      <c r="O468" s="8"/>
      <c r="P468" s="9"/>
    </row>
    <row r="469" spans="2:29" ht="12.75" customHeight="1" x14ac:dyDescent="0.25">
      <c r="B469" s="17"/>
      <c r="C469" s="17"/>
      <c r="D469" s="17"/>
      <c r="E469" s="1413" t="str">
        <f>CONCATENATE(EUconst_MsgSeeFirst," (G.I.1)")</f>
        <v>Detailed instructions for data entries in this tool can be found at the first copy of this tool.  (G.I.1)</v>
      </c>
      <c r="F469" s="1413"/>
      <c r="G469" s="1413"/>
      <c r="H469" s="1413"/>
      <c r="I469" s="1413"/>
      <c r="J469" s="1413"/>
      <c r="K469" s="1413"/>
      <c r="L469" s="1413"/>
      <c r="M469" s="1413"/>
      <c r="N469" s="1413"/>
      <c r="O469" s="8"/>
    </row>
    <row r="470" spans="2:29" ht="5.0999999999999996" customHeight="1" x14ac:dyDescent="0.25">
      <c r="B470" s="8"/>
      <c r="C470" s="8"/>
      <c r="D470" s="8"/>
      <c r="E470" s="8"/>
      <c r="F470" s="8"/>
      <c r="G470" s="8"/>
      <c r="H470" s="8"/>
      <c r="I470" s="8"/>
      <c r="J470" s="8"/>
      <c r="K470" s="8"/>
      <c r="L470" s="8"/>
      <c r="M470" s="8"/>
      <c r="N470" s="8"/>
      <c r="O470" s="8"/>
      <c r="P470" s="9"/>
    </row>
    <row r="471" spans="2:29" ht="12.75" customHeight="1" thickBot="1" x14ac:dyDescent="0.3">
      <c r="B471" s="8"/>
      <c r="C471" s="15"/>
      <c r="D471" s="15" t="s">
        <v>190</v>
      </c>
      <c r="E471" s="1165" t="str">
        <f>Translations!$B$670</f>
        <v>Historic activity levels</v>
      </c>
      <c r="F471" s="1176"/>
      <c r="G471" s="1176"/>
      <c r="H471" s="1176"/>
      <c r="I471" s="1176"/>
      <c r="J471" s="1176"/>
      <c r="K471" s="1176"/>
      <c r="L471" s="1176"/>
      <c r="M471" s="1176"/>
      <c r="N471" s="1176"/>
      <c r="O471" s="8"/>
      <c r="P471" s="9"/>
      <c r="Q471" s="9"/>
      <c r="R471" s="9"/>
      <c r="S471" s="9"/>
      <c r="T471" s="9"/>
      <c r="U471" s="9"/>
      <c r="V471" s="9"/>
      <c r="W471" s="9"/>
      <c r="X471" s="9"/>
    </row>
    <row r="472" spans="2:29" ht="12.75" customHeight="1" thickBot="1" x14ac:dyDescent="0.3">
      <c r="B472" s="8"/>
      <c r="C472" s="17"/>
      <c r="D472" s="17"/>
      <c r="E472" s="1432" t="str">
        <f>Translations!$B$897</f>
        <v>Values entered here should include eligible emissions from any waste gases as determined in section D.IV.</v>
      </c>
      <c r="F472" s="1432"/>
      <c r="G472" s="1432"/>
      <c r="H472" s="1432"/>
      <c r="I472" s="1432"/>
      <c r="J472" s="1432"/>
      <c r="K472" s="1432"/>
      <c r="L472" s="1432"/>
      <c r="M472" s="1432"/>
      <c r="N472" s="1432"/>
      <c r="O472" s="8"/>
      <c r="P472" s="9"/>
      <c r="Q472" s="147" t="s">
        <v>395</v>
      </c>
      <c r="R472" s="459" t="s">
        <v>465</v>
      </c>
      <c r="S472" s="879"/>
      <c r="T472" s="879"/>
      <c r="U472" s="879"/>
      <c r="V472" s="879"/>
      <c r="W472" s="879"/>
      <c r="X472" s="387"/>
    </row>
    <row r="473" spans="2:29" ht="12.75" customHeight="1" thickBot="1" x14ac:dyDescent="0.3">
      <c r="B473" s="17"/>
      <c r="C473" s="15"/>
      <c r="D473" s="15"/>
      <c r="E473" s="1259" t="str">
        <f>Translations!$B$829</f>
        <v>Main activity level:</v>
      </c>
      <c r="F473" s="1212"/>
      <c r="G473" s="1212"/>
      <c r="H473" s="23" t="str">
        <f>EUconst_Unit</f>
        <v>Unit</v>
      </c>
      <c r="I473" s="128">
        <f>I$559</f>
        <v>2019</v>
      </c>
      <c r="J473" s="128">
        <f>J$559</f>
        <v>2020</v>
      </c>
      <c r="K473" s="128">
        <f>K$559</f>
        <v>2021</v>
      </c>
      <c r="L473" s="128">
        <f>L$559</f>
        <v>2022</v>
      </c>
      <c r="M473" s="128">
        <f>M$559</f>
        <v>2023</v>
      </c>
      <c r="N473" s="376" t="str">
        <f>IF(M466&lt;&gt;EUconst_Relevant,"",IF(Z474,YEAR(R466)+1,""))</f>
        <v/>
      </c>
      <c r="O473" s="8"/>
      <c r="P473" s="392" t="s">
        <v>397</v>
      </c>
      <c r="Q473" s="582"/>
      <c r="R473" s="59" t="s">
        <v>399</v>
      </c>
      <c r="S473" s="880">
        <f>I473</f>
        <v>2019</v>
      </c>
      <c r="T473" s="63">
        <f>J473</f>
        <v>2020</v>
      </c>
      <c r="U473" s="63">
        <f>K473</f>
        <v>2021</v>
      </c>
      <c r="V473" s="63">
        <f>L473</f>
        <v>2022</v>
      </c>
      <c r="W473" s="63">
        <f>M473</f>
        <v>2023</v>
      </c>
      <c r="X473" s="803"/>
      <c r="AA473" s="398" t="b">
        <f>IF(CNTR_ExistSubInstEntries,IF(M466=EUconst_Relevant,NOT(Z474),TRUE),FALSE)</f>
        <v>0</v>
      </c>
      <c r="AC473" s="145" t="s">
        <v>330</v>
      </c>
    </row>
    <row r="474" spans="2:29" ht="12.75" customHeight="1" thickBot="1" x14ac:dyDescent="0.3">
      <c r="B474" s="17"/>
      <c r="C474" s="17"/>
      <c r="D474" s="17"/>
      <c r="E474" s="1560" t="str">
        <f>I466</f>
        <v>Process emissions sub-installation, CL</v>
      </c>
      <c r="F474" s="1560"/>
      <c r="G474" s="1560"/>
      <c r="H474" s="820" t="str">
        <f>INDEX(EUconst_FallBackListUnits,MATCH(E474,EUconst_FallBackListNames,0))</f>
        <v>t CO2e</v>
      </c>
      <c r="I474" s="231"/>
      <c r="J474" s="231"/>
      <c r="K474" s="231"/>
      <c r="L474" s="231"/>
      <c r="M474" s="231"/>
      <c r="N474" s="397"/>
      <c r="O474" s="8"/>
      <c r="P474" s="58" t="str">
        <f>EUconst_CNTR_HAL&amp;E474</f>
        <v>HAL_Process emissions sub-installation, CL</v>
      </c>
      <c r="Q474" s="286"/>
      <c r="R474" s="57" t="str">
        <f>IF(COUNT(S474:W474)&gt;0,AVERAGE(S474:W474),"")</f>
        <v/>
      </c>
      <c r="S474" s="882" t="str">
        <f>IF(S466,IF(ISNUMBER(I474),I474,0),"")</f>
        <v/>
      </c>
      <c r="T474" s="389" t="str">
        <f>IF(T466,IF(ISNUMBER(J474),J474,0),"")</f>
        <v/>
      </c>
      <c r="U474" s="389" t="str">
        <f>IF(U466,IF(ISNUMBER(K474),K474,0),"")</f>
        <v/>
      </c>
      <c r="V474" s="389" t="str">
        <f>IF(V466,IF(ISNUMBER(L474),L474,0),"")</f>
        <v/>
      </c>
      <c r="W474" s="389" t="str">
        <f>IF(W466,IF(ISNUMBER(M474),M474,0),"")</f>
        <v/>
      </c>
      <c r="X474" s="390"/>
      <c r="Y474" s="124" t="s">
        <v>304</v>
      </c>
      <c r="Z474" s="392" t="b">
        <f>IF(M466&lt;&gt;EUconst_Relevant,FALSE,INDEX(CNTR_SubInstLess1Year,MATCH(I466,CNTR_SubInstListNames,0)))</f>
        <v>0</v>
      </c>
      <c r="AA474" s="399" t="b">
        <f>AA473</f>
        <v>0</v>
      </c>
      <c r="AC474" s="410" t="b">
        <f>IF(CNTR_ExistSubInstEntries,IF(M466=EUconst_Relevant,INDEX(CNTR_SubInstLess1Year,MATCH(I466,CNTR_SubInstListNames,0)),TRUE),FALSE)</f>
        <v>0</v>
      </c>
    </row>
    <row r="475" spans="2:29" ht="12.75" customHeight="1" x14ac:dyDescent="0.25">
      <c r="B475" s="17"/>
      <c r="C475" s="8"/>
      <c r="D475" s="8"/>
      <c r="E475" s="8"/>
      <c r="F475" s="8"/>
      <c r="G475" s="8"/>
      <c r="H475" s="8"/>
      <c r="I475" s="8"/>
      <c r="J475" s="8"/>
      <c r="K475" s="8"/>
      <c r="L475" s="8"/>
      <c r="M475" s="8"/>
      <c r="N475" s="8"/>
      <c r="O475" s="8"/>
    </row>
    <row r="476" spans="2:29" ht="13.8" x14ac:dyDescent="0.25">
      <c r="B476" s="17"/>
      <c r="C476" s="20"/>
      <c r="D476" s="1234" t="str">
        <f>Translations!$B$700</f>
        <v>Production details</v>
      </c>
      <c r="E476" s="1176"/>
      <c r="F476" s="1176"/>
      <c r="G476" s="1176"/>
      <c r="H476" s="1176"/>
      <c r="I476" s="1176"/>
      <c r="J476" s="1176"/>
      <c r="K476" s="1176"/>
      <c r="L476" s="1176"/>
      <c r="M476" s="1176"/>
      <c r="N476" s="1176"/>
      <c r="O476" s="8"/>
      <c r="Y476" s="9"/>
      <c r="Z476" s="9"/>
      <c r="AA476" s="9"/>
      <c r="AB476" s="9"/>
    </row>
    <row r="477" spans="2:29" ht="5.0999999999999996" customHeight="1" x14ac:dyDescent="0.25">
      <c r="B477" s="8"/>
      <c r="C477" s="8"/>
      <c r="D477" s="8"/>
      <c r="E477" s="8"/>
      <c r="F477" s="8"/>
      <c r="G477" s="8"/>
      <c r="H477" s="8"/>
      <c r="I477" s="8"/>
      <c r="J477" s="8"/>
      <c r="K477" s="8"/>
      <c r="L477" s="8"/>
      <c r="M477" s="8"/>
      <c r="N477" s="8"/>
      <c r="O477" s="8"/>
      <c r="P477" s="9"/>
      <c r="Q477" s="9"/>
    </row>
    <row r="478" spans="2:29" x14ac:dyDescent="0.25">
      <c r="B478" s="8"/>
      <c r="C478" s="15"/>
      <c r="D478" s="15" t="s">
        <v>192</v>
      </c>
      <c r="E478" s="1165" t="str">
        <f>Translations!$B$830</f>
        <v>Identification of relevant products or services associated with this sub-installation</v>
      </c>
      <c r="F478" s="1176"/>
      <c r="G478" s="1176"/>
      <c r="H478" s="1176"/>
      <c r="I478" s="1176"/>
      <c r="J478" s="1176"/>
      <c r="K478" s="1176"/>
      <c r="L478" s="1176"/>
      <c r="M478" s="1176"/>
      <c r="N478" s="1176"/>
      <c r="O478" s="8"/>
      <c r="P478" s="9"/>
    </row>
    <row r="479" spans="2:29" x14ac:dyDescent="0.25">
      <c r="B479" s="8"/>
      <c r="C479" s="8"/>
      <c r="D479" s="17"/>
      <c r="E479" s="1223" t="str">
        <f>Translations!$B$898</f>
        <v>This type of sub-installation always relates to production of goods not covered by product benchmarks within the installation.</v>
      </c>
      <c r="F479" s="1176"/>
      <c r="G479" s="1176"/>
      <c r="H479" s="1176"/>
      <c r="I479" s="1176"/>
      <c r="J479" s="1176"/>
      <c r="K479" s="1176"/>
      <c r="L479" s="1176"/>
      <c r="M479" s="1176"/>
      <c r="N479" s="1176"/>
      <c r="O479" s="8"/>
      <c r="P479" s="9"/>
      <c r="Q479" s="9"/>
      <c r="R479" s="9"/>
      <c r="S479" s="9"/>
      <c r="T479" s="9"/>
      <c r="U479" s="9"/>
      <c r="V479" s="9"/>
      <c r="W479" s="9"/>
      <c r="X479" s="9"/>
    </row>
    <row r="480" spans="2:29" ht="5.0999999999999996" customHeight="1" x14ac:dyDescent="0.25">
      <c r="B480" s="8"/>
      <c r="C480" s="8"/>
      <c r="D480" s="8"/>
      <c r="E480" s="8"/>
      <c r="F480" s="8"/>
      <c r="G480" s="8"/>
      <c r="H480" s="8"/>
      <c r="I480" s="8"/>
      <c r="J480" s="8"/>
      <c r="K480" s="8"/>
      <c r="L480" s="8"/>
      <c r="M480" s="8"/>
      <c r="N480" s="8"/>
      <c r="O480" s="8"/>
      <c r="P480" s="9"/>
      <c r="Q480" s="9"/>
    </row>
    <row r="481" spans="2:29" ht="25.5" customHeight="1" thickBot="1" x14ac:dyDescent="0.3">
      <c r="B481" s="17"/>
      <c r="C481" s="17"/>
      <c r="D481" s="26"/>
      <c r="E481" s="82" t="str">
        <f>Translations!$B$899</f>
        <v>Process emission type</v>
      </c>
      <c r="F481" s="22"/>
      <c r="G481" s="83"/>
      <c r="H481" s="1615" t="str">
        <f>Translations!$B$886</f>
        <v>Product name or service type</v>
      </c>
      <c r="I481" s="1208"/>
      <c r="J481" s="1208"/>
      <c r="K481" s="1208"/>
      <c r="L481" s="1433"/>
      <c r="M481" s="129" t="s">
        <v>468</v>
      </c>
      <c r="N481" s="17"/>
      <c r="O481" s="8"/>
      <c r="R481" s="9"/>
      <c r="S481" s="412">
        <f>I473</f>
        <v>2019</v>
      </c>
      <c r="T481" s="412">
        <f>J473</f>
        <v>2020</v>
      </c>
      <c r="U481" s="412">
        <f>K473</f>
        <v>2021</v>
      </c>
      <c r="V481" s="412">
        <f>L473</f>
        <v>2022</v>
      </c>
      <c r="W481" s="412">
        <f>M473</f>
        <v>2023</v>
      </c>
    </row>
    <row r="482" spans="2:29" ht="13.8" thickBot="1" x14ac:dyDescent="0.3">
      <c r="B482" s="17"/>
      <c r="C482" s="17"/>
      <c r="D482" s="222">
        <v>1</v>
      </c>
      <c r="E482" s="1558"/>
      <c r="F482" s="1601"/>
      <c r="G482" s="1559"/>
      <c r="H482" s="1246"/>
      <c r="I482" s="1645"/>
      <c r="J482" s="1645"/>
      <c r="K482" s="1645"/>
      <c r="L482" s="1646"/>
      <c r="M482" s="885"/>
      <c r="N482" s="17"/>
      <c r="O482" s="8"/>
      <c r="R482" s="374" t="str">
        <f>EUconst_CNTR_AttributedEmissions &amp;I466</f>
        <v>AttrEmissions_Process emissions sub-installation, CL</v>
      </c>
      <c r="S482" s="63" t="str">
        <f>IF(S466,SUM(I474),"")</f>
        <v/>
      </c>
      <c r="T482" s="63" t="str">
        <f>IF(T466,SUM(J474),"")</f>
        <v/>
      </c>
      <c r="U482" s="63" t="str">
        <f>IF(U466,SUM(K474),"")</f>
        <v/>
      </c>
      <c r="V482" s="63" t="str">
        <f>IF(V466,SUM(L474),"")</f>
        <v/>
      </c>
      <c r="W482" s="63" t="str">
        <f>IF(W466,SUM(M474),"")</f>
        <v/>
      </c>
      <c r="AC482" s="410" t="b">
        <f>IF(CNTR_ExistSubInstEntries,M466=EUconst_NotRelevant)</f>
        <v>0</v>
      </c>
    </row>
    <row r="483" spans="2:29" x14ac:dyDescent="0.25">
      <c r="B483" s="17"/>
      <c r="C483" s="17"/>
      <c r="D483" s="225">
        <f>D482+1</f>
        <v>2</v>
      </c>
      <c r="E483" s="1542"/>
      <c r="F483" s="1598"/>
      <c r="G483" s="1543"/>
      <c r="H483" s="1242"/>
      <c r="I483" s="1599"/>
      <c r="J483" s="1599"/>
      <c r="K483" s="1599"/>
      <c r="L483" s="1600"/>
      <c r="M483" s="886"/>
      <c r="N483" s="17"/>
      <c r="O483" s="8"/>
    </row>
    <row r="484" spans="2:29" x14ac:dyDescent="0.25">
      <c r="B484" s="17"/>
      <c r="C484" s="17"/>
      <c r="D484" s="225">
        <f t="shared" ref="D484:D491" si="16">D483+1</f>
        <v>3</v>
      </c>
      <c r="E484" s="1542"/>
      <c r="F484" s="1598"/>
      <c r="G484" s="1543"/>
      <c r="H484" s="1242"/>
      <c r="I484" s="1599"/>
      <c r="J484" s="1599"/>
      <c r="K484" s="1599"/>
      <c r="L484" s="1600"/>
      <c r="M484" s="886"/>
      <c r="N484" s="17"/>
      <c r="O484" s="8"/>
    </row>
    <row r="485" spans="2:29" x14ac:dyDescent="0.25">
      <c r="B485" s="17"/>
      <c r="C485" s="17"/>
      <c r="D485" s="225">
        <f t="shared" si="16"/>
        <v>4</v>
      </c>
      <c r="E485" s="1542"/>
      <c r="F485" s="1598"/>
      <c r="G485" s="1543"/>
      <c r="H485" s="1242"/>
      <c r="I485" s="1599"/>
      <c r="J485" s="1599"/>
      <c r="K485" s="1599"/>
      <c r="L485" s="1600"/>
      <c r="M485" s="886"/>
      <c r="N485" s="17"/>
      <c r="O485" s="8"/>
    </row>
    <row r="486" spans="2:29" x14ac:dyDescent="0.25">
      <c r="B486" s="17"/>
      <c r="C486" s="17"/>
      <c r="D486" s="225">
        <f t="shared" si="16"/>
        <v>5</v>
      </c>
      <c r="E486" s="1542"/>
      <c r="F486" s="1598"/>
      <c r="G486" s="1543"/>
      <c r="H486" s="1242"/>
      <c r="I486" s="1599"/>
      <c r="J486" s="1599"/>
      <c r="K486" s="1599"/>
      <c r="L486" s="1600"/>
      <c r="M486" s="886"/>
      <c r="N486" s="17"/>
      <c r="O486" s="8"/>
    </row>
    <row r="487" spans="2:29" x14ac:dyDescent="0.25">
      <c r="B487" s="17"/>
      <c r="C487" s="17"/>
      <c r="D487" s="225">
        <f t="shared" si="16"/>
        <v>6</v>
      </c>
      <c r="E487" s="1542"/>
      <c r="F487" s="1598"/>
      <c r="G487" s="1543"/>
      <c r="H487" s="1242"/>
      <c r="I487" s="1599"/>
      <c r="J487" s="1599"/>
      <c r="K487" s="1599"/>
      <c r="L487" s="1600"/>
      <c r="M487" s="886"/>
      <c r="N487" s="17"/>
      <c r="O487" s="8"/>
    </row>
    <row r="488" spans="2:29" x14ac:dyDescent="0.25">
      <c r="B488" s="17"/>
      <c r="C488" s="17"/>
      <c r="D488" s="225">
        <f t="shared" si="16"/>
        <v>7</v>
      </c>
      <c r="E488" s="1542"/>
      <c r="F488" s="1598"/>
      <c r="G488" s="1543"/>
      <c r="H488" s="1242"/>
      <c r="I488" s="1599"/>
      <c r="J488" s="1599"/>
      <c r="K488" s="1599"/>
      <c r="L488" s="1600"/>
      <c r="M488" s="886"/>
      <c r="N488" s="17"/>
      <c r="O488" s="8"/>
    </row>
    <row r="489" spans="2:29" x14ac:dyDescent="0.25">
      <c r="B489" s="17"/>
      <c r="C489" s="17"/>
      <c r="D489" s="225">
        <f t="shared" si="16"/>
        <v>8</v>
      </c>
      <c r="E489" s="1542"/>
      <c r="F489" s="1598"/>
      <c r="G489" s="1543"/>
      <c r="H489" s="1242"/>
      <c r="I489" s="1599"/>
      <c r="J489" s="1599"/>
      <c r="K489" s="1599"/>
      <c r="L489" s="1600"/>
      <c r="M489" s="886"/>
      <c r="N489" s="17"/>
      <c r="O489" s="8"/>
    </row>
    <row r="490" spans="2:29" x14ac:dyDescent="0.25">
      <c r="B490" s="17"/>
      <c r="C490" s="17"/>
      <c r="D490" s="225">
        <f t="shared" si="16"/>
        <v>9</v>
      </c>
      <c r="E490" s="1542"/>
      <c r="F490" s="1598"/>
      <c r="G490" s="1543"/>
      <c r="H490" s="1242"/>
      <c r="I490" s="1599"/>
      <c r="J490" s="1599"/>
      <c r="K490" s="1599"/>
      <c r="L490" s="1600"/>
      <c r="M490" s="886"/>
      <c r="N490" s="17"/>
      <c r="O490" s="8"/>
    </row>
    <row r="491" spans="2:29" x14ac:dyDescent="0.25">
      <c r="B491" s="17"/>
      <c r="C491" s="17"/>
      <c r="D491" s="227">
        <f t="shared" si="16"/>
        <v>10</v>
      </c>
      <c r="E491" s="1544"/>
      <c r="F491" s="1644"/>
      <c r="G491" s="1545"/>
      <c r="H491" s="1244"/>
      <c r="I491" s="1613"/>
      <c r="J491" s="1613"/>
      <c r="K491" s="1613"/>
      <c r="L491" s="1614"/>
      <c r="M491" s="887"/>
      <c r="N491" s="17"/>
      <c r="O491" s="8"/>
    </row>
    <row r="492" spans="2:29" ht="5.0999999999999996" customHeight="1" x14ac:dyDescent="0.25">
      <c r="B492" s="8"/>
      <c r="C492" s="17"/>
      <c r="D492" s="17"/>
      <c r="E492" s="884"/>
      <c r="F492" s="884"/>
      <c r="G492" s="884"/>
      <c r="H492" s="884"/>
      <c r="I492" s="884"/>
      <c r="J492" s="77"/>
      <c r="K492" s="77"/>
      <c r="L492" s="77"/>
      <c r="M492" s="8"/>
      <c r="N492" s="8"/>
      <c r="O492" s="8"/>
      <c r="P492" s="9"/>
    </row>
    <row r="493" spans="2:29" ht="12.75" customHeight="1" x14ac:dyDescent="0.25">
      <c r="B493" s="8"/>
      <c r="C493" s="15"/>
      <c r="D493" s="15" t="s">
        <v>195</v>
      </c>
      <c r="E493" s="1165" t="str">
        <f>Translations!$B$840</f>
        <v>Production levels:</v>
      </c>
      <c r="F493" s="1176"/>
      <c r="G493" s="1176"/>
      <c r="H493" s="1176"/>
      <c r="I493" s="1176"/>
      <c r="J493" s="1176"/>
      <c r="K493" s="1176"/>
      <c r="L493" s="1176"/>
      <c r="M493" s="1176"/>
      <c r="N493" s="1176"/>
      <c r="O493" s="8"/>
      <c r="P493" s="9"/>
    </row>
    <row r="494" spans="2:29" ht="5.0999999999999996" customHeight="1" x14ac:dyDescent="0.25">
      <c r="B494" s="8"/>
      <c r="C494" s="8"/>
      <c r="D494" s="8"/>
      <c r="E494" s="8"/>
      <c r="F494" s="8"/>
      <c r="G494" s="8"/>
      <c r="H494" s="8"/>
      <c r="I494" s="8"/>
      <c r="J494" s="8"/>
      <c r="K494" s="8"/>
      <c r="L494" s="8"/>
      <c r="M494" s="8"/>
      <c r="N494" s="8"/>
      <c r="O494" s="8"/>
      <c r="P494" s="9"/>
      <c r="Q494" s="9"/>
    </row>
    <row r="495" spans="2:29" x14ac:dyDescent="0.25">
      <c r="B495" s="17"/>
      <c r="C495" s="15"/>
      <c r="D495" s="26"/>
      <c r="E495" s="1616" t="str">
        <f>Translations!$B$886</f>
        <v>Product name or service type</v>
      </c>
      <c r="F495" s="1212"/>
      <c r="G495" s="1402"/>
      <c r="H495" s="23" t="str">
        <f>EUconst_Unit</f>
        <v>Unit</v>
      </c>
      <c r="I495" s="128">
        <f>I$559</f>
        <v>2019</v>
      </c>
      <c r="J495" s="128">
        <f>J$559</f>
        <v>2020</v>
      </c>
      <c r="K495" s="128">
        <f>K$559</f>
        <v>2021</v>
      </c>
      <c r="L495" s="128">
        <f>L$559</f>
        <v>2022</v>
      </c>
      <c r="M495" s="144">
        <f>M$559</f>
        <v>2023</v>
      </c>
      <c r="N495" s="8"/>
      <c r="O495" s="8"/>
    </row>
    <row r="496" spans="2:29" ht="12.75" customHeight="1" x14ac:dyDescent="0.25">
      <c r="B496" s="17"/>
      <c r="C496" s="80"/>
      <c r="D496" s="222">
        <v>1</v>
      </c>
      <c r="E496" s="1595" t="str">
        <f t="shared" ref="E496:E505" si="17">IF(ISBLANK(H482),"",H482)</f>
        <v/>
      </c>
      <c r="F496" s="1596"/>
      <c r="G496" s="1597"/>
      <c r="H496" s="888"/>
      <c r="I496" s="889"/>
      <c r="J496" s="889"/>
      <c r="K496" s="889"/>
      <c r="L496" s="889"/>
      <c r="M496" s="890"/>
      <c r="N496" s="8"/>
      <c r="O496" s="8"/>
    </row>
    <row r="497" spans="2:29" ht="12.75" customHeight="1" x14ac:dyDescent="0.25">
      <c r="B497" s="17"/>
      <c r="C497" s="80"/>
      <c r="D497" s="225">
        <f>D496+1</f>
        <v>2</v>
      </c>
      <c r="E497" s="1591" t="str">
        <f t="shared" si="17"/>
        <v/>
      </c>
      <c r="F497" s="1335"/>
      <c r="G497" s="1592"/>
      <c r="H497" s="891"/>
      <c r="I497" s="892"/>
      <c r="J497" s="892"/>
      <c r="K497" s="892"/>
      <c r="L497" s="892"/>
      <c r="M497" s="893"/>
      <c r="N497" s="8"/>
      <c r="O497" s="8"/>
    </row>
    <row r="498" spans="2:29" ht="12.75" customHeight="1" x14ac:dyDescent="0.25">
      <c r="B498" s="17"/>
      <c r="C498" s="80"/>
      <c r="D498" s="225">
        <f t="shared" ref="D498:D505" si="18">D497+1</f>
        <v>3</v>
      </c>
      <c r="E498" s="1591" t="str">
        <f t="shared" si="17"/>
        <v/>
      </c>
      <c r="F498" s="1335"/>
      <c r="G498" s="1592"/>
      <c r="H498" s="891"/>
      <c r="I498" s="892"/>
      <c r="J498" s="892"/>
      <c r="K498" s="892"/>
      <c r="L498" s="892"/>
      <c r="M498" s="893"/>
      <c r="N498" s="8"/>
      <c r="O498" s="8"/>
    </row>
    <row r="499" spans="2:29" ht="12.75" customHeight="1" x14ac:dyDescent="0.25">
      <c r="B499" s="17"/>
      <c r="C499" s="80"/>
      <c r="D499" s="225">
        <f t="shared" si="18"/>
        <v>4</v>
      </c>
      <c r="E499" s="1591" t="str">
        <f t="shared" si="17"/>
        <v/>
      </c>
      <c r="F499" s="1335"/>
      <c r="G499" s="1592"/>
      <c r="H499" s="891"/>
      <c r="I499" s="892"/>
      <c r="J499" s="892"/>
      <c r="K499" s="892"/>
      <c r="L499" s="892"/>
      <c r="M499" s="893"/>
      <c r="N499" s="8"/>
      <c r="O499" s="8"/>
    </row>
    <row r="500" spans="2:29" ht="12.75" customHeight="1" x14ac:dyDescent="0.25">
      <c r="B500" s="17"/>
      <c r="C500" s="80"/>
      <c r="D500" s="225">
        <f t="shared" si="18"/>
        <v>5</v>
      </c>
      <c r="E500" s="1591" t="str">
        <f t="shared" si="17"/>
        <v/>
      </c>
      <c r="F500" s="1335"/>
      <c r="G500" s="1592"/>
      <c r="H500" s="891"/>
      <c r="I500" s="892"/>
      <c r="J500" s="892"/>
      <c r="K500" s="892"/>
      <c r="L500" s="892"/>
      <c r="M500" s="893"/>
      <c r="N500" s="8"/>
      <c r="O500" s="8"/>
    </row>
    <row r="501" spans="2:29" ht="12.75" customHeight="1" x14ac:dyDescent="0.25">
      <c r="B501" s="17"/>
      <c r="C501" s="80"/>
      <c r="D501" s="225">
        <f t="shared" si="18"/>
        <v>6</v>
      </c>
      <c r="E501" s="1591" t="str">
        <f t="shared" si="17"/>
        <v/>
      </c>
      <c r="F501" s="1335"/>
      <c r="G501" s="1592"/>
      <c r="H501" s="891"/>
      <c r="I501" s="892"/>
      <c r="J501" s="892"/>
      <c r="K501" s="892"/>
      <c r="L501" s="892"/>
      <c r="M501" s="893"/>
      <c r="N501" s="8"/>
      <c r="O501" s="8"/>
    </row>
    <row r="502" spans="2:29" ht="12.75" customHeight="1" x14ac:dyDescent="0.25">
      <c r="B502" s="17"/>
      <c r="C502" s="80"/>
      <c r="D502" s="225">
        <f t="shared" si="18"/>
        <v>7</v>
      </c>
      <c r="E502" s="1591" t="str">
        <f t="shared" si="17"/>
        <v/>
      </c>
      <c r="F502" s="1335"/>
      <c r="G502" s="1592"/>
      <c r="H502" s="891"/>
      <c r="I502" s="892"/>
      <c r="J502" s="892"/>
      <c r="K502" s="892"/>
      <c r="L502" s="892"/>
      <c r="M502" s="893"/>
      <c r="N502" s="8"/>
      <c r="O502" s="8"/>
    </row>
    <row r="503" spans="2:29" ht="12.75" customHeight="1" x14ac:dyDescent="0.25">
      <c r="B503" s="17"/>
      <c r="C503" s="80"/>
      <c r="D503" s="225">
        <f t="shared" si="18"/>
        <v>8</v>
      </c>
      <c r="E503" s="1591" t="str">
        <f t="shared" si="17"/>
        <v/>
      </c>
      <c r="F503" s="1335"/>
      <c r="G503" s="1592"/>
      <c r="H503" s="891"/>
      <c r="I503" s="892"/>
      <c r="J503" s="892"/>
      <c r="K503" s="892"/>
      <c r="L503" s="892"/>
      <c r="M503" s="893"/>
      <c r="N503" s="8"/>
      <c r="O503" s="8"/>
    </row>
    <row r="504" spans="2:29" ht="12.75" customHeight="1" x14ac:dyDescent="0.25">
      <c r="B504" s="17"/>
      <c r="C504" s="80"/>
      <c r="D504" s="225">
        <f t="shared" si="18"/>
        <v>9</v>
      </c>
      <c r="E504" s="1591" t="str">
        <f t="shared" si="17"/>
        <v/>
      </c>
      <c r="F504" s="1335"/>
      <c r="G504" s="1592"/>
      <c r="H504" s="891"/>
      <c r="I504" s="892"/>
      <c r="J504" s="892"/>
      <c r="K504" s="892"/>
      <c r="L504" s="892"/>
      <c r="M504" s="893"/>
      <c r="N504" s="8"/>
      <c r="O504" s="8"/>
    </row>
    <row r="505" spans="2:29" ht="12.75" customHeight="1" x14ac:dyDescent="0.25">
      <c r="B505" s="17"/>
      <c r="C505" s="80"/>
      <c r="D505" s="227">
        <f t="shared" si="18"/>
        <v>10</v>
      </c>
      <c r="E505" s="1593" t="str">
        <f t="shared" si="17"/>
        <v/>
      </c>
      <c r="F505" s="1386"/>
      <c r="G505" s="1594"/>
      <c r="H505" s="894"/>
      <c r="I505" s="895"/>
      <c r="J505" s="895"/>
      <c r="K505" s="895"/>
      <c r="L505" s="895"/>
      <c r="M505" s="896"/>
      <c r="N505" s="8"/>
      <c r="O505" s="8"/>
    </row>
    <row r="506" spans="2:29" ht="12.75" customHeight="1" x14ac:dyDescent="0.25">
      <c r="B506" s="17"/>
      <c r="C506" s="17"/>
      <c r="D506" s="262"/>
      <c r="E506" s="1619" t="str">
        <f>Translations!$B$708</f>
        <v>Sum of production levels</v>
      </c>
      <c r="F506" s="1509"/>
      <c r="G506" s="1189"/>
      <c r="H506" s="1068"/>
      <c r="I506" s="841" t="str">
        <f>IF(COUNT(I496:I505)&gt;0,SUM(I496:I505),"")</f>
        <v/>
      </c>
      <c r="J506" s="841" t="str">
        <f>IF(COUNT(J496:J505)&gt;0,SUM(J496:J505),"")</f>
        <v/>
      </c>
      <c r="K506" s="841" t="str">
        <f>IF(COUNT(K496:K505)&gt;0,SUM(K496:K505),"")</f>
        <v/>
      </c>
      <c r="L506" s="841" t="str">
        <f>IF(COUNT(L496:L505)&gt;0,SUM(L496:L505),"")</f>
        <v/>
      </c>
      <c r="M506" s="897" t="str">
        <f>IF(COUNT(M496:M505)&gt;0,SUM(M496:M505),"")</f>
        <v/>
      </c>
      <c r="N506" s="8"/>
      <c r="O506" s="8"/>
    </row>
    <row r="507" spans="2:29" ht="25.5" customHeight="1" thickBot="1" x14ac:dyDescent="0.3">
      <c r="B507" s="17"/>
      <c r="C507" s="17"/>
      <c r="D507" s="17"/>
      <c r="E507" s="17"/>
      <c r="F507" s="17"/>
      <c r="G507" s="17"/>
      <c r="H507" s="17"/>
      <c r="I507" s="17"/>
      <c r="J507" s="17"/>
      <c r="K507" s="17"/>
      <c r="L507" s="17"/>
      <c r="M507" s="17"/>
      <c r="N507" s="17"/>
      <c r="O507" s="8"/>
    </row>
    <row r="508" spans="2:29" ht="12.75" customHeight="1" thickBot="1" x14ac:dyDescent="0.3">
      <c r="B508" s="8"/>
      <c r="C508" s="906"/>
      <c r="D508" s="906"/>
      <c r="E508" s="906"/>
      <c r="F508" s="906"/>
      <c r="G508" s="906"/>
      <c r="H508" s="906"/>
      <c r="I508" s="906"/>
      <c r="J508" s="906"/>
      <c r="K508" s="906"/>
      <c r="L508" s="906"/>
      <c r="M508" s="906"/>
      <c r="N508" s="906"/>
      <c r="O508" s="8"/>
    </row>
    <row r="509" spans="2:29" ht="15.75" customHeight="1" thickBot="1" x14ac:dyDescent="0.3">
      <c r="B509" s="8"/>
      <c r="C509" s="19">
        <v>7</v>
      </c>
      <c r="D509" s="1234" t="str">
        <f>EUconst_FBSubinst &amp; ":"</f>
        <v>Fall-Back sub-installation:</v>
      </c>
      <c r="E509" s="1176"/>
      <c r="F509" s="1176"/>
      <c r="G509" s="1176"/>
      <c r="H509" s="1260"/>
      <c r="I509" s="1550" t="str">
        <f>INDEX(EUconst_FallBackListNames,$C509)</f>
        <v>Process emissions sub-installation, non-CL</v>
      </c>
      <c r="J509" s="1509"/>
      <c r="K509" s="1509"/>
      <c r="L509" s="1551"/>
      <c r="M509" s="1608" t="str">
        <f>IF(ISBLANK(INDEX(CNTR_FallBackSubInstRelevant,C509)),"",IF(INDEX(CNTR_FallBackSubInstRelevant,C509),EUconst_Relevant,EUconst_NotRelevant))</f>
        <v/>
      </c>
      <c r="N509" s="1609"/>
      <c r="O509" s="8"/>
      <c r="P509" s="219">
        <f>C509</f>
        <v>7</v>
      </c>
      <c r="Q509" s="124" t="s">
        <v>296</v>
      </c>
      <c r="R509" s="354" t="str">
        <f>IF(M509&lt;&gt;EUconst_Relevant,"",INDEX(CNTR_SubInstStartDate,MATCH($I509,CNTR_SubInstListNames,0)))</f>
        <v/>
      </c>
      <c r="S509" s="352" t="b">
        <f>IF($M509&lt;&gt;EUconst_Relevant,FALSE,AND(I$562, IF($R509&lt;DATE($L$559,1,1),YEAR($R509)&lt;=I$559,YEAR($R509-1)&lt;I$559) ) )</f>
        <v>0</v>
      </c>
      <c r="T509" s="352" t="b">
        <f>IF($M509&lt;&gt;EUconst_Relevant,FALSE,AND(J$562, IF($R509&lt;DATE($L$559,1,1),YEAR($R509)&lt;=J$559,YEAR($R509-1)&lt;J$559) ) )</f>
        <v>0</v>
      </c>
      <c r="U509" s="352" t="b">
        <f>IF($M509&lt;&gt;EUconst_Relevant,FALSE,AND(K$562, IF($R509&lt;DATE($L$559,1,1),YEAR($R509)&lt;=K$559,YEAR($R509-1)&lt;K$559) ) )</f>
        <v>0</v>
      </c>
      <c r="V509" s="352" t="b">
        <f>IF($M509&lt;&gt;EUconst_Relevant,FALSE,AND(L$562, IF($R509&lt;DATE($L$559,1,1),YEAR($R509)&lt;=L$559,YEAR($R509-1)&lt;L$559) ) )</f>
        <v>0</v>
      </c>
      <c r="W509" s="352" t="b">
        <f>IF($M509&lt;&gt;EUconst_Relevant,FALSE,AND(M$562, IF($R509&lt;DATE($L$559,1,1),YEAR($R509)&lt;=M$559,YEAR($R509-1)&lt;M$559) ) )</f>
        <v>0</v>
      </c>
      <c r="X509" s="9"/>
      <c r="AB509" s="288" t="s">
        <v>390</v>
      </c>
      <c r="AC509" s="410" t="b">
        <f>AND(CNTR_ExistSubInstEntries,M509=EUconst_NotRelevant)</f>
        <v>0</v>
      </c>
    </row>
    <row r="510" spans="2:29" ht="12.75" customHeight="1" x14ac:dyDescent="0.25">
      <c r="B510" s="17"/>
      <c r="C510" s="17"/>
      <c r="D510" s="17"/>
      <c r="E510" s="17"/>
      <c r="F510" s="17"/>
      <c r="G510" s="17"/>
      <c r="H510" s="80"/>
      <c r="I510" s="1602" t="str">
        <f>IF(M509="","",IF(M509=EUconst_Relevant,HYPERLINK("",EUconst_MsgEnterThisSection),HYPERLINK(Q510,EUconst_MsgGoToNextSubInst)))</f>
        <v/>
      </c>
      <c r="J510" s="1603"/>
      <c r="K510" s="1603"/>
      <c r="L510" s="1603"/>
      <c r="M510" s="1604"/>
      <c r="N510" s="1605"/>
      <c r="O510" s="8"/>
      <c r="P510" s="145" t="s">
        <v>334</v>
      </c>
      <c r="Q510" s="877" t="str">
        <f>"#"&amp;ADDRESS(ROW(JUMP_G_Bottom),COLUMN(JUMP_G_Bottom))</f>
        <v>#$D$551</v>
      </c>
    </row>
    <row r="511" spans="2:29" ht="5.0999999999999996" customHeight="1" x14ac:dyDescent="0.25">
      <c r="B511" s="8"/>
      <c r="C511" s="8"/>
      <c r="D511" s="8"/>
      <c r="E511" s="8"/>
      <c r="F511" s="8"/>
      <c r="G511" s="8"/>
      <c r="H511" s="8"/>
      <c r="I511" s="8"/>
      <c r="J511" s="8"/>
      <c r="K511" s="8"/>
      <c r="L511" s="8"/>
      <c r="M511" s="8"/>
      <c r="N511" s="8"/>
      <c r="O511" s="8"/>
      <c r="P511" s="9"/>
    </row>
    <row r="512" spans="2:29" ht="12.75" customHeight="1" x14ac:dyDescent="0.25">
      <c r="B512" s="17"/>
      <c r="C512" s="17"/>
      <c r="D512" s="17"/>
      <c r="E512" s="1413" t="str">
        <f>CONCATENATE(EUconst_MsgSeeFirst," (G.I.1)")</f>
        <v>Detailed instructions for data entries in this tool can be found at the first copy of this tool.  (G.I.1)</v>
      </c>
      <c r="F512" s="1413"/>
      <c r="G512" s="1413"/>
      <c r="H512" s="1413"/>
      <c r="I512" s="1413"/>
      <c r="J512" s="1413"/>
      <c r="K512" s="1413"/>
      <c r="L512" s="1413"/>
      <c r="M512" s="1413"/>
      <c r="N512" s="1413"/>
      <c r="O512" s="8"/>
    </row>
    <row r="513" spans="2:29" ht="5.0999999999999996" customHeight="1" x14ac:dyDescent="0.25">
      <c r="B513" s="8"/>
      <c r="C513" s="8"/>
      <c r="D513" s="8"/>
      <c r="E513" s="8"/>
      <c r="F513" s="8"/>
      <c r="G513" s="8"/>
      <c r="H513" s="8"/>
      <c r="I513" s="8"/>
      <c r="J513" s="8"/>
      <c r="K513" s="8"/>
      <c r="L513" s="8"/>
      <c r="M513" s="8"/>
      <c r="N513" s="8"/>
      <c r="O513" s="8"/>
      <c r="P513" s="9"/>
    </row>
    <row r="514" spans="2:29" ht="12.75" customHeight="1" thickBot="1" x14ac:dyDescent="0.3">
      <c r="B514" s="8"/>
      <c r="C514" s="15"/>
      <c r="D514" s="15" t="s">
        <v>190</v>
      </c>
      <c r="E514" s="1165" t="str">
        <f>Translations!$B$670</f>
        <v>Historic activity levels</v>
      </c>
      <c r="F514" s="1176"/>
      <c r="G514" s="1176"/>
      <c r="H514" s="1176"/>
      <c r="I514" s="1176"/>
      <c r="J514" s="1176"/>
      <c r="K514" s="1176"/>
      <c r="L514" s="1176"/>
      <c r="M514" s="1176"/>
      <c r="N514" s="1176"/>
      <c r="O514" s="8"/>
      <c r="P514" s="9"/>
      <c r="Q514" s="9"/>
      <c r="R514" s="9"/>
      <c r="S514" s="9"/>
      <c r="T514" s="9"/>
      <c r="U514" s="9"/>
      <c r="V514" s="9"/>
      <c r="W514" s="9"/>
      <c r="X514" s="9"/>
    </row>
    <row r="515" spans="2:29" ht="12.75" customHeight="1" thickBot="1" x14ac:dyDescent="0.3">
      <c r="B515" s="8"/>
      <c r="C515" s="17"/>
      <c r="D515" s="17"/>
      <c r="E515" s="1432" t="str">
        <f>Translations!$B$897</f>
        <v>Values entered here should include eligible emissions from any waste gases as determined in section D.IV.</v>
      </c>
      <c r="F515" s="1432"/>
      <c r="G515" s="1432"/>
      <c r="H515" s="1432"/>
      <c r="I515" s="1432"/>
      <c r="J515" s="1432"/>
      <c r="K515" s="1432"/>
      <c r="L515" s="1432"/>
      <c r="M515" s="1432"/>
      <c r="N515" s="1432"/>
      <c r="O515" s="8"/>
      <c r="P515" s="9"/>
      <c r="Q515" s="147" t="s">
        <v>395</v>
      </c>
      <c r="R515" s="459" t="s">
        <v>465</v>
      </c>
      <c r="S515" s="879"/>
      <c r="T515" s="879"/>
      <c r="U515" s="879"/>
      <c r="V515" s="879"/>
      <c r="W515" s="879"/>
      <c r="X515" s="387"/>
    </row>
    <row r="516" spans="2:29" ht="12.75" customHeight="1" thickBot="1" x14ac:dyDescent="0.3">
      <c r="B516" s="17"/>
      <c r="C516" s="15"/>
      <c r="D516" s="15"/>
      <c r="E516" s="1259" t="str">
        <f>Translations!$B$829</f>
        <v>Main activity level:</v>
      </c>
      <c r="F516" s="1212"/>
      <c r="G516" s="1212"/>
      <c r="H516" s="23" t="str">
        <f>EUconst_Unit</f>
        <v>Unit</v>
      </c>
      <c r="I516" s="128">
        <f>I$559</f>
        <v>2019</v>
      </c>
      <c r="J516" s="128">
        <f>J$559</f>
        <v>2020</v>
      </c>
      <c r="K516" s="128">
        <f>K$559</f>
        <v>2021</v>
      </c>
      <c r="L516" s="128">
        <f>L$559</f>
        <v>2022</v>
      </c>
      <c r="M516" s="128">
        <f>M$559</f>
        <v>2023</v>
      </c>
      <c r="N516" s="376" t="str">
        <f>IF(M509&lt;&gt;EUconst_Relevant,"",IF(Z517,YEAR(R509)+1,""))</f>
        <v/>
      </c>
      <c r="O516" s="8"/>
      <c r="P516" s="392" t="s">
        <v>397</v>
      </c>
      <c r="Q516" s="582"/>
      <c r="R516" s="59" t="s">
        <v>399</v>
      </c>
      <c r="S516" s="880">
        <f>I516</f>
        <v>2019</v>
      </c>
      <c r="T516" s="63">
        <f>J516</f>
        <v>2020</v>
      </c>
      <c r="U516" s="63">
        <f>K516</f>
        <v>2021</v>
      </c>
      <c r="V516" s="63">
        <f>L516</f>
        <v>2022</v>
      </c>
      <c r="W516" s="63">
        <f>M516</f>
        <v>2023</v>
      </c>
      <c r="X516" s="803"/>
      <c r="AA516" s="398" t="b">
        <f>IF(CNTR_ExistSubInstEntries,IF(M509=EUconst_Relevant,NOT(Z517),TRUE),FALSE)</f>
        <v>0</v>
      </c>
      <c r="AC516" s="145" t="s">
        <v>330</v>
      </c>
    </row>
    <row r="517" spans="2:29" ht="12.75" customHeight="1" thickBot="1" x14ac:dyDescent="0.3">
      <c r="B517" s="17"/>
      <c r="C517" s="17"/>
      <c r="D517" s="17"/>
      <c r="E517" s="1560" t="str">
        <f>I509</f>
        <v>Process emissions sub-installation, non-CL</v>
      </c>
      <c r="F517" s="1560"/>
      <c r="G517" s="1560"/>
      <c r="H517" s="820" t="str">
        <f>INDEX(EUconst_FallBackListUnits,MATCH(E517,EUconst_FallBackListNames,0))</f>
        <v>t CO2e</v>
      </c>
      <c r="I517" s="231"/>
      <c r="J517" s="231"/>
      <c r="K517" s="231"/>
      <c r="L517" s="231"/>
      <c r="M517" s="231"/>
      <c r="N517" s="397"/>
      <c r="O517" s="8"/>
      <c r="P517" s="58" t="str">
        <f>EUconst_CNTR_HAL&amp;E517</f>
        <v>HAL_Process emissions sub-installation, non-CL</v>
      </c>
      <c r="Q517" s="286"/>
      <c r="R517" s="57" t="str">
        <f>IF(COUNT(S517:W517)&gt;0,AVERAGE(S517:W517),"")</f>
        <v/>
      </c>
      <c r="S517" s="882" t="str">
        <f>IF(S509,IF(ISNUMBER(I517),I517,0),"")</f>
        <v/>
      </c>
      <c r="T517" s="389" t="str">
        <f>IF(T509,IF(ISNUMBER(J517),J517,0),"")</f>
        <v/>
      </c>
      <c r="U517" s="389" t="str">
        <f>IF(U509,IF(ISNUMBER(K517),K517,0),"")</f>
        <v/>
      </c>
      <c r="V517" s="389" t="str">
        <f>IF(V509,IF(ISNUMBER(L517),L517,0),"")</f>
        <v/>
      </c>
      <c r="W517" s="389" t="str">
        <f>IF(W509,IF(ISNUMBER(M517),M517,0),"")</f>
        <v/>
      </c>
      <c r="X517" s="390"/>
      <c r="Y517" s="124" t="s">
        <v>304</v>
      </c>
      <c r="Z517" s="392" t="b">
        <f>IF(M509&lt;&gt;EUconst_Relevant,FALSE,INDEX(CNTR_SubInstLess1Year,MATCH(I509,CNTR_SubInstListNames,0)))</f>
        <v>0</v>
      </c>
      <c r="AA517" s="399" t="b">
        <f>AA516</f>
        <v>0</v>
      </c>
      <c r="AC517" s="410" t="b">
        <f>IF(CNTR_ExistSubInstEntries,IF(M509=EUconst_Relevant,INDEX(CNTR_SubInstLess1Year,MATCH(I509,CNTR_SubInstListNames,0)),TRUE),FALSE)</f>
        <v>0</v>
      </c>
    </row>
    <row r="518" spans="2:29" ht="12.75" customHeight="1" x14ac:dyDescent="0.25">
      <c r="B518" s="17"/>
      <c r="C518" s="17"/>
      <c r="D518" s="17"/>
      <c r="E518" s="17"/>
      <c r="F518" s="17"/>
      <c r="G518" s="17"/>
      <c r="H518" s="17"/>
      <c r="I518" s="31"/>
      <c r="J518" s="17"/>
      <c r="K518" s="17"/>
      <c r="L518" s="17"/>
      <c r="M518" s="17"/>
      <c r="N518" s="17"/>
      <c r="O518" s="8"/>
      <c r="P518" s="44"/>
      <c r="R518" s="9"/>
      <c r="S518" s="9"/>
    </row>
    <row r="519" spans="2:29" ht="13.8" x14ac:dyDescent="0.25">
      <c r="B519" s="17"/>
      <c r="C519" s="20"/>
      <c r="D519" s="1234" t="str">
        <f>Translations!$B$700</f>
        <v>Production details</v>
      </c>
      <c r="E519" s="1176"/>
      <c r="F519" s="1176"/>
      <c r="G519" s="1176"/>
      <c r="H519" s="1176"/>
      <c r="I519" s="1176"/>
      <c r="J519" s="1176"/>
      <c r="K519" s="1176"/>
      <c r="L519" s="1176"/>
      <c r="M519" s="1176"/>
      <c r="N519" s="1176"/>
      <c r="O519" s="8"/>
      <c r="Y519" s="9"/>
      <c r="Z519" s="9"/>
      <c r="AA519" s="9"/>
      <c r="AB519" s="9"/>
    </row>
    <row r="520" spans="2:29" ht="5.0999999999999996" customHeight="1" x14ac:dyDescent="0.25">
      <c r="B520" s="8"/>
      <c r="C520" s="8"/>
      <c r="D520" s="8"/>
      <c r="E520" s="8"/>
      <c r="F520" s="8"/>
      <c r="G520" s="8"/>
      <c r="H520" s="8"/>
      <c r="I520" s="8"/>
      <c r="J520" s="8"/>
      <c r="K520" s="8"/>
      <c r="L520" s="8"/>
      <c r="M520" s="8"/>
      <c r="N520" s="8"/>
      <c r="O520" s="8"/>
      <c r="P520" s="9"/>
      <c r="Q520" s="9"/>
    </row>
    <row r="521" spans="2:29" x14ac:dyDescent="0.25">
      <c r="B521" s="8"/>
      <c r="C521" s="15"/>
      <c r="D521" s="15" t="s">
        <v>192</v>
      </c>
      <c r="E521" s="1165" t="str">
        <f>Translations!$B$830</f>
        <v>Identification of relevant products or services associated with this sub-installation</v>
      </c>
      <c r="F521" s="1176"/>
      <c r="G521" s="1176"/>
      <c r="H521" s="1176"/>
      <c r="I521" s="1176"/>
      <c r="J521" s="1176"/>
      <c r="K521" s="1176"/>
      <c r="L521" s="1176"/>
      <c r="M521" s="1176"/>
      <c r="N521" s="1176"/>
      <c r="O521" s="8"/>
      <c r="P521" s="9"/>
    </row>
    <row r="522" spans="2:29" ht="5.0999999999999996" customHeight="1" x14ac:dyDescent="0.25">
      <c r="B522" s="8"/>
      <c r="C522" s="8"/>
      <c r="D522" s="8"/>
      <c r="E522" s="8"/>
      <c r="F522" s="8"/>
      <c r="G522" s="8"/>
      <c r="H522" s="8"/>
      <c r="I522" s="8"/>
      <c r="J522" s="8"/>
      <c r="K522" s="8"/>
      <c r="L522" s="8"/>
      <c r="M522" s="8"/>
      <c r="N522" s="8"/>
      <c r="O522" s="8"/>
      <c r="P522" s="9"/>
      <c r="Q522" s="9"/>
    </row>
    <row r="523" spans="2:29" ht="25.5" customHeight="1" thickBot="1" x14ac:dyDescent="0.3">
      <c r="B523" s="17"/>
      <c r="C523" s="17"/>
      <c r="D523" s="26"/>
      <c r="E523" s="82" t="str">
        <f>Translations!$B$899</f>
        <v>Process emission type</v>
      </c>
      <c r="F523" s="22"/>
      <c r="G523" s="83"/>
      <c r="H523" s="1615" t="str">
        <f>Translations!$B$886</f>
        <v>Product name or service type</v>
      </c>
      <c r="I523" s="1208"/>
      <c r="J523" s="1208"/>
      <c r="K523" s="1208"/>
      <c r="L523" s="1433"/>
      <c r="M523" s="129" t="s">
        <v>468</v>
      </c>
      <c r="N523" s="17"/>
      <c r="O523" s="8"/>
    </row>
    <row r="524" spans="2:29" ht="13.8" thickBot="1" x14ac:dyDescent="0.3">
      <c r="B524" s="17"/>
      <c r="C524" s="17"/>
      <c r="D524" s="222">
        <v>1</v>
      </c>
      <c r="E524" s="1558"/>
      <c r="F524" s="1601"/>
      <c r="G524" s="1559"/>
      <c r="H524" s="1246"/>
      <c r="I524" s="1645"/>
      <c r="J524" s="1645"/>
      <c r="K524" s="1645"/>
      <c r="L524" s="1646"/>
      <c r="M524" s="885"/>
      <c r="N524" s="17"/>
      <c r="O524" s="8"/>
      <c r="AC524" s="410" t="b">
        <f>IF(CNTR_ExistSubInstEntries,M509=EUconst_NotRelevant)</f>
        <v>0</v>
      </c>
    </row>
    <row r="525" spans="2:29" x14ac:dyDescent="0.25">
      <c r="B525" s="17"/>
      <c r="C525" s="17"/>
      <c r="D525" s="225">
        <f>D524+1</f>
        <v>2</v>
      </c>
      <c r="E525" s="1542"/>
      <c r="F525" s="1598"/>
      <c r="G525" s="1543"/>
      <c r="H525" s="1242"/>
      <c r="I525" s="1599"/>
      <c r="J525" s="1599"/>
      <c r="K525" s="1599"/>
      <c r="L525" s="1600"/>
      <c r="M525" s="886"/>
      <c r="N525" s="17"/>
      <c r="O525" s="8"/>
    </row>
    <row r="526" spans="2:29" x14ac:dyDescent="0.25">
      <c r="B526" s="17"/>
      <c r="C526" s="17"/>
      <c r="D526" s="225">
        <f t="shared" ref="D526:D533" si="19">D525+1</f>
        <v>3</v>
      </c>
      <c r="E526" s="1542"/>
      <c r="F526" s="1598"/>
      <c r="G526" s="1543"/>
      <c r="H526" s="1242"/>
      <c r="I526" s="1599"/>
      <c r="J526" s="1599"/>
      <c r="K526" s="1599"/>
      <c r="L526" s="1600"/>
      <c r="M526" s="886"/>
      <c r="N526" s="17"/>
      <c r="O526" s="8"/>
    </row>
    <row r="527" spans="2:29" x14ac:dyDescent="0.25">
      <c r="B527" s="17"/>
      <c r="C527" s="17"/>
      <c r="D527" s="225">
        <f t="shared" si="19"/>
        <v>4</v>
      </c>
      <c r="E527" s="1542"/>
      <c r="F527" s="1598"/>
      <c r="G527" s="1543"/>
      <c r="H527" s="1242"/>
      <c r="I527" s="1599"/>
      <c r="J527" s="1599"/>
      <c r="K527" s="1599"/>
      <c r="L527" s="1600"/>
      <c r="M527" s="886"/>
      <c r="N527" s="17"/>
      <c r="O527" s="8"/>
    </row>
    <row r="528" spans="2:29" x14ac:dyDescent="0.25">
      <c r="B528" s="17"/>
      <c r="C528" s="17"/>
      <c r="D528" s="225">
        <f t="shared" si="19"/>
        <v>5</v>
      </c>
      <c r="E528" s="1542"/>
      <c r="F528" s="1598"/>
      <c r="G528" s="1543"/>
      <c r="H528" s="1242"/>
      <c r="I528" s="1599"/>
      <c r="J528" s="1599"/>
      <c r="K528" s="1599"/>
      <c r="L528" s="1600"/>
      <c r="M528" s="886"/>
      <c r="N528" s="17"/>
      <c r="O528" s="8"/>
    </row>
    <row r="529" spans="2:17" x14ac:dyDescent="0.25">
      <c r="B529" s="17"/>
      <c r="C529" s="17"/>
      <c r="D529" s="225">
        <f t="shared" si="19"/>
        <v>6</v>
      </c>
      <c r="E529" s="1542"/>
      <c r="F529" s="1598"/>
      <c r="G529" s="1543"/>
      <c r="H529" s="1242"/>
      <c r="I529" s="1599"/>
      <c r="J529" s="1599"/>
      <c r="K529" s="1599"/>
      <c r="L529" s="1600"/>
      <c r="M529" s="886"/>
      <c r="N529" s="17"/>
      <c r="O529" s="8"/>
    </row>
    <row r="530" spans="2:17" x14ac:dyDescent="0.25">
      <c r="B530" s="17"/>
      <c r="C530" s="17"/>
      <c r="D530" s="225">
        <f t="shared" si="19"/>
        <v>7</v>
      </c>
      <c r="E530" s="1542"/>
      <c r="F530" s="1598"/>
      <c r="G530" s="1543"/>
      <c r="H530" s="1242"/>
      <c r="I530" s="1599"/>
      <c r="J530" s="1599"/>
      <c r="K530" s="1599"/>
      <c r="L530" s="1600"/>
      <c r="M530" s="886"/>
      <c r="N530" s="17"/>
      <c r="O530" s="8"/>
    </row>
    <row r="531" spans="2:17" x14ac:dyDescent="0.25">
      <c r="B531" s="17"/>
      <c r="C531" s="17"/>
      <c r="D531" s="225">
        <f t="shared" si="19"/>
        <v>8</v>
      </c>
      <c r="E531" s="1542"/>
      <c r="F531" s="1598"/>
      <c r="G531" s="1543"/>
      <c r="H531" s="1242"/>
      <c r="I531" s="1599"/>
      <c r="J531" s="1599"/>
      <c r="K531" s="1599"/>
      <c r="L531" s="1600"/>
      <c r="M531" s="886"/>
      <c r="N531" s="17"/>
      <c r="O531" s="8"/>
    </row>
    <row r="532" spans="2:17" x14ac:dyDescent="0.25">
      <c r="B532" s="17"/>
      <c r="C532" s="17"/>
      <c r="D532" s="225">
        <f t="shared" si="19"/>
        <v>9</v>
      </c>
      <c r="E532" s="1542"/>
      <c r="F532" s="1598"/>
      <c r="G532" s="1543"/>
      <c r="H532" s="1242"/>
      <c r="I532" s="1599"/>
      <c r="J532" s="1599"/>
      <c r="K532" s="1599"/>
      <c r="L532" s="1600"/>
      <c r="M532" s="886"/>
      <c r="N532" s="17"/>
      <c r="O532" s="8"/>
    </row>
    <row r="533" spans="2:17" x14ac:dyDescent="0.25">
      <c r="B533" s="17"/>
      <c r="C533" s="17"/>
      <c r="D533" s="227">
        <f t="shared" si="19"/>
        <v>10</v>
      </c>
      <c r="E533" s="1544"/>
      <c r="F533" s="1644"/>
      <c r="G533" s="1545"/>
      <c r="H533" s="1244"/>
      <c r="I533" s="1613"/>
      <c r="J533" s="1613"/>
      <c r="K533" s="1613"/>
      <c r="L533" s="1614"/>
      <c r="M533" s="887"/>
      <c r="N533" s="17"/>
      <c r="O533" s="8"/>
    </row>
    <row r="534" spans="2:17" ht="5.0999999999999996" customHeight="1" x14ac:dyDescent="0.25">
      <c r="B534" s="8"/>
      <c r="C534" s="17"/>
      <c r="D534" s="17"/>
      <c r="E534" s="884"/>
      <c r="F534" s="884"/>
      <c r="G534" s="884"/>
      <c r="H534" s="884"/>
      <c r="I534" s="884"/>
      <c r="J534" s="77"/>
      <c r="K534" s="77"/>
      <c r="L534" s="77"/>
      <c r="M534" s="8"/>
      <c r="N534" s="8"/>
      <c r="O534" s="8"/>
      <c r="P534" s="9"/>
    </row>
    <row r="535" spans="2:17" ht="12.75" customHeight="1" x14ac:dyDescent="0.25">
      <c r="B535" s="8"/>
      <c r="C535" s="15"/>
      <c r="D535" s="15" t="s">
        <v>195</v>
      </c>
      <c r="E535" s="1165" t="str">
        <f>Translations!$B$900</f>
        <v>Disaggregation of production levels:</v>
      </c>
      <c r="F535" s="1176"/>
      <c r="G535" s="1176"/>
      <c r="H535" s="1176"/>
      <c r="I535" s="1176"/>
      <c r="J535" s="1176"/>
      <c r="K535" s="1176"/>
      <c r="L535" s="1176"/>
      <c r="M535" s="1176"/>
      <c r="N535" s="1176"/>
      <c r="O535" s="8"/>
      <c r="P535" s="9"/>
    </row>
    <row r="536" spans="2:17" ht="5.0999999999999996" customHeight="1" x14ac:dyDescent="0.25">
      <c r="B536" s="8"/>
      <c r="C536" s="8"/>
      <c r="D536" s="8"/>
      <c r="E536" s="8"/>
      <c r="F536" s="8"/>
      <c r="G536" s="8"/>
      <c r="H536" s="8"/>
      <c r="I536" s="8"/>
      <c r="J536" s="8"/>
      <c r="K536" s="8"/>
      <c r="L536" s="8"/>
      <c r="M536" s="8"/>
      <c r="N536" s="8"/>
      <c r="O536" s="8"/>
      <c r="P536" s="9"/>
      <c r="Q536" s="9"/>
    </row>
    <row r="537" spans="2:17" x14ac:dyDescent="0.25">
      <c r="B537" s="17"/>
      <c r="C537" s="15"/>
      <c r="D537" s="26"/>
      <c r="E537" s="1616" t="str">
        <f>Translations!$B$886</f>
        <v>Product name or service type</v>
      </c>
      <c r="F537" s="1212"/>
      <c r="G537" s="1402"/>
      <c r="H537" s="23" t="str">
        <f>EUconst_Unit</f>
        <v>Unit</v>
      </c>
      <c r="I537" s="128">
        <f>I$559</f>
        <v>2019</v>
      </c>
      <c r="J537" s="128">
        <f>J$559</f>
        <v>2020</v>
      </c>
      <c r="K537" s="128">
        <f>K$559</f>
        <v>2021</v>
      </c>
      <c r="L537" s="128">
        <f>L$559</f>
        <v>2022</v>
      </c>
      <c r="M537" s="144">
        <f>M$559</f>
        <v>2023</v>
      </c>
      <c r="N537" s="8"/>
      <c r="O537" s="8"/>
    </row>
    <row r="538" spans="2:17" ht="12.75" customHeight="1" x14ac:dyDescent="0.25">
      <c r="B538" s="17"/>
      <c r="C538" s="80"/>
      <c r="D538" s="222">
        <v>1</v>
      </c>
      <c r="E538" s="1595" t="str">
        <f t="shared" ref="E538:E547" si="20">IF(ISBLANK(H524),"",H524)</f>
        <v/>
      </c>
      <c r="F538" s="1596"/>
      <c r="G538" s="1597"/>
      <c r="H538" s="888"/>
      <c r="I538" s="889"/>
      <c r="J538" s="889"/>
      <c r="K538" s="889"/>
      <c r="L538" s="889"/>
      <c r="M538" s="890"/>
      <c r="N538" s="8"/>
      <c r="O538" s="8"/>
    </row>
    <row r="539" spans="2:17" ht="12.75" customHeight="1" x14ac:dyDescent="0.25">
      <c r="B539" s="17"/>
      <c r="C539" s="80"/>
      <c r="D539" s="225">
        <f>D538+1</f>
        <v>2</v>
      </c>
      <c r="E539" s="1591" t="str">
        <f t="shared" si="20"/>
        <v/>
      </c>
      <c r="F539" s="1335"/>
      <c r="G539" s="1592"/>
      <c r="H539" s="891"/>
      <c r="I539" s="892"/>
      <c r="J539" s="892"/>
      <c r="K539" s="892"/>
      <c r="L539" s="892"/>
      <c r="M539" s="893"/>
      <c r="N539" s="8"/>
      <c r="O539" s="8"/>
    </row>
    <row r="540" spans="2:17" ht="12.75" customHeight="1" x14ac:dyDescent="0.25">
      <c r="B540" s="17"/>
      <c r="C540" s="80"/>
      <c r="D540" s="225">
        <f t="shared" ref="D540:D547" si="21">D539+1</f>
        <v>3</v>
      </c>
      <c r="E540" s="1591" t="str">
        <f t="shared" si="20"/>
        <v/>
      </c>
      <c r="F540" s="1335"/>
      <c r="G540" s="1592"/>
      <c r="H540" s="891"/>
      <c r="I540" s="892"/>
      <c r="J540" s="892"/>
      <c r="K540" s="892"/>
      <c r="L540" s="892"/>
      <c r="M540" s="893"/>
      <c r="N540" s="8"/>
      <c r="O540" s="8"/>
    </row>
    <row r="541" spans="2:17" ht="12.75" customHeight="1" x14ac:dyDescent="0.25">
      <c r="B541" s="17"/>
      <c r="C541" s="80"/>
      <c r="D541" s="225">
        <f t="shared" si="21"/>
        <v>4</v>
      </c>
      <c r="E541" s="1591" t="str">
        <f t="shared" si="20"/>
        <v/>
      </c>
      <c r="F541" s="1335"/>
      <c r="G541" s="1592"/>
      <c r="H541" s="891"/>
      <c r="I541" s="892"/>
      <c r="J541" s="892"/>
      <c r="K541" s="892"/>
      <c r="L541" s="892"/>
      <c r="M541" s="893"/>
      <c r="N541" s="8"/>
      <c r="O541" s="8"/>
    </row>
    <row r="542" spans="2:17" ht="12.75" customHeight="1" x14ac:dyDescent="0.25">
      <c r="B542" s="17"/>
      <c r="C542" s="80"/>
      <c r="D542" s="225">
        <f t="shared" si="21"/>
        <v>5</v>
      </c>
      <c r="E542" s="1591" t="str">
        <f t="shared" si="20"/>
        <v/>
      </c>
      <c r="F542" s="1335"/>
      <c r="G542" s="1592"/>
      <c r="H542" s="891"/>
      <c r="I542" s="892"/>
      <c r="J542" s="892"/>
      <c r="K542" s="892"/>
      <c r="L542" s="892"/>
      <c r="M542" s="893"/>
      <c r="N542" s="8"/>
      <c r="O542" s="8"/>
    </row>
    <row r="543" spans="2:17" ht="12.75" customHeight="1" x14ac:dyDescent="0.25">
      <c r="B543" s="17"/>
      <c r="C543" s="80"/>
      <c r="D543" s="225">
        <f t="shared" si="21"/>
        <v>6</v>
      </c>
      <c r="E543" s="1591" t="str">
        <f t="shared" si="20"/>
        <v/>
      </c>
      <c r="F543" s="1335"/>
      <c r="G543" s="1592"/>
      <c r="H543" s="891"/>
      <c r="I543" s="892"/>
      <c r="J543" s="892"/>
      <c r="K543" s="892"/>
      <c r="L543" s="892"/>
      <c r="M543" s="893"/>
      <c r="N543" s="8"/>
      <c r="O543" s="8"/>
    </row>
    <row r="544" spans="2:17" ht="12.75" customHeight="1" x14ac:dyDescent="0.25">
      <c r="B544" s="17"/>
      <c r="C544" s="80"/>
      <c r="D544" s="225">
        <f t="shared" si="21"/>
        <v>7</v>
      </c>
      <c r="E544" s="1591" t="str">
        <f t="shared" si="20"/>
        <v/>
      </c>
      <c r="F544" s="1335"/>
      <c r="G544" s="1592"/>
      <c r="H544" s="891"/>
      <c r="I544" s="892"/>
      <c r="J544" s="892"/>
      <c r="K544" s="892"/>
      <c r="L544" s="892"/>
      <c r="M544" s="893"/>
      <c r="N544" s="8"/>
      <c r="O544" s="8"/>
    </row>
    <row r="545" spans="1:29" ht="12.75" customHeight="1" x14ac:dyDescent="0.25">
      <c r="B545" s="17"/>
      <c r="C545" s="80"/>
      <c r="D545" s="225">
        <f t="shared" si="21"/>
        <v>8</v>
      </c>
      <c r="E545" s="1591" t="str">
        <f t="shared" si="20"/>
        <v/>
      </c>
      <c r="F545" s="1335"/>
      <c r="G545" s="1592"/>
      <c r="H545" s="891"/>
      <c r="I545" s="892"/>
      <c r="J545" s="892"/>
      <c r="K545" s="892"/>
      <c r="L545" s="892"/>
      <c r="M545" s="893"/>
      <c r="N545" s="8"/>
      <c r="O545" s="8"/>
    </row>
    <row r="546" spans="1:29" ht="12.75" customHeight="1" x14ac:dyDescent="0.25">
      <c r="B546" s="17"/>
      <c r="C546" s="80"/>
      <c r="D546" s="225">
        <f t="shared" si="21"/>
        <v>9</v>
      </c>
      <c r="E546" s="1591" t="str">
        <f t="shared" si="20"/>
        <v/>
      </c>
      <c r="F546" s="1335"/>
      <c r="G546" s="1592"/>
      <c r="H546" s="891"/>
      <c r="I546" s="892"/>
      <c r="J546" s="892"/>
      <c r="K546" s="892"/>
      <c r="L546" s="892"/>
      <c r="M546" s="893"/>
      <c r="N546" s="8"/>
      <c r="O546" s="8"/>
    </row>
    <row r="547" spans="1:29" ht="12.75" customHeight="1" x14ac:dyDescent="0.25">
      <c r="B547" s="17"/>
      <c r="C547" s="80"/>
      <c r="D547" s="227">
        <f t="shared" si="21"/>
        <v>10</v>
      </c>
      <c r="E547" s="1593" t="str">
        <f t="shared" si="20"/>
        <v/>
      </c>
      <c r="F547" s="1386"/>
      <c r="G547" s="1594"/>
      <c r="H547" s="894"/>
      <c r="I547" s="895"/>
      <c r="J547" s="895"/>
      <c r="K547" s="895"/>
      <c r="L547" s="895"/>
      <c r="M547" s="896"/>
      <c r="N547" s="8"/>
      <c r="O547" s="8"/>
    </row>
    <row r="548" spans="1:29" ht="12.75" customHeight="1" x14ac:dyDescent="0.25">
      <c r="B548" s="17"/>
      <c r="C548" s="17"/>
      <c r="D548" s="262"/>
      <c r="E548" s="1619" t="str">
        <f>Translations!$B$708</f>
        <v>Sum of production levels</v>
      </c>
      <c r="F548" s="1509"/>
      <c r="G548" s="1189"/>
      <c r="H548" s="1068"/>
      <c r="I548" s="841" t="str">
        <f>IF(COUNT(I538:I547)&gt;0,SUM(I538:I547),"")</f>
        <v/>
      </c>
      <c r="J548" s="841" t="str">
        <f>IF(COUNT(J538:J547)&gt;0,SUM(J538:J547),"")</f>
        <v/>
      </c>
      <c r="K548" s="841" t="str">
        <f>IF(COUNT(K538:K547)&gt;0,SUM(K538:K547),"")</f>
        <v/>
      </c>
      <c r="L548" s="841" t="str">
        <f>IF(COUNT(L538:L547)&gt;0,SUM(L538:L547),"")</f>
        <v/>
      </c>
      <c r="M548" s="897" t="str">
        <f>IF(COUNT(M538:M547)&gt;0,SUM(M538:M547),"")</f>
        <v/>
      </c>
      <c r="N548" s="8"/>
      <c r="O548" s="8"/>
    </row>
    <row r="549" spans="1:29" ht="12.75" customHeight="1" x14ac:dyDescent="0.25">
      <c r="B549" s="17"/>
      <c r="C549" s="17"/>
      <c r="D549" s="17"/>
      <c r="E549" s="17"/>
      <c r="F549" s="17"/>
      <c r="G549" s="17"/>
      <c r="H549" s="17"/>
      <c r="I549" s="17"/>
      <c r="J549" s="17"/>
      <c r="K549" s="17"/>
      <c r="L549" s="17"/>
      <c r="M549" s="17"/>
      <c r="N549" s="8"/>
      <c r="O549" s="8"/>
      <c r="R549" s="9"/>
      <c r="S549" s="9"/>
    </row>
    <row r="550" spans="1:29" ht="12.75" customHeight="1" x14ac:dyDescent="0.25">
      <c r="B550" s="17"/>
      <c r="C550" s="17"/>
      <c r="D550" s="17"/>
      <c r="E550" s="17"/>
      <c r="F550" s="17"/>
      <c r="G550" s="17"/>
      <c r="H550" s="17"/>
      <c r="I550" s="17"/>
      <c r="J550" s="17"/>
      <c r="K550" s="17"/>
      <c r="L550" s="17"/>
      <c r="M550" s="17"/>
      <c r="N550" s="17"/>
      <c r="O550" s="8"/>
    </row>
    <row r="551" spans="1:29" ht="12.75" customHeight="1" x14ac:dyDescent="0.25">
      <c r="B551" s="17"/>
      <c r="C551" s="17"/>
      <c r="D551" s="1413" t="str">
        <f>Translations!$B$73</f>
        <v xml:space="preserve">&lt;&lt;&lt; Click here to proceed to next sheet &gt;&gt;&gt; </v>
      </c>
      <c r="E551" s="1413"/>
      <c r="F551" s="1413"/>
      <c r="G551" s="1413"/>
      <c r="H551" s="1413"/>
      <c r="I551" s="1413"/>
      <c r="J551" s="1413"/>
      <c r="K551" s="1413"/>
      <c r="L551" s="1413"/>
      <c r="M551" s="1413"/>
      <c r="N551" s="1413"/>
      <c r="O551" s="8"/>
    </row>
    <row r="552" spans="1:29" ht="12.75" customHeight="1" x14ac:dyDescent="0.25">
      <c r="B552" s="17"/>
      <c r="C552" s="17"/>
      <c r="D552" s="17"/>
      <c r="E552" s="17"/>
      <c r="F552" s="17"/>
      <c r="G552" s="17"/>
      <c r="H552" s="17"/>
      <c r="I552" s="17"/>
      <c r="J552" s="17"/>
      <c r="K552" s="17"/>
      <c r="L552" s="17"/>
      <c r="M552" s="17"/>
      <c r="N552" s="17"/>
      <c r="O552" s="8"/>
    </row>
    <row r="553" spans="1:29" hidden="1" x14ac:dyDescent="0.25">
      <c r="A553" s="145" t="s">
        <v>187</v>
      </c>
      <c r="B553" s="145" t="s">
        <v>287</v>
      </c>
      <c r="C553" s="145" t="s">
        <v>287</v>
      </c>
      <c r="D553" s="145" t="s">
        <v>287</v>
      </c>
      <c r="E553" s="145" t="s">
        <v>287</v>
      </c>
      <c r="F553" s="145" t="s">
        <v>287</v>
      </c>
      <c r="G553" s="145" t="s">
        <v>287</v>
      </c>
      <c r="H553" s="145" t="s">
        <v>287</v>
      </c>
      <c r="I553" s="145" t="s">
        <v>287</v>
      </c>
      <c r="J553" s="145" t="s">
        <v>287</v>
      </c>
      <c r="K553" s="145" t="s">
        <v>287</v>
      </c>
      <c r="L553" s="145" t="s">
        <v>287</v>
      </c>
      <c r="M553" s="145" t="s">
        <v>287</v>
      </c>
      <c r="N553" s="145" t="s">
        <v>287</v>
      </c>
      <c r="O553" s="145" t="s">
        <v>287</v>
      </c>
      <c r="P553" s="145" t="s">
        <v>287</v>
      </c>
      <c r="Q553" s="145" t="s">
        <v>287</v>
      </c>
      <c r="R553" s="145" t="s">
        <v>287</v>
      </c>
      <c r="S553" s="145" t="s">
        <v>287</v>
      </c>
      <c r="T553" s="145" t="s">
        <v>287</v>
      </c>
      <c r="U553" s="145" t="s">
        <v>287</v>
      </c>
      <c r="V553" s="145" t="s">
        <v>287</v>
      </c>
      <c r="W553" s="145" t="s">
        <v>287</v>
      </c>
      <c r="X553" s="145" t="s">
        <v>287</v>
      </c>
      <c r="Y553" s="145" t="s">
        <v>287</v>
      </c>
      <c r="Z553" s="145" t="s">
        <v>287</v>
      </c>
      <c r="AA553" s="145" t="s">
        <v>287</v>
      </c>
      <c r="AB553" s="145" t="s">
        <v>287</v>
      </c>
      <c r="AC553" s="145" t="s">
        <v>287</v>
      </c>
    </row>
    <row r="554" spans="1:29" hidden="1" x14ac:dyDescent="0.25">
      <c r="A554" s="145" t="s">
        <v>187</v>
      </c>
    </row>
    <row r="555" spans="1:29" hidden="1" x14ac:dyDescent="0.25">
      <c r="A555" s="145" t="s">
        <v>187</v>
      </c>
      <c r="B555" s="145"/>
      <c r="C555" s="145"/>
      <c r="D555" s="28" t="s">
        <v>288</v>
      </c>
      <c r="E555" s="145"/>
      <c r="F555" s="145"/>
      <c r="G555" s="145"/>
      <c r="H555" s="145"/>
      <c r="I555" s="145"/>
      <c r="J555" s="145"/>
      <c r="K555" s="145"/>
      <c r="L555" s="145"/>
      <c r="M555" s="145"/>
      <c r="N555" s="145"/>
      <c r="O555" s="145"/>
    </row>
    <row r="556" spans="1:29" hidden="1" x14ac:dyDescent="0.25">
      <c r="A556" s="145" t="s">
        <v>187</v>
      </c>
      <c r="D556" s="2"/>
      <c r="E556" s="55" t="s">
        <v>290</v>
      </c>
      <c r="F556" s="690"/>
      <c r="G556" s="690"/>
      <c r="H556" s="690"/>
      <c r="I556" s="690"/>
      <c r="J556" s="690"/>
      <c r="K556" s="690"/>
      <c r="L556" s="690"/>
      <c r="M556" s="690"/>
      <c r="N556" s="691"/>
    </row>
    <row r="557" spans="1:29" hidden="1" x14ac:dyDescent="0.25">
      <c r="A557" s="145" t="s">
        <v>187</v>
      </c>
      <c r="E557" s="49" t="s">
        <v>291</v>
      </c>
      <c r="F557" s="47"/>
      <c r="G557" s="47"/>
      <c r="H557" s="47"/>
      <c r="I557" s="48">
        <v>1</v>
      </c>
      <c r="J557" s="48">
        <v>2</v>
      </c>
      <c r="K557" s="48">
        <v>3</v>
      </c>
      <c r="L557" s="48">
        <v>4</v>
      </c>
      <c r="M557" s="48">
        <v>5</v>
      </c>
      <c r="N557" s="50"/>
    </row>
    <row r="558" spans="1:29" hidden="1" x14ac:dyDescent="0.25">
      <c r="A558" s="145" t="s">
        <v>187</v>
      </c>
      <c r="E558" s="49" t="s">
        <v>292</v>
      </c>
      <c r="F558" s="47"/>
      <c r="G558" s="47"/>
      <c r="H558" s="47"/>
      <c r="I558" s="48">
        <f>INDEX(EUconst_ReportingYears,I557)</f>
        <v>2014</v>
      </c>
      <c r="J558" s="48">
        <f>INDEX(EUconst_ReportingYears,J557)</f>
        <v>2015</v>
      </c>
      <c r="K558" s="48">
        <f>INDEX(EUconst_ReportingYears,K557)</f>
        <v>2016</v>
      </c>
      <c r="L558" s="48">
        <f>INDEX(EUconst_ReportingYears,L557)</f>
        <v>2017</v>
      </c>
      <c r="M558" s="48">
        <f>INDEX(EUconst_ReportingYears,M557)</f>
        <v>2018</v>
      </c>
      <c r="N558" s="50"/>
    </row>
    <row r="559" spans="1:29" hidden="1" x14ac:dyDescent="0.25">
      <c r="A559" s="145" t="s">
        <v>187</v>
      </c>
      <c r="E559" s="49" t="s">
        <v>293</v>
      </c>
      <c r="F559" s="47"/>
      <c r="G559" s="47"/>
      <c r="H559" s="47"/>
      <c r="I559" s="48">
        <f>IF(CNTR_BaselinePeriod=EUconst_NA,I558,INDEX(EUconst_ReportingYears,I557)+(CNTR_BaselinePeriod-1)*5)</f>
        <v>2019</v>
      </c>
      <c r="J559" s="48">
        <f>IF(CNTR_BaselinePeriod=EUconst_NA,J558,INDEX(EUconst_ReportingYears,J557)+(CNTR_BaselinePeriod-1)*5)</f>
        <v>2020</v>
      </c>
      <c r="K559" s="48">
        <f>IF(CNTR_BaselinePeriod=EUconst_NA,K558,INDEX(EUconst_ReportingYears,K557)+(CNTR_BaselinePeriod-1)*5)</f>
        <v>2021</v>
      </c>
      <c r="L559" s="48">
        <f>IF(CNTR_BaselinePeriod=EUconst_NA,L558,INDEX(EUconst_ReportingYears,L557)+(CNTR_BaselinePeriod-1)*5)</f>
        <v>2022</v>
      </c>
      <c r="M559" s="48">
        <f>IF(CNTR_BaselinePeriod=EUconst_NA,M558,INDEX(EUconst_ReportingYears,M557)+(CNTR_BaselinePeriod-1)*5)</f>
        <v>2023</v>
      </c>
      <c r="N559" s="50"/>
      <c r="O559" s="17"/>
    </row>
    <row r="560" spans="1:29" hidden="1" x14ac:dyDescent="0.25">
      <c r="A560" s="145" t="s">
        <v>187</v>
      </c>
      <c r="E560" s="49" t="s">
        <v>294</v>
      </c>
      <c r="F560" s="47"/>
      <c r="G560" s="47"/>
      <c r="H560" s="47"/>
      <c r="I560" s="48">
        <v>1</v>
      </c>
      <c r="J560" s="48">
        <v>1</v>
      </c>
      <c r="K560" s="48">
        <v>1</v>
      </c>
      <c r="L560" s="48">
        <v>1</v>
      </c>
      <c r="M560" s="48">
        <v>1</v>
      </c>
      <c r="N560" s="50"/>
    </row>
    <row r="561" spans="1:14" hidden="1" x14ac:dyDescent="0.25">
      <c r="A561" s="145" t="s">
        <v>187</v>
      </c>
      <c r="E561" s="49" t="s">
        <v>341</v>
      </c>
      <c r="F561" s="47"/>
      <c r="G561" s="47"/>
      <c r="H561" s="47"/>
      <c r="I561" s="47" t="b">
        <f>(I560=CNTR_BaselinePeriod)</f>
        <v>0</v>
      </c>
      <c r="J561" s="47" t="b">
        <f>(J560=CNTR_BaselinePeriod)</f>
        <v>0</v>
      </c>
      <c r="K561" s="47" t="b">
        <f>(K560=CNTR_BaselinePeriod)</f>
        <v>0</v>
      </c>
      <c r="L561" s="47" t="b">
        <f>(L560=CNTR_BaselinePeriod)</f>
        <v>0</v>
      </c>
      <c r="M561" s="47" t="b">
        <f>(M560=CNTR_BaselinePeriod)</f>
        <v>0</v>
      </c>
      <c r="N561" s="51"/>
    </row>
    <row r="562" spans="1:14" ht="13.8" hidden="1" thickBot="1" x14ac:dyDescent="0.3">
      <c r="A562" s="145" t="s">
        <v>187</v>
      </c>
      <c r="E562" s="52" t="s">
        <v>296</v>
      </c>
      <c r="F562" s="53"/>
      <c r="G562" s="53"/>
      <c r="H562" s="53"/>
      <c r="I562" s="53">
        <f>INDEX(CNTR_BaslineYearRelevant,I557)</f>
        <v>0</v>
      </c>
      <c r="J562" s="53">
        <f>INDEX(CNTR_BaslineYearRelevant,J557)</f>
        <v>0</v>
      </c>
      <c r="K562" s="53">
        <f>INDEX(CNTR_BaslineYearRelevant,K557)</f>
        <v>0</v>
      </c>
      <c r="L562" s="53">
        <f>INDEX(CNTR_BaslineYearRelevant,L557)</f>
        <v>0</v>
      </c>
      <c r="M562" s="53">
        <f>INDEX(CNTR_BaslineYearRelevant,M557)</f>
        <v>0</v>
      </c>
      <c r="N562" s="54"/>
    </row>
    <row r="563" spans="1:14" hidden="1" x14ac:dyDescent="0.25">
      <c r="A563" s="145" t="s">
        <v>187</v>
      </c>
    </row>
    <row r="564" spans="1:14" hidden="1" x14ac:dyDescent="0.25">
      <c r="A564" s="145" t="s">
        <v>187</v>
      </c>
    </row>
    <row r="565" spans="1:14" hidden="1" x14ac:dyDescent="0.25">
      <c r="A565" s="145" t="s">
        <v>187</v>
      </c>
      <c r="E565" s="220" t="s">
        <v>318</v>
      </c>
    </row>
    <row r="566" spans="1:14" hidden="1" x14ac:dyDescent="0.25">
      <c r="A566" s="145" t="s">
        <v>187</v>
      </c>
      <c r="F566" s="220" t="s">
        <v>477</v>
      </c>
      <c r="G566" s="339" t="b">
        <f t="shared" ref="G566:G572" si="22">(COUNTIF($Y$11:$Y$553,EUconst_Error&amp;F566)&gt;0)</f>
        <v>0</v>
      </c>
    </row>
    <row r="567" spans="1:14" hidden="1" x14ac:dyDescent="0.25">
      <c r="A567" s="145" t="s">
        <v>187</v>
      </c>
      <c r="F567" s="220" t="s">
        <v>478</v>
      </c>
      <c r="G567" s="339" t="b">
        <f t="shared" si="22"/>
        <v>0</v>
      </c>
    </row>
    <row r="568" spans="1:14" hidden="1" x14ac:dyDescent="0.25">
      <c r="A568" s="145" t="s">
        <v>187</v>
      </c>
      <c r="F568" s="220" t="s">
        <v>479</v>
      </c>
      <c r="G568" s="339" t="b">
        <f t="shared" si="22"/>
        <v>0</v>
      </c>
    </row>
    <row r="569" spans="1:14" hidden="1" x14ac:dyDescent="0.25">
      <c r="A569" s="145" t="s">
        <v>187</v>
      </c>
      <c r="F569" s="220" t="s">
        <v>480</v>
      </c>
      <c r="G569" s="339" t="b">
        <f t="shared" si="22"/>
        <v>0</v>
      </c>
    </row>
    <row r="570" spans="1:14" hidden="1" x14ac:dyDescent="0.25">
      <c r="A570" s="145" t="s">
        <v>187</v>
      </c>
      <c r="F570" s="220" t="s">
        <v>481</v>
      </c>
      <c r="G570" s="339" t="b">
        <f t="shared" si="22"/>
        <v>0</v>
      </c>
    </row>
    <row r="571" spans="1:14" hidden="1" x14ac:dyDescent="0.25">
      <c r="A571" s="145" t="s">
        <v>187</v>
      </c>
      <c r="F571" s="220" t="s">
        <v>482</v>
      </c>
      <c r="G571" s="339" t="b">
        <f t="shared" si="22"/>
        <v>0</v>
      </c>
    </row>
    <row r="572" spans="1:14" hidden="1" x14ac:dyDescent="0.25">
      <c r="A572" s="145" t="s">
        <v>187</v>
      </c>
      <c r="F572" s="220" t="s">
        <v>483</v>
      </c>
      <c r="G572" s="339" t="b">
        <f t="shared" si="22"/>
        <v>0</v>
      </c>
    </row>
    <row r="573" spans="1:14" ht="13.8" hidden="1" thickBot="1" x14ac:dyDescent="0.3">
      <c r="A573" s="145" t="s">
        <v>187</v>
      </c>
      <c r="F573" s="2" t="s">
        <v>323</v>
      </c>
      <c r="G573" s="106" t="b">
        <f>OR(G566:G572)</f>
        <v>0</v>
      </c>
    </row>
    <row r="574" spans="1:14" hidden="1" x14ac:dyDescent="0.25">
      <c r="A574" s="145" t="s">
        <v>187</v>
      </c>
    </row>
    <row r="575" spans="1:14" hidden="1" x14ac:dyDescent="0.25">
      <c r="A575" s="145" t="s">
        <v>187</v>
      </c>
      <c r="C575" s="913">
        <v>8</v>
      </c>
      <c r="D575" s="220" t="s">
        <v>461</v>
      </c>
    </row>
    <row r="577" spans="2:14" hidden="1" x14ac:dyDescent="0.25">
      <c r="B577" s="17"/>
      <c r="C577" s="17"/>
      <c r="D577" s="17"/>
      <c r="E577" s="17"/>
      <c r="F577" s="17"/>
      <c r="G577" s="17"/>
      <c r="H577" s="17"/>
      <c r="I577" s="17"/>
      <c r="J577" s="17"/>
      <c r="K577" s="17"/>
      <c r="L577" s="17"/>
      <c r="M577" s="17"/>
      <c r="N577" s="17"/>
    </row>
  </sheetData>
  <sheetProtection algorithmName="SHA-512" hashValue="i6mO538NVJCjisErZ/3MIpLaEUlWX1gNvTcKh1TnqWN+VY0rTQExyWSa4RvgDRAZJ5wRwQM6lCpouHx0WLyb4A==" saltValue="J01bFd7eCWqZ0f8jidxCvA==" spinCount="100000" sheet="1" objects="1" scenarios="1" formatColumns="0" formatRows="0"/>
  <mergeCells count="560">
    <mergeCell ref="E106:G106"/>
    <mergeCell ref="E102:N102"/>
    <mergeCell ref="E103:N103"/>
    <mergeCell ref="E105:G105"/>
    <mergeCell ref="E224:G224"/>
    <mergeCell ref="F111:N111"/>
    <mergeCell ref="D445:H445"/>
    <mergeCell ref="I445:N445"/>
    <mergeCell ref="D187:H187"/>
    <mergeCell ref="I187:N187"/>
    <mergeCell ref="D278:H278"/>
    <mergeCell ref="I278:N278"/>
    <mergeCell ref="D372:H372"/>
    <mergeCell ref="I372:N372"/>
    <mergeCell ref="E230:G230"/>
    <mergeCell ref="G258:L258"/>
    <mergeCell ref="E418:F418"/>
    <mergeCell ref="G418:L418"/>
    <mergeCell ref="E419:F419"/>
    <mergeCell ref="G419:L419"/>
    <mergeCell ref="E347:F347"/>
    <mergeCell ref="D408:N408"/>
    <mergeCell ref="E348:F348"/>
    <mergeCell ref="G349:L349"/>
    <mergeCell ref="F81:N81"/>
    <mergeCell ref="E92:N92"/>
    <mergeCell ref="E93:N93"/>
    <mergeCell ref="E91:N91"/>
    <mergeCell ref="E104:N104"/>
    <mergeCell ref="E86:G86"/>
    <mergeCell ref="E75:M75"/>
    <mergeCell ref="E90:N90"/>
    <mergeCell ref="F84:N84"/>
    <mergeCell ref="E96:G96"/>
    <mergeCell ref="E79:N79"/>
    <mergeCell ref="F80:N80"/>
    <mergeCell ref="F82:N82"/>
    <mergeCell ref="E89:N89"/>
    <mergeCell ref="E88:N88"/>
    <mergeCell ref="E85:G85"/>
    <mergeCell ref="E78:N78"/>
    <mergeCell ref="F83:N83"/>
    <mergeCell ref="E51:N51"/>
    <mergeCell ref="E48:F48"/>
    <mergeCell ref="G45:H45"/>
    <mergeCell ref="E62:G62"/>
    <mergeCell ref="E63:G63"/>
    <mergeCell ref="D69:H69"/>
    <mergeCell ref="I69:N69"/>
    <mergeCell ref="E47:F47"/>
    <mergeCell ref="G47:H47"/>
    <mergeCell ref="I49:L49"/>
    <mergeCell ref="I48:L48"/>
    <mergeCell ref="G49:H49"/>
    <mergeCell ref="E49:F49"/>
    <mergeCell ref="G48:H48"/>
    <mergeCell ref="E60:G60"/>
    <mergeCell ref="E61:G61"/>
    <mergeCell ref="E64:G64"/>
    <mergeCell ref="H526:L526"/>
    <mergeCell ref="E535:N535"/>
    <mergeCell ref="E537:G537"/>
    <mergeCell ref="E548:G548"/>
    <mergeCell ref="E530:G530"/>
    <mergeCell ref="H530:L530"/>
    <mergeCell ref="E531:G531"/>
    <mergeCell ref="H531:L531"/>
    <mergeCell ref="E532:G532"/>
    <mergeCell ref="E544:G544"/>
    <mergeCell ref="E545:G545"/>
    <mergeCell ref="E546:G546"/>
    <mergeCell ref="E547:G547"/>
    <mergeCell ref="H532:L532"/>
    <mergeCell ref="E533:G533"/>
    <mergeCell ref="H533:L533"/>
    <mergeCell ref="E527:G527"/>
    <mergeCell ref="H527:L527"/>
    <mergeCell ref="E528:G528"/>
    <mergeCell ref="H528:L528"/>
    <mergeCell ref="E529:G529"/>
    <mergeCell ref="H529:L529"/>
    <mergeCell ref="M509:N509"/>
    <mergeCell ref="E524:G524"/>
    <mergeCell ref="H524:L524"/>
    <mergeCell ref="E525:G525"/>
    <mergeCell ref="H525:L525"/>
    <mergeCell ref="H523:L523"/>
    <mergeCell ref="E515:N515"/>
    <mergeCell ref="D519:N519"/>
    <mergeCell ref="H488:L488"/>
    <mergeCell ref="H489:L489"/>
    <mergeCell ref="E521:N521"/>
    <mergeCell ref="E514:N514"/>
    <mergeCell ref="E516:G516"/>
    <mergeCell ref="E517:G517"/>
    <mergeCell ref="I510:N510"/>
    <mergeCell ref="E512:N512"/>
    <mergeCell ref="D509:H509"/>
    <mergeCell ref="I509:L509"/>
    <mergeCell ref="E506:G506"/>
    <mergeCell ref="E496:G496"/>
    <mergeCell ref="E497:G497"/>
    <mergeCell ref="E498:G498"/>
    <mergeCell ref="E499:G499"/>
    <mergeCell ref="E502:G502"/>
    <mergeCell ref="E453:N453"/>
    <mergeCell ref="E454:G454"/>
    <mergeCell ref="E455:G455"/>
    <mergeCell ref="E456:G456"/>
    <mergeCell ref="E461:G461"/>
    <mergeCell ref="E471:N471"/>
    <mergeCell ref="M466:N466"/>
    <mergeCell ref="E495:G495"/>
    <mergeCell ref="E440:G440"/>
    <mergeCell ref="D443:N443"/>
    <mergeCell ref="E447:N447"/>
    <mergeCell ref="E448:N448"/>
    <mergeCell ref="E449:G449"/>
    <mergeCell ref="E450:G450"/>
    <mergeCell ref="E493:N493"/>
    <mergeCell ref="E469:N469"/>
    <mergeCell ref="E491:G491"/>
    <mergeCell ref="E452:N452"/>
    <mergeCell ref="E485:G485"/>
    <mergeCell ref="E483:G483"/>
    <mergeCell ref="E479:N479"/>
    <mergeCell ref="D476:N476"/>
    <mergeCell ref="H482:L482"/>
    <mergeCell ref="H483:L483"/>
    <mergeCell ref="E146:N146"/>
    <mergeCell ref="E405:G405"/>
    <mergeCell ref="E280:N280"/>
    <mergeCell ref="E260:N260"/>
    <mergeCell ref="E262:G262"/>
    <mergeCell ref="E273:G273"/>
    <mergeCell ref="E210:G210"/>
    <mergeCell ref="G345:L345"/>
    <mergeCell ref="E222:G222"/>
    <mergeCell ref="D398:H398"/>
    <mergeCell ref="G343:L343"/>
    <mergeCell ref="G344:L344"/>
    <mergeCell ref="E257:F257"/>
    <mergeCell ref="E283:G283"/>
    <mergeCell ref="E258:F258"/>
    <mergeCell ref="E333:G333"/>
    <mergeCell ref="E332:G332"/>
    <mergeCell ref="F339:N339"/>
    <mergeCell ref="D276:N276"/>
    <mergeCell ref="D325:H325"/>
    <mergeCell ref="E227:G227"/>
    <mergeCell ref="G342:L342"/>
    <mergeCell ref="E219:G219"/>
    <mergeCell ref="E220:G220"/>
    <mergeCell ref="E192:G192"/>
    <mergeCell ref="E194:N194"/>
    <mergeCell ref="E195:N195"/>
    <mergeCell ref="E215:G215"/>
    <mergeCell ref="E203:N203"/>
    <mergeCell ref="E204:N204"/>
    <mergeCell ref="E209:N209"/>
    <mergeCell ref="E228:G228"/>
    <mergeCell ref="G346:L346"/>
    <mergeCell ref="E223:G223"/>
    <mergeCell ref="E205:G205"/>
    <mergeCell ref="E206:G206"/>
    <mergeCell ref="E294:N294"/>
    <mergeCell ref="E216:G216"/>
    <mergeCell ref="E249:F249"/>
    <mergeCell ref="E282:G282"/>
    <mergeCell ref="E248:F248"/>
    <mergeCell ref="E212:G212"/>
    <mergeCell ref="E214:G214"/>
    <mergeCell ref="E218:G218"/>
    <mergeCell ref="E211:G211"/>
    <mergeCell ref="E237:N237"/>
    <mergeCell ref="E250:F250"/>
    <mergeCell ref="E251:F251"/>
    <mergeCell ref="I159:L159"/>
    <mergeCell ref="I166:L166"/>
    <mergeCell ref="E160:F160"/>
    <mergeCell ref="G160:H160"/>
    <mergeCell ref="I160:L160"/>
    <mergeCell ref="E161:F161"/>
    <mergeCell ref="G161:H161"/>
    <mergeCell ref="I161:L161"/>
    <mergeCell ref="E162:F162"/>
    <mergeCell ref="E164:F164"/>
    <mergeCell ref="G164:H164"/>
    <mergeCell ref="I164:L164"/>
    <mergeCell ref="E165:F165"/>
    <mergeCell ref="G165:H165"/>
    <mergeCell ref="I165:L165"/>
    <mergeCell ref="E166:F166"/>
    <mergeCell ref="G166:H166"/>
    <mergeCell ref="D244:N244"/>
    <mergeCell ref="E289:G289"/>
    <mergeCell ref="E292:G292"/>
    <mergeCell ref="E309:G309"/>
    <mergeCell ref="E310:G310"/>
    <mergeCell ref="G162:H162"/>
    <mergeCell ref="I162:L162"/>
    <mergeCell ref="E163:F163"/>
    <mergeCell ref="G163:H163"/>
    <mergeCell ref="I163:L163"/>
    <mergeCell ref="E167:F167"/>
    <mergeCell ref="G167:H167"/>
    <mergeCell ref="I167:L167"/>
    <mergeCell ref="E169:N169"/>
    <mergeCell ref="E171:G171"/>
    <mergeCell ref="E196:G196"/>
    <mergeCell ref="E197:G197"/>
    <mergeCell ref="E198:G198"/>
    <mergeCell ref="E208:N208"/>
    <mergeCell ref="E226:G226"/>
    <mergeCell ref="E182:G182"/>
    <mergeCell ref="D185:N185"/>
    <mergeCell ref="E189:N189"/>
    <mergeCell ref="E191:G191"/>
    <mergeCell ref="G253:L253"/>
    <mergeCell ref="E253:F253"/>
    <mergeCell ref="G257:L257"/>
    <mergeCell ref="E246:N246"/>
    <mergeCell ref="G255:L255"/>
    <mergeCell ref="G256:L256"/>
    <mergeCell ref="E291:G291"/>
    <mergeCell ref="G250:L250"/>
    <mergeCell ref="G251:L251"/>
    <mergeCell ref="E254:F254"/>
    <mergeCell ref="E255:F255"/>
    <mergeCell ref="E281:N281"/>
    <mergeCell ref="E272:G272"/>
    <mergeCell ref="E263:G263"/>
    <mergeCell ref="E264:G264"/>
    <mergeCell ref="E265:G265"/>
    <mergeCell ref="E267:G267"/>
    <mergeCell ref="E268:G268"/>
    <mergeCell ref="E376:N376"/>
    <mergeCell ref="E392:G392"/>
    <mergeCell ref="E385:G385"/>
    <mergeCell ref="E382:N382"/>
    <mergeCell ref="E386:G386"/>
    <mergeCell ref="E377:N377"/>
    <mergeCell ref="E381:N381"/>
    <mergeCell ref="E374:N374"/>
    <mergeCell ref="E155:N155"/>
    <mergeCell ref="E256:F256"/>
    <mergeCell ref="E305:G305"/>
    <mergeCell ref="E306:G306"/>
    <mergeCell ref="E299:N299"/>
    <mergeCell ref="E318:G318"/>
    <mergeCell ref="E158:F158"/>
    <mergeCell ref="E301:G301"/>
    <mergeCell ref="E297:G297"/>
    <mergeCell ref="E296:G296"/>
    <mergeCell ref="D234:H234"/>
    <mergeCell ref="I234:L234"/>
    <mergeCell ref="M234:N234"/>
    <mergeCell ref="I235:N235"/>
    <mergeCell ref="E285:N285"/>
    <mergeCell ref="E287:G287"/>
    <mergeCell ref="I40:L40"/>
    <mergeCell ref="E33:N33"/>
    <mergeCell ref="E29:N29"/>
    <mergeCell ref="F30:N30"/>
    <mergeCell ref="F31:N31"/>
    <mergeCell ref="E139:G139"/>
    <mergeCell ref="E136:G136"/>
    <mergeCell ref="E137:G137"/>
    <mergeCell ref="D143:H143"/>
    <mergeCell ref="I143:L143"/>
    <mergeCell ref="E131:G131"/>
    <mergeCell ref="E132:G132"/>
    <mergeCell ref="E133:G133"/>
    <mergeCell ref="E135:G135"/>
    <mergeCell ref="F112:N112"/>
    <mergeCell ref="F113:N113"/>
    <mergeCell ref="F114:N114"/>
    <mergeCell ref="F115:N115"/>
    <mergeCell ref="E127:G127"/>
    <mergeCell ref="E125:G125"/>
    <mergeCell ref="E120:G120"/>
    <mergeCell ref="E123:G123"/>
    <mergeCell ref="E118:M118"/>
    <mergeCell ref="E116:N116"/>
    <mergeCell ref="I4:J4"/>
    <mergeCell ref="I13:N13"/>
    <mergeCell ref="E15:N15"/>
    <mergeCell ref="F16:N16"/>
    <mergeCell ref="F17:N17"/>
    <mergeCell ref="E23:G23"/>
    <mergeCell ref="E24:G24"/>
    <mergeCell ref="D26:N26"/>
    <mergeCell ref="E28:N28"/>
    <mergeCell ref="E19:N19"/>
    <mergeCell ref="E20:N20"/>
    <mergeCell ref="E21:N21"/>
    <mergeCell ref="E22:N22"/>
    <mergeCell ref="D551:N551"/>
    <mergeCell ref="M2:N2"/>
    <mergeCell ref="E3:F3"/>
    <mergeCell ref="G3:H3"/>
    <mergeCell ref="I3:J3"/>
    <mergeCell ref="K3:L3"/>
    <mergeCell ref="M3:N3"/>
    <mergeCell ref="B2:D4"/>
    <mergeCell ref="I2:J2"/>
    <mergeCell ref="E14:N14"/>
    <mergeCell ref="M4:N4"/>
    <mergeCell ref="D6:N6"/>
    <mergeCell ref="D10:N10"/>
    <mergeCell ref="D12:H12"/>
    <mergeCell ref="I12:L12"/>
    <mergeCell ref="M12:N12"/>
    <mergeCell ref="K4:L4"/>
    <mergeCell ref="E8:M8"/>
    <mergeCell ref="E39:F39"/>
    <mergeCell ref="D153:N153"/>
    <mergeCell ref="I44:L44"/>
    <mergeCell ref="G2:H2"/>
    <mergeCell ref="K2:L2"/>
    <mergeCell ref="E4:F4"/>
    <mergeCell ref="V3:W3"/>
    <mergeCell ref="P4:Q4"/>
    <mergeCell ref="R4:S4"/>
    <mergeCell ref="T4:U4"/>
    <mergeCell ref="V4:W4"/>
    <mergeCell ref="P3:Q3"/>
    <mergeCell ref="E46:F46"/>
    <mergeCell ref="E54:G54"/>
    <mergeCell ref="E55:G55"/>
    <mergeCell ref="E44:F44"/>
    <mergeCell ref="E42:F42"/>
    <mergeCell ref="I42:L42"/>
    <mergeCell ref="G42:H42"/>
    <mergeCell ref="E43:F43"/>
    <mergeCell ref="G44:H44"/>
    <mergeCell ref="I47:L47"/>
    <mergeCell ref="I45:L45"/>
    <mergeCell ref="I46:L46"/>
    <mergeCell ref="E45:F45"/>
    <mergeCell ref="G46:H46"/>
    <mergeCell ref="G43:H43"/>
    <mergeCell ref="I43:L43"/>
    <mergeCell ref="E41:F41"/>
    <mergeCell ref="G41:H41"/>
    <mergeCell ref="E378:G378"/>
    <mergeCell ref="F412:N412"/>
    <mergeCell ref="E300:N300"/>
    <mergeCell ref="E72:M72"/>
    <mergeCell ref="E73:M73"/>
    <mergeCell ref="D67:N67"/>
    <mergeCell ref="E53:G53"/>
    <mergeCell ref="R3:S3"/>
    <mergeCell ref="T3:U3"/>
    <mergeCell ref="E56:G56"/>
    <mergeCell ref="E57:G57"/>
    <mergeCell ref="E58:G58"/>
    <mergeCell ref="E59:G59"/>
    <mergeCell ref="E35:N35"/>
    <mergeCell ref="G39:H39"/>
    <mergeCell ref="I41:L41"/>
    <mergeCell ref="E40:F40"/>
    <mergeCell ref="G40:H40"/>
    <mergeCell ref="I39:L39"/>
    <mergeCell ref="E34:N34"/>
    <mergeCell ref="E37:N37"/>
    <mergeCell ref="E36:N36"/>
    <mergeCell ref="F32:N32"/>
    <mergeCell ref="G4:H4"/>
    <mergeCell ref="E71:M71"/>
    <mergeCell ref="E77:N77"/>
    <mergeCell ref="E302:G302"/>
    <mergeCell ref="E303:G303"/>
    <mergeCell ref="E295:N295"/>
    <mergeCell ref="E286:N286"/>
    <mergeCell ref="E342:F342"/>
    <mergeCell ref="E157:F157"/>
    <mergeCell ref="G157:H157"/>
    <mergeCell ref="I157:L157"/>
    <mergeCell ref="G158:H158"/>
    <mergeCell ref="I158:L158"/>
    <mergeCell ref="E328:N328"/>
    <mergeCell ref="D335:N335"/>
    <mergeCell ref="E331:N331"/>
    <mergeCell ref="E252:F252"/>
    <mergeCell ref="G248:L248"/>
    <mergeCell ref="E288:G288"/>
    <mergeCell ref="E239:N239"/>
    <mergeCell ref="E240:N240"/>
    <mergeCell ref="E241:G241"/>
    <mergeCell ref="E242:G242"/>
    <mergeCell ref="G254:L254"/>
    <mergeCell ref="E266:G266"/>
    <mergeCell ref="E434:G434"/>
    <mergeCell ref="E435:G435"/>
    <mergeCell ref="G417:L417"/>
    <mergeCell ref="G415:L415"/>
    <mergeCell ref="E416:F416"/>
    <mergeCell ref="E425:F425"/>
    <mergeCell ref="E427:N427"/>
    <mergeCell ref="E429:G429"/>
    <mergeCell ref="E431:G431"/>
    <mergeCell ref="E423:F423"/>
    <mergeCell ref="G416:L416"/>
    <mergeCell ref="G425:L425"/>
    <mergeCell ref="G423:L423"/>
    <mergeCell ref="E424:F424"/>
    <mergeCell ref="G424:L424"/>
    <mergeCell ref="E420:F420"/>
    <mergeCell ref="G420:L420"/>
    <mergeCell ref="E432:G432"/>
    <mergeCell ref="E433:G433"/>
    <mergeCell ref="E375:N375"/>
    <mergeCell ref="E313:G313"/>
    <mergeCell ref="E314:G314"/>
    <mergeCell ref="E311:G311"/>
    <mergeCell ref="E315:G315"/>
    <mergeCell ref="F340:N340"/>
    <mergeCell ref="E354:N354"/>
    <mergeCell ref="E356:G356"/>
    <mergeCell ref="E367:G367"/>
    <mergeCell ref="E330:N330"/>
    <mergeCell ref="E337:N337"/>
    <mergeCell ref="I325:L325"/>
    <mergeCell ref="G348:L348"/>
    <mergeCell ref="E366:G366"/>
    <mergeCell ref="E357:G357"/>
    <mergeCell ref="E319:G319"/>
    <mergeCell ref="E338:N338"/>
    <mergeCell ref="M325:N325"/>
    <mergeCell ref="I326:N326"/>
    <mergeCell ref="E344:F344"/>
    <mergeCell ref="E317:G317"/>
    <mergeCell ref="D370:N370"/>
    <mergeCell ref="G352:L352"/>
    <mergeCell ref="E361:G361"/>
    <mergeCell ref="I466:L466"/>
    <mergeCell ref="E406:G406"/>
    <mergeCell ref="H490:L490"/>
    <mergeCell ref="H491:L491"/>
    <mergeCell ref="H481:L481"/>
    <mergeCell ref="E473:G473"/>
    <mergeCell ref="E486:G486"/>
    <mergeCell ref="E490:G490"/>
    <mergeCell ref="E488:G488"/>
    <mergeCell ref="E415:F415"/>
    <mergeCell ref="E436:G436"/>
    <mergeCell ref="E430:G430"/>
    <mergeCell ref="E437:G437"/>
    <mergeCell ref="E438:G438"/>
    <mergeCell ref="E439:G439"/>
    <mergeCell ref="D466:H466"/>
    <mergeCell ref="E458:G458"/>
    <mergeCell ref="E459:G459"/>
    <mergeCell ref="E489:G489"/>
    <mergeCell ref="E484:G484"/>
    <mergeCell ref="E462:G462"/>
    <mergeCell ref="E421:F421"/>
    <mergeCell ref="G421:L421"/>
    <mergeCell ref="F413:N413"/>
    <mergeCell ref="M143:N143"/>
    <mergeCell ref="E94:N94"/>
    <mergeCell ref="E121:G121"/>
    <mergeCell ref="E100:G100"/>
    <mergeCell ref="E108:N108"/>
    <mergeCell ref="E97:G97"/>
    <mergeCell ref="E95:G95"/>
    <mergeCell ref="E128:G128"/>
    <mergeCell ref="E345:F345"/>
    <mergeCell ref="E190:N190"/>
    <mergeCell ref="E149:N149"/>
    <mergeCell ref="E99:G99"/>
    <mergeCell ref="E117:N117"/>
    <mergeCell ref="E200:G200"/>
    <mergeCell ref="E201:G201"/>
    <mergeCell ref="E129:G129"/>
    <mergeCell ref="E124:G124"/>
    <mergeCell ref="E119:G119"/>
    <mergeCell ref="E109:N109"/>
    <mergeCell ref="E150:G150"/>
    <mergeCell ref="E151:G151"/>
    <mergeCell ref="E178:G178"/>
    <mergeCell ref="G249:L249"/>
    <mergeCell ref="G252:L252"/>
    <mergeCell ref="E362:G362"/>
    <mergeCell ref="E363:G363"/>
    <mergeCell ref="E364:G364"/>
    <mergeCell ref="E321:G321"/>
    <mergeCell ref="E365:G365"/>
    <mergeCell ref="E358:G358"/>
    <mergeCell ref="E359:G359"/>
    <mergeCell ref="E360:G360"/>
    <mergeCell ref="E269:G269"/>
    <mergeCell ref="E270:G270"/>
    <mergeCell ref="E271:G271"/>
    <mergeCell ref="E352:F352"/>
    <mergeCell ref="E343:F343"/>
    <mergeCell ref="E351:F351"/>
    <mergeCell ref="E349:F349"/>
    <mergeCell ref="E350:F350"/>
    <mergeCell ref="E346:F346"/>
    <mergeCell ref="G350:L350"/>
    <mergeCell ref="G351:L351"/>
    <mergeCell ref="G347:L347"/>
    <mergeCell ref="E307:G307"/>
    <mergeCell ref="E179:G179"/>
    <mergeCell ref="E172:G172"/>
    <mergeCell ref="E173:G173"/>
    <mergeCell ref="E174:G174"/>
    <mergeCell ref="E175:G175"/>
    <mergeCell ref="E176:G176"/>
    <mergeCell ref="E177:G177"/>
    <mergeCell ref="E159:F159"/>
    <mergeCell ref="G159:H159"/>
    <mergeCell ref="E180:G180"/>
    <mergeCell ref="E181:G181"/>
    <mergeCell ref="E148:N148"/>
    <mergeCell ref="I144:N144"/>
    <mergeCell ref="E110:N110"/>
    <mergeCell ref="E403:N403"/>
    <mergeCell ref="E379:G379"/>
    <mergeCell ref="E422:F422"/>
    <mergeCell ref="G422:L422"/>
    <mergeCell ref="E388:G388"/>
    <mergeCell ref="E389:G389"/>
    <mergeCell ref="E393:N393"/>
    <mergeCell ref="E417:F417"/>
    <mergeCell ref="E404:N404"/>
    <mergeCell ref="I398:L398"/>
    <mergeCell ref="M398:N398"/>
    <mergeCell ref="E401:N401"/>
    <mergeCell ref="E394:N394"/>
    <mergeCell ref="E410:N410"/>
    <mergeCell ref="E411:N411"/>
    <mergeCell ref="I399:N399"/>
    <mergeCell ref="E391:G391"/>
    <mergeCell ref="E384:G384"/>
    <mergeCell ref="E383:N383"/>
    <mergeCell ref="E478:N478"/>
    <mergeCell ref="E474:G474"/>
    <mergeCell ref="E472:N472"/>
    <mergeCell ref="H487:L487"/>
    <mergeCell ref="E482:G482"/>
    <mergeCell ref="E487:G487"/>
    <mergeCell ref="I467:N467"/>
    <mergeCell ref="E500:G500"/>
    <mergeCell ref="E501:G501"/>
    <mergeCell ref="H484:L484"/>
    <mergeCell ref="H485:L485"/>
    <mergeCell ref="H486:L486"/>
    <mergeCell ref="E503:G503"/>
    <mergeCell ref="E504:G504"/>
    <mergeCell ref="E505:G505"/>
    <mergeCell ref="E538:G538"/>
    <mergeCell ref="E539:G539"/>
    <mergeCell ref="E540:G540"/>
    <mergeCell ref="E541:G541"/>
    <mergeCell ref="E542:G542"/>
    <mergeCell ref="E543:G543"/>
    <mergeCell ref="E526:G526"/>
  </mergeCells>
  <phoneticPr fontId="31" type="noConversion"/>
  <conditionalFormatting sqref="B2:D4">
    <cfRule type="expression" dxfId="100" priority="128" stopIfTrue="1">
      <formula>$G$573</formula>
    </cfRule>
  </conditionalFormatting>
  <conditionalFormatting sqref="C14:N53 C54:E63 H54:N63 C64:N140 C146:N171 C172:E181 H172:N181 C182:N231 C237:N262 C263:E272 H263:N272 C273:N322 C328:N356 C357:E366 H357:N366 C367:N395 C401:N429 C430:E439 H430:N439 C469:N495 C496:E505 H496:N505 C506:N506 C512:N537 C538:E547 H538:N547 C548:N548">
    <cfRule type="expression" dxfId="99" priority="7" stopIfTrue="1">
      <formula>INDEX($AC:$AC,MATCH(MAX(INDIRECT(ADDRESS(1,3)&amp;":"&amp;ADDRESS(ROW(C14),3))),$C:$C,0))</formula>
    </cfRule>
  </conditionalFormatting>
  <conditionalFormatting sqref="C440:N463">
    <cfRule type="expression" dxfId="98" priority="1" stopIfTrue="1">
      <formula>INDEX($AC:$AC,MATCH(MAX(INDIRECT(ADDRESS(1,3)&amp;":"&amp;ADDRESS(ROW(C440),3))),$C:$C,0))</formula>
    </cfRule>
  </conditionalFormatting>
  <conditionalFormatting sqref="E40:M40">
    <cfRule type="expression" dxfId="97" priority="351" stopIfTrue="1">
      <formula>$AC13</formula>
    </cfRule>
  </conditionalFormatting>
  <conditionalFormatting sqref="G3:N4">
    <cfRule type="expression" dxfId="96" priority="349" stopIfTrue="1">
      <formula>INDEX($G$280:$G$286,MATCH("BM"&amp;P3,$F$280:$F$286,0))</formula>
    </cfRule>
  </conditionalFormatting>
  <conditionalFormatting sqref="I474:M474">
    <cfRule type="expression" dxfId="95" priority="38" stopIfTrue="1">
      <formula>$AC474</formula>
    </cfRule>
  </conditionalFormatting>
  <conditionalFormatting sqref="I517:M517">
    <cfRule type="expression" dxfId="94" priority="39" stopIfTrue="1">
      <formula>$AC517</formula>
    </cfRule>
  </conditionalFormatting>
  <conditionalFormatting sqref="N23:N24">
    <cfRule type="expression" dxfId="93" priority="36" stopIfTrue="1">
      <formula>$AA23</formula>
    </cfRule>
  </conditionalFormatting>
  <conditionalFormatting sqref="N150:N151">
    <cfRule type="expression" dxfId="92" priority="35" stopIfTrue="1">
      <formula>$AA150</formula>
    </cfRule>
  </conditionalFormatting>
  <conditionalFormatting sqref="N241:N242">
    <cfRule type="expression" dxfId="91" priority="34" stopIfTrue="1">
      <formula>$AA241</formula>
    </cfRule>
  </conditionalFormatting>
  <conditionalFormatting sqref="N332:N333">
    <cfRule type="expression" dxfId="90" priority="33" stopIfTrue="1">
      <formula>$AA332</formula>
    </cfRule>
  </conditionalFormatting>
  <conditionalFormatting sqref="N405:N406">
    <cfRule type="expression" dxfId="89" priority="32" stopIfTrue="1">
      <formula>$AA405</formula>
    </cfRule>
  </conditionalFormatting>
  <conditionalFormatting sqref="N473:N474">
    <cfRule type="expression" dxfId="88" priority="31" stopIfTrue="1">
      <formula>$AA473</formula>
    </cfRule>
  </conditionalFormatting>
  <conditionalFormatting sqref="N516:N517">
    <cfRule type="expression" dxfId="87" priority="30" stopIfTrue="1">
      <formula>$AA516</formula>
    </cfRule>
  </conditionalFormatting>
  <dataValidations count="6">
    <dataValidation type="list" allowBlank="1" showInputMessage="1" showErrorMessage="1" sqref="G40:G49 G158:G167" xr:uid="{B45B1961-B601-4378-B9C7-C60DBD8F3D81}">
      <formula1>CNTR_ConnectionListAndWithinInst</formula1>
    </dataValidation>
    <dataValidation type="list" allowBlank="1" showInputMessage="1" showErrorMessage="1" sqref="E40:F49 E158:F167" xr:uid="{562D4825-F579-4B5A-8B64-F4460DA18DB3}">
      <formula1>EUconst_HeatUseTypes</formula1>
    </dataValidation>
    <dataValidation type="list" allowBlank="1" showInputMessage="1" showErrorMessage="1" sqref="E343:F352 E416:F425" xr:uid="{0311F372-5E3D-43D1-89A7-4F3A00AE28F9}">
      <formula1>EUconst_FuelUseTypes</formula1>
    </dataValidation>
    <dataValidation type="list" allowBlank="1" showInputMessage="1" showErrorMessage="1" sqref="E482:E491 E524:E533" xr:uid="{9CEA1659-2D14-4534-8003-E3EE20A8E02F}">
      <formula1>EUconst_ProcessEmissionTypes</formula1>
    </dataValidation>
    <dataValidation type="list" allowBlank="1" showInputMessage="1" showErrorMessage="1" sqref="G249:L258" xr:uid="{57CF4476-F4F9-4D37-9639-FF2624323D90}">
      <formula1>CNTR_ConnectionEntityList</formula1>
    </dataValidation>
    <dataValidation type="decimal" operator="greaterThanOrEqual" allowBlank="1" showInputMessage="1" showErrorMessage="1" errorTitle="Value &lt; 0" error="Values have to be &gt;= 0" sqref="I391:M391 I461:M461" xr:uid="{93B81723-5341-4FAB-9A50-0FA1E05783B1}">
      <formula1>0</formula1>
    </dataValidation>
  </dataValidations>
  <hyperlinks>
    <hyperlink ref="G2:H2" location="JUMP_TOC_Home" display="Table of contents" xr:uid="{0FF95069-0F41-45D5-9A4A-F552EA9293CC}"/>
    <hyperlink ref="M2:N2" location="JUMP_K_I" display="Summary" xr:uid="{CF0F6E98-16B3-48BF-8523-6F7AE8906F41}"/>
    <hyperlink ref="E3:F3" location="JUMP_G_Top" display="Top of sheet" xr:uid="{7C7DA5E1-549B-462E-B170-54BC0ED2CD10}"/>
    <hyperlink ref="I2:J2" location="JUMP_F_Top" display="Previous sheet" xr:uid="{DE6A2180-C078-4F4B-B04C-733045F00FBD}"/>
    <hyperlink ref="E4:F4" location="JUMP_G_Bottom" display="End of sheet" xr:uid="{FE224D31-1D94-453D-9E24-DD68C369CB3A}"/>
    <hyperlink ref="D551:N551" location="JUMP_H_Top" display="&lt;&lt;&lt; Click here to proceed to next sheet &gt;&gt;&gt; " xr:uid="{3E291967-966F-4CCC-BAE6-893701A94CFB}"/>
    <hyperlink ref="K2:L2" location="JUMP_H_Top" display="Next sheet" xr:uid="{DE233FD3-0EC9-40F4-8DFE-6DB39B2F7657}"/>
    <hyperlink ref="E328:N328" location="JUMP_G_Top" display="JUMP_G_Top" xr:uid="{99C7746D-3350-4C6A-A00F-B4B75B5786D0}"/>
    <hyperlink ref="E469:N469" location="JUMP_G_Top" display="JUMP_G_Top" xr:uid="{818A3A4D-1932-4ED0-940C-D76B84B75B06}"/>
    <hyperlink ref="E237:N237" location="JUMP_G_Top" display="JUMP_G_Top" xr:uid="{80274902-FDD2-4E0A-BB24-4551F4682FD6}"/>
    <hyperlink ref="E146:N146" location="JUMP_G_Top" display="JUMP_G_Top" xr:uid="{77A0E6D1-FCC5-4410-A963-9246D52D9C45}"/>
    <hyperlink ref="E401:N401" location="JUMP_G_Top" display="JUMP_G_Top" xr:uid="{10BFD6BC-DEA4-45D2-9871-C92AA9BFB973}"/>
    <hyperlink ref="E512:N512" location="JUMP_G_Top" display="JUMP_G_Top" xr:uid="{6045B735-68B1-4889-A591-2A814861AA8C}"/>
    <hyperlink ref="E515:N515" location="JUMP_D_IV" display="Values entered here should include eligible emissions from any waste gases as determined in section D.IV." xr:uid="{50284D3D-DF0F-476D-88A7-6DE08C8A161B}"/>
    <hyperlink ref="E472:N472" location="JUMP_D_IV" display="Values entered here should include eligible emissions from any waste gases as determined in section D.IV." xr:uid="{1E4F3C3F-3350-4E97-9368-49326883C7BA}"/>
    <hyperlink ref="E20:N20" location="JUMP_E_HeatFinal" display="Values entered here should include eligible emissions from any waste gases as determined in section D.IV." xr:uid="{0158F948-1F79-4A4A-9501-8D2ECB934082}"/>
    <hyperlink ref="E149:N149" location="JUMP_E_HeatFinal" display="Values entered here should include eligible emissions from any waste gases as determined in section D.IV." xr:uid="{9A49F9E0-678F-4B41-A4A3-3BE454EC3174}"/>
    <hyperlink ref="E240:N240" location="JUMP_E_HeatFinal" display="Values entered here should include eligible emissions from any waste gases as determined in section D.IV." xr:uid="{2057739D-1175-42E4-B35F-9D7A2C767F47}"/>
    <hyperlink ref="E331:N331" location="JUMP_E_I" display="The following data is taken automatically from sheet &quot;E_EnergyFlows&quot;, section E.II.r. Thus, data input is mandatory there." xr:uid="{88933B2C-2A87-4F67-AC9B-3D1790E81791}"/>
    <hyperlink ref="E404:N404" location="JUMP_E_I" display="The following data is taken automatically from sheet &quot;E_EnergyFlows&quot;, section E.II.r. Thus, data input is mandatory there." xr:uid="{F01A064D-2EA5-44C9-8B6E-70F7B4500780}"/>
    <hyperlink ref="E118:M118" location="JUMP_D_III" display="For attributing emissions from cogeneration (CHP) to production of heat and electricity, the &quot;CHP tool&quot; in section D.III. has to be used." xr:uid="{9E0DD5EC-B012-444B-98F5-CFEA7E3D9BE1}"/>
    <hyperlink ref="E75:M75" location="JUMP_K_III2" display="Upon entries made below, the attributable emissions are calculated in section K.III.2 of the summary sheet." xr:uid="{8D5A05F5-2F49-47B2-9116-74908E474DB6}"/>
    <hyperlink ref="E35" r:id="rId1" xr:uid="{FA74FB86-9F1F-4FED-BDD3-4D03E246FDA6}"/>
  </hyperlinks>
  <pageMargins left="0.78740157480314965" right="0.78740157480314965" top="0.78740157480314965" bottom="0.78740157480314965" header="0.51181102362204722" footer="0.51181102362204722"/>
  <pageSetup paperSize="9" scale="61" fitToHeight="25" orientation="portrait" r:id="rId2"/>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7BA7C-9F41-4972-8EE1-98EFE50DD358}">
  <sheetPr codeName="Tabelle10">
    <tabColor indexed="40"/>
    <pageSetUpPr fitToPage="1"/>
  </sheetPr>
  <dimension ref="A1:X395"/>
  <sheetViews>
    <sheetView topLeftCell="B1" zoomScaleNormal="100" workbookViewId="0">
      <pane ySplit="5" topLeftCell="A6" activePane="bottomLeft" state="frozen"/>
      <selection activeCell="B2" sqref="B2"/>
      <selection pane="bottomLeft" activeCell="B6" sqref="B6"/>
    </sheetView>
  </sheetViews>
  <sheetFormatPr defaultColWidth="0" defaultRowHeight="13.2" zeroHeight="1" x14ac:dyDescent="0.25"/>
  <cols>
    <col min="1" max="1" width="2.6640625" style="145" hidden="1" customWidth="1"/>
    <col min="2" max="2" width="2.6640625" style="220" customWidth="1"/>
    <col min="3" max="4" width="4.6640625" style="220" customWidth="1"/>
    <col min="5" max="14" width="12.6640625" style="220" customWidth="1"/>
    <col min="15" max="15" width="13.33203125" style="220" customWidth="1"/>
    <col min="16" max="16" width="12.6640625" style="145" hidden="1" customWidth="1"/>
    <col min="17" max="24" width="11.44140625" style="145" hidden="1" customWidth="1"/>
    <col min="25" max="16384" width="11.44140625" style="276" hidden="1"/>
  </cols>
  <sheetData>
    <row r="1" spans="1:24" s="145" customFormat="1" ht="13.8" hidden="1" thickBot="1" x14ac:dyDescent="0.3">
      <c r="A1" s="145" t="s">
        <v>187</v>
      </c>
      <c r="P1" s="145" t="s">
        <v>187</v>
      </c>
      <c r="Q1" s="145" t="s">
        <v>187</v>
      </c>
      <c r="R1" s="145" t="s">
        <v>187</v>
      </c>
      <c r="S1" s="145" t="s">
        <v>187</v>
      </c>
      <c r="T1" s="145" t="s">
        <v>187</v>
      </c>
      <c r="U1" s="145" t="s">
        <v>187</v>
      </c>
      <c r="V1" s="145" t="s">
        <v>187</v>
      </c>
      <c r="W1" s="145" t="s">
        <v>187</v>
      </c>
      <c r="X1" s="145" t="s">
        <v>187</v>
      </c>
    </row>
    <row r="2" spans="1:24" ht="13.8" thickBot="1" x14ac:dyDescent="0.3">
      <c r="B2" s="1282" t="str">
        <f>Translations!$B$901</f>
        <v>H. 
Special BM</v>
      </c>
      <c r="C2" s="1283"/>
      <c r="D2" s="1284"/>
      <c r="E2" s="318" t="str">
        <f>Translations!$B$2</f>
        <v>Navigation area:</v>
      </c>
      <c r="F2" s="752"/>
      <c r="G2" s="1291" t="str">
        <f>Translations!$B$18</f>
        <v>Table of contents</v>
      </c>
      <c r="H2" s="1147"/>
      <c r="I2" s="1147" t="str">
        <f>Translations!$B$19</f>
        <v>Previous sheet</v>
      </c>
      <c r="J2" s="1147"/>
      <c r="K2" s="1147" t="str">
        <f>Translations!$B$3</f>
        <v>Next sheet</v>
      </c>
      <c r="L2" s="1147"/>
      <c r="M2" s="1147" t="str">
        <f>Translations!$B$4</f>
        <v>Summary</v>
      </c>
      <c r="N2" s="1147"/>
      <c r="O2" s="8"/>
      <c r="P2" s="9"/>
      <c r="Q2" s="9"/>
      <c r="R2" s="9"/>
      <c r="S2" s="9"/>
      <c r="T2" s="9"/>
      <c r="U2" s="9"/>
      <c r="V2" s="9"/>
      <c r="W2" s="9"/>
      <c r="X2" s="9"/>
    </row>
    <row r="3" spans="1:24" ht="13.8" thickBot="1" x14ac:dyDescent="0.3">
      <c r="B3" s="1285"/>
      <c r="C3" s="1286"/>
      <c r="D3" s="1287"/>
      <c r="E3" s="1147" t="str">
        <f>Translations!$B$5</f>
        <v>Top of sheet</v>
      </c>
      <c r="F3" s="1276"/>
      <c r="G3" s="1654" t="str">
        <f>JUMP_H_I</f>
        <v>CWT (Refinery products)</v>
      </c>
      <c r="H3" s="1469"/>
      <c r="I3" s="1469" t="str">
        <f>JUMP_H_II</f>
        <v>Lime</v>
      </c>
      <c r="J3" s="1469"/>
      <c r="K3" s="1469" t="str">
        <f>JUMP_H_III</f>
        <v>Dolime</v>
      </c>
      <c r="L3" s="1469"/>
      <c r="M3" s="1469" t="str">
        <f>JUMP_H_IV</f>
        <v>Steam cracking</v>
      </c>
      <c r="N3" s="1469"/>
      <c r="O3" s="8"/>
      <c r="P3" s="9"/>
      <c r="Q3" s="9"/>
      <c r="R3" s="9"/>
      <c r="S3" s="9"/>
      <c r="T3" s="9"/>
      <c r="U3" s="9"/>
      <c r="V3" s="9"/>
      <c r="W3" s="9"/>
      <c r="X3" s="9"/>
    </row>
    <row r="4" spans="1:24" ht="13.8" thickBot="1" x14ac:dyDescent="0.3">
      <c r="B4" s="1288"/>
      <c r="C4" s="1289"/>
      <c r="D4" s="1290"/>
      <c r="E4" s="1147" t="str">
        <f>Translations!$B$6</f>
        <v>End of sheet</v>
      </c>
      <c r="F4" s="1147"/>
      <c r="G4" s="1281" t="str">
        <f>JUMP_H_V</f>
        <v>CWT (Aromatics)</v>
      </c>
      <c r="H4" s="1279"/>
      <c r="I4" s="1279" t="str">
        <f>JUMP_H_VI</f>
        <v>Hydrogen</v>
      </c>
      <c r="J4" s="1279"/>
      <c r="K4" s="1279" t="str">
        <f>JUMP_H_VII</f>
        <v>Synthesis gas</v>
      </c>
      <c r="L4" s="1279"/>
      <c r="M4" s="1279" t="str">
        <f>JUMP_H_VIII</f>
        <v>Ethylene oxide / glycols</v>
      </c>
      <c r="N4" s="1279"/>
      <c r="O4" s="8"/>
      <c r="P4" s="9"/>
      <c r="Q4" s="9"/>
      <c r="R4" s="9"/>
      <c r="S4" s="9"/>
      <c r="T4" s="9"/>
      <c r="U4" s="9"/>
      <c r="V4" s="9"/>
      <c r="W4" s="9"/>
      <c r="X4" s="9"/>
    </row>
    <row r="5" spans="1:24" x14ac:dyDescent="0.25">
      <c r="B5" s="759"/>
      <c r="C5" s="759"/>
      <c r="D5" s="759"/>
      <c r="E5" s="757"/>
      <c r="F5" s="757"/>
      <c r="G5" s="1279" t="str">
        <f>JUMP_H_IX</f>
        <v>Vinyl chloride monomer (VCM)</v>
      </c>
      <c r="H5" s="1279"/>
      <c r="I5" s="1467"/>
      <c r="J5" s="1467"/>
      <c r="K5" s="1467"/>
      <c r="L5" s="1467"/>
      <c r="M5" s="1467"/>
      <c r="N5" s="1467"/>
      <c r="O5" s="8"/>
      <c r="P5" s="9"/>
      <c r="Q5" s="9"/>
      <c r="R5" s="9"/>
      <c r="S5" s="9"/>
      <c r="T5" s="9"/>
      <c r="U5" s="9"/>
      <c r="V5" s="9"/>
      <c r="W5" s="9"/>
      <c r="X5" s="9"/>
    </row>
    <row r="6" spans="1:24" x14ac:dyDescent="0.25">
      <c r="B6" s="8"/>
      <c r="C6" s="6"/>
      <c r="D6" s="8"/>
      <c r="E6" s="8"/>
      <c r="F6" s="202"/>
      <c r="G6" s="202"/>
      <c r="H6" s="202"/>
      <c r="I6" s="8"/>
      <c r="J6" s="8"/>
      <c r="K6" s="8"/>
      <c r="L6" s="8"/>
      <c r="M6" s="8"/>
      <c r="N6" s="8"/>
      <c r="O6" s="8"/>
      <c r="P6" s="9"/>
      <c r="Q6" s="9"/>
      <c r="R6" s="9"/>
      <c r="S6" s="9"/>
      <c r="T6" s="9"/>
      <c r="U6" s="9"/>
      <c r="V6" s="9"/>
      <c r="W6" s="9"/>
      <c r="X6" s="9"/>
    </row>
    <row r="7" spans="1:24" ht="23.25" customHeight="1" x14ac:dyDescent="0.25">
      <c r="B7" s="8"/>
      <c r="C7" s="10" t="s">
        <v>11</v>
      </c>
      <c r="D7" s="1207" t="str">
        <f>Translations!$B$902</f>
        <v>Sheet "SpecialBM" - SPECIAL DATA FOR SOME PRODUCT BENCHMARKS</v>
      </c>
      <c r="E7" s="1176"/>
      <c r="F7" s="1176"/>
      <c r="G7" s="1176"/>
      <c r="H7" s="1176"/>
      <c r="I7" s="1176"/>
      <c r="J7" s="1176"/>
      <c r="K7" s="1176"/>
      <c r="L7" s="1176"/>
      <c r="M7" s="1176"/>
      <c r="N7" s="1176"/>
      <c r="O7" s="8"/>
      <c r="P7" s="11" t="s">
        <v>188</v>
      </c>
      <c r="Q7" s="11" t="s">
        <v>188</v>
      </c>
      <c r="R7" s="11" t="s">
        <v>188</v>
      </c>
      <c r="S7" s="11" t="s">
        <v>188</v>
      </c>
      <c r="T7" s="11" t="s">
        <v>188</v>
      </c>
      <c r="U7" s="11" t="s">
        <v>188</v>
      </c>
      <c r="V7" s="11" t="s">
        <v>188</v>
      </c>
      <c r="W7" s="11" t="s">
        <v>188</v>
      </c>
      <c r="X7" s="11" t="s">
        <v>188</v>
      </c>
    </row>
    <row r="8" spans="1:24" x14ac:dyDescent="0.25">
      <c r="B8" s="8"/>
      <c r="C8" s="8"/>
      <c r="D8" s="8"/>
      <c r="E8" s="8"/>
      <c r="F8" s="8"/>
      <c r="G8" s="8"/>
      <c r="H8" s="8"/>
      <c r="I8" s="8"/>
      <c r="J8" s="8"/>
      <c r="K8" s="8"/>
      <c r="L8" s="8"/>
      <c r="M8" s="8"/>
      <c r="N8" s="8"/>
      <c r="O8" s="8"/>
      <c r="P8" s="12" t="s">
        <v>189</v>
      </c>
      <c r="Q8" s="12" t="s">
        <v>189</v>
      </c>
      <c r="R8" s="12" t="s">
        <v>189</v>
      </c>
      <c r="S8" s="12" t="s">
        <v>189</v>
      </c>
      <c r="T8" s="12" t="s">
        <v>189</v>
      </c>
      <c r="U8" s="12" t="s">
        <v>189</v>
      </c>
      <c r="V8" s="12" t="s">
        <v>189</v>
      </c>
      <c r="W8" s="12" t="s">
        <v>189</v>
      </c>
      <c r="X8" s="12" t="s">
        <v>189</v>
      </c>
    </row>
    <row r="9" spans="1:24" ht="15.6" x14ac:dyDescent="0.3">
      <c r="B9" s="8"/>
      <c r="C9" s="13" t="s">
        <v>3</v>
      </c>
      <c r="D9" s="1175" t="str">
        <f>Translations!$B$903</f>
        <v>CWT (Refinery products)</v>
      </c>
      <c r="E9" s="1175"/>
      <c r="F9" s="1175"/>
      <c r="G9" s="1175"/>
      <c r="H9" s="1175"/>
      <c r="I9" s="1175"/>
      <c r="J9" s="1175"/>
      <c r="K9" s="1175"/>
      <c r="L9" s="1175"/>
      <c r="M9" s="1175"/>
      <c r="N9" s="1175"/>
      <c r="O9" s="8"/>
      <c r="P9" s="9"/>
    </row>
    <row r="10" spans="1:24" ht="5.0999999999999996" customHeight="1" x14ac:dyDescent="0.25">
      <c r="B10" s="8"/>
      <c r="C10" s="8"/>
      <c r="D10" s="8"/>
      <c r="E10" s="8"/>
      <c r="F10" s="8"/>
      <c r="G10" s="8"/>
      <c r="H10" s="8"/>
      <c r="I10" s="8"/>
      <c r="J10" s="8"/>
      <c r="K10" s="8"/>
      <c r="L10" s="8"/>
      <c r="M10" s="8"/>
      <c r="N10" s="8"/>
      <c r="O10" s="8"/>
      <c r="P10" s="9"/>
    </row>
    <row r="11" spans="1:24" ht="13.8" x14ac:dyDescent="0.25">
      <c r="B11" s="8"/>
      <c r="C11" s="19"/>
      <c r="D11" s="1234" t="str">
        <f>Translations!$B$904</f>
        <v>Tool for calculating the historical activity levels for refinery sub-installations</v>
      </c>
      <c r="E11" s="1176"/>
      <c r="F11" s="1176"/>
      <c r="G11" s="1176"/>
      <c r="H11" s="1176"/>
      <c r="I11" s="1176"/>
      <c r="J11" s="1176"/>
      <c r="K11" s="1176"/>
      <c r="L11" s="1176"/>
      <c r="M11" s="1176"/>
      <c r="N11" s="1176"/>
      <c r="O11" s="8"/>
      <c r="P11" s="9"/>
    </row>
    <row r="12" spans="1:24" ht="5.0999999999999996" customHeight="1" x14ac:dyDescent="0.25">
      <c r="B12" s="8"/>
      <c r="C12" s="8"/>
      <c r="D12" s="8"/>
      <c r="E12" s="8"/>
      <c r="F12" s="8"/>
      <c r="G12" s="8"/>
      <c r="H12" s="8"/>
      <c r="I12" s="8"/>
      <c r="J12" s="8"/>
      <c r="K12" s="8"/>
      <c r="L12" s="8"/>
      <c r="M12" s="8"/>
      <c r="N12" s="8"/>
      <c r="O12" s="8"/>
      <c r="P12" s="9"/>
    </row>
    <row r="13" spans="1:24" x14ac:dyDescent="0.25">
      <c r="B13" s="8"/>
      <c r="C13" s="8"/>
      <c r="D13" s="17"/>
      <c r="E13" s="1223" t="s">
        <v>484</v>
      </c>
      <c r="F13" s="1176"/>
      <c r="G13" s="1176"/>
      <c r="H13" s="1176"/>
      <c r="I13" s="1176"/>
      <c r="J13" s="1176"/>
      <c r="K13" s="1176"/>
      <c r="L13" s="1176"/>
      <c r="M13" s="1176"/>
      <c r="N13" s="1176"/>
      <c r="O13" s="8"/>
      <c r="P13" s="9"/>
    </row>
    <row r="14" spans="1:24" x14ac:dyDescent="0.25">
      <c r="B14" s="8"/>
      <c r="C14" s="8"/>
      <c r="D14" s="17"/>
      <c r="E14" s="1223" t="str">
        <f>Translations!$B$906</f>
        <v>For the aromatics benchmark, which also uses CWT, please use the specific CWT tool for aromatics below (section V of this sheet).</v>
      </c>
      <c r="F14" s="1176"/>
      <c r="G14" s="1176"/>
      <c r="H14" s="1176"/>
      <c r="I14" s="1176"/>
      <c r="J14" s="1176"/>
      <c r="K14" s="1176"/>
      <c r="L14" s="1176"/>
      <c r="M14" s="1176"/>
      <c r="N14" s="1176"/>
      <c r="O14" s="8"/>
      <c r="P14" s="9"/>
    </row>
    <row r="15" spans="1:24" x14ac:dyDescent="0.25">
      <c r="B15" s="8"/>
      <c r="C15" s="8"/>
      <c r="D15" s="17"/>
      <c r="E15" s="1223" t="str">
        <f>Translations!$B$907</f>
        <v>The result of this tool is automatically copied into sheet "F_ProductBM", input line "(a).ii" of the appropriate sub-installation.</v>
      </c>
      <c r="F15" s="1176"/>
      <c r="G15" s="1176"/>
      <c r="H15" s="1176"/>
      <c r="I15" s="1176"/>
      <c r="J15" s="1176"/>
      <c r="K15" s="1176"/>
      <c r="L15" s="1176"/>
      <c r="M15" s="1176"/>
      <c r="N15" s="1176"/>
      <c r="O15" s="8"/>
      <c r="P15" s="9"/>
    </row>
    <row r="16" spans="1:24" ht="5.0999999999999996" customHeight="1" x14ac:dyDescent="0.25">
      <c r="B16" s="8"/>
      <c r="C16" s="8"/>
      <c r="D16" s="8"/>
      <c r="E16" s="8"/>
      <c r="F16" s="8"/>
      <c r="G16" s="8"/>
      <c r="H16" s="8"/>
      <c r="I16" s="8"/>
      <c r="J16" s="8"/>
      <c r="K16" s="8"/>
      <c r="L16" s="8"/>
      <c r="M16" s="8"/>
      <c r="N16" s="8"/>
      <c r="O16" s="8"/>
      <c r="P16" s="9"/>
    </row>
    <row r="17" spans="2:22" ht="13.8" x14ac:dyDescent="0.25">
      <c r="B17" s="8"/>
      <c r="C17" s="8"/>
      <c r="D17" s="15" t="s">
        <v>190</v>
      </c>
      <c r="E17" s="1165" t="str">
        <f>Translations!$B$908</f>
        <v>Relevance of this tool in your installation:</v>
      </c>
      <c r="F17" s="1165"/>
      <c r="G17" s="1165"/>
      <c r="H17" s="1165"/>
      <c r="I17" s="1165"/>
      <c r="J17" s="1165"/>
      <c r="K17" s="1425"/>
      <c r="L17" s="1650" t="str">
        <f>IF(CNTR_ExistSubInstEntries,IF(COUNTIF(CNTR_SubInstListNames,INDEX(EUconst_BMlistNames,Q17))&gt;0,EUconst_Relevant,EUconst_NotRelevant),"")</f>
        <v/>
      </c>
      <c r="M17" s="1651"/>
      <c r="N17" s="1652"/>
      <c r="O17" s="8"/>
      <c r="P17" s="124" t="s">
        <v>485</v>
      </c>
      <c r="Q17" s="115">
        <v>1</v>
      </c>
    </row>
    <row r="18" spans="2:22" x14ac:dyDescent="0.25">
      <c r="B18" s="8"/>
      <c r="C18" s="8"/>
      <c r="D18" s="17"/>
      <c r="E18" s="1211" t="str">
        <f>Translations!$B$909</f>
        <v>This message is automatically generated based on your inputs in sheet "A_InstallationData", section A.III.1.</v>
      </c>
      <c r="F18" s="1212"/>
      <c r="G18" s="1212"/>
      <c r="H18" s="1212"/>
      <c r="I18" s="1212"/>
      <c r="J18" s="1212"/>
      <c r="K18" s="1212"/>
      <c r="L18" s="1212"/>
      <c r="M18" s="1212"/>
      <c r="N18" s="1212"/>
      <c r="O18" s="8"/>
    </row>
    <row r="19" spans="2:22" x14ac:dyDescent="0.25">
      <c r="B19" s="8"/>
      <c r="C19" s="8"/>
      <c r="D19" s="8"/>
      <c r="E19" s="1647" t="str">
        <f>IF(L17=EUconst_Relevant,HYPERLINK(Q19,EUconst_MsgBackToSheetF),"")</f>
        <v/>
      </c>
      <c r="F19" s="1648"/>
      <c r="G19" s="1648"/>
      <c r="H19" s="1648"/>
      <c r="I19" s="1648"/>
      <c r="J19" s="1648"/>
      <c r="K19" s="1648"/>
      <c r="L19" s="1648"/>
      <c r="M19" s="1648"/>
      <c r="N19" s="1649"/>
      <c r="O19" s="8"/>
      <c r="P19" s="124" t="s">
        <v>486</v>
      </c>
      <c r="Q19" s="63" t="str">
        <f>IF(ISNUMBER(MATCH(Q17,CNTR_SubInstListBMnumbers,0)),"#JUMP_F"&amp;MATCH(Q17,CNTR_SubInstListBMnumbers,0),"")</f>
        <v/>
      </c>
    </row>
    <row r="20" spans="2:22" ht="5.0999999999999996" customHeight="1" x14ac:dyDescent="0.25">
      <c r="B20" s="8"/>
      <c r="C20" s="8"/>
      <c r="D20" s="8"/>
      <c r="E20" s="8"/>
      <c r="F20" s="8"/>
      <c r="G20" s="8"/>
      <c r="H20" s="8"/>
      <c r="I20" s="8"/>
      <c r="J20" s="8"/>
      <c r="K20" s="8"/>
      <c r="L20" s="8"/>
      <c r="M20" s="8"/>
      <c r="N20" s="8"/>
      <c r="O20" s="8"/>
      <c r="P20" s="9"/>
    </row>
    <row r="21" spans="2:22" x14ac:dyDescent="0.25">
      <c r="B21" s="8"/>
      <c r="C21" s="8"/>
      <c r="D21" s="15" t="s">
        <v>192</v>
      </c>
      <c r="E21" s="1165" t="str">
        <f>Translations!$B$910</f>
        <v>CWT throughput data</v>
      </c>
      <c r="F21" s="1176"/>
      <c r="G21" s="1176"/>
      <c r="H21" s="1176"/>
      <c r="I21" s="1176"/>
      <c r="J21" s="1176"/>
      <c r="K21" s="1176"/>
      <c r="L21" s="1176"/>
      <c r="M21" s="1176"/>
      <c r="N21" s="1176"/>
      <c r="O21" s="8"/>
      <c r="P21" s="9"/>
    </row>
    <row r="22" spans="2:22" x14ac:dyDescent="0.25">
      <c r="B22" s="8"/>
      <c r="C22" s="8"/>
      <c r="D22" s="17"/>
      <c r="E22" s="1223" t="str">
        <f>Translations!$B$911</f>
        <v>Please enter here the annual throughput data for each CWT function.</v>
      </c>
      <c r="F22" s="1176"/>
      <c r="G22" s="1176"/>
      <c r="H22" s="1176"/>
      <c r="I22" s="1176"/>
      <c r="J22" s="1176"/>
      <c r="K22" s="1176"/>
      <c r="L22" s="1176"/>
      <c r="M22" s="1176"/>
      <c r="N22" s="1176"/>
      <c r="O22" s="8"/>
      <c r="P22" s="9"/>
    </row>
    <row r="23" spans="2:22" x14ac:dyDescent="0.25">
      <c r="B23" s="8"/>
      <c r="C23" s="8"/>
      <c r="D23" s="17"/>
      <c r="E23" s="1223" t="s">
        <v>487</v>
      </c>
      <c r="F23" s="1176"/>
      <c r="G23" s="1176"/>
      <c r="H23" s="1176"/>
      <c r="I23" s="1176"/>
      <c r="J23" s="1176"/>
      <c r="K23" s="1176"/>
      <c r="L23" s="1176"/>
      <c r="M23" s="1176"/>
      <c r="N23" s="1176"/>
      <c r="O23" s="8"/>
      <c r="P23" s="9"/>
    </row>
    <row r="24" spans="2:22" x14ac:dyDescent="0.25">
      <c r="B24" s="8"/>
      <c r="C24" s="8"/>
      <c r="D24" s="17"/>
      <c r="E24" s="1223" t="str">
        <f>Translations!$B$913</f>
        <v>For the basis the following abbreviations are used:</v>
      </c>
      <c r="F24" s="1176"/>
      <c r="G24" s="1176"/>
      <c r="H24" s="1176"/>
      <c r="I24" s="1176"/>
      <c r="J24" s="1176"/>
      <c r="K24" s="1176"/>
      <c r="L24" s="1176"/>
      <c r="M24" s="1176"/>
      <c r="N24" s="1176"/>
      <c r="O24" s="8"/>
      <c r="P24" s="9"/>
    </row>
    <row r="25" spans="2:22" x14ac:dyDescent="0.25">
      <c r="B25" s="8"/>
      <c r="C25" s="8"/>
      <c r="D25" s="17"/>
      <c r="E25" s="958" t="s">
        <v>488</v>
      </c>
      <c r="F25" s="1223" t="str">
        <f>Translations!$B$914</f>
        <v>Net fresh feed</v>
      </c>
      <c r="G25" s="1176"/>
      <c r="H25" s="1176"/>
      <c r="I25" s="1176"/>
      <c r="J25" s="1176"/>
      <c r="K25" s="1176"/>
      <c r="L25" s="1176"/>
      <c r="M25" s="1176"/>
      <c r="N25" s="1176"/>
      <c r="O25" s="8"/>
      <c r="P25" s="9"/>
    </row>
    <row r="26" spans="2:22" x14ac:dyDescent="0.25">
      <c r="B26" s="8"/>
      <c r="C26" s="8"/>
      <c r="D26" s="17"/>
      <c r="E26" s="958" t="s">
        <v>489</v>
      </c>
      <c r="F26" s="1223" t="str">
        <f>Translations!$B$915</f>
        <v>Reactor feed (includes recycle)</v>
      </c>
      <c r="G26" s="1176"/>
      <c r="H26" s="1176"/>
      <c r="I26" s="1176"/>
      <c r="J26" s="1176"/>
      <c r="K26" s="1176"/>
      <c r="L26" s="1176"/>
      <c r="M26" s="1176"/>
      <c r="N26" s="1176"/>
      <c r="O26" s="8"/>
      <c r="P26" s="9"/>
    </row>
    <row r="27" spans="2:22" x14ac:dyDescent="0.25">
      <c r="B27" s="8"/>
      <c r="C27" s="8"/>
      <c r="D27" s="17"/>
      <c r="E27" s="958" t="s">
        <v>490</v>
      </c>
      <c r="F27" s="1223" t="str">
        <f>Translations!$B$916</f>
        <v>Product feed</v>
      </c>
      <c r="G27" s="1176"/>
      <c r="H27" s="1176"/>
      <c r="I27" s="1176"/>
      <c r="J27" s="1176"/>
      <c r="K27" s="1176"/>
      <c r="L27" s="1176"/>
      <c r="M27" s="1176"/>
      <c r="N27" s="1176"/>
      <c r="O27" s="8"/>
      <c r="P27" s="9"/>
    </row>
    <row r="28" spans="2:22" x14ac:dyDescent="0.25">
      <c r="B28" s="8"/>
      <c r="C28" s="8"/>
      <c r="D28" s="17"/>
      <c r="E28" s="958" t="s">
        <v>491</v>
      </c>
      <c r="F28" s="1223" t="str">
        <f>Translations!$B$917</f>
        <v>Synthesis gas production for POX units</v>
      </c>
      <c r="G28" s="1176"/>
      <c r="H28" s="1176"/>
      <c r="I28" s="1176"/>
      <c r="J28" s="1176"/>
      <c r="K28" s="1176"/>
      <c r="L28" s="1176"/>
      <c r="M28" s="1176"/>
      <c r="N28" s="1176"/>
      <c r="O28" s="8"/>
      <c r="P28" s="9"/>
    </row>
    <row r="29" spans="2:22" x14ac:dyDescent="0.25">
      <c r="B29" s="8"/>
      <c r="C29" s="8"/>
      <c r="D29" s="884"/>
      <c r="E29" s="1378" t="s">
        <v>492</v>
      </c>
      <c r="F29" s="1176"/>
      <c r="G29" s="1176"/>
      <c r="H29" s="1176"/>
      <c r="I29" s="1176"/>
      <c r="J29" s="1176"/>
      <c r="K29" s="1176"/>
      <c r="L29" s="1176"/>
      <c r="M29" s="1176"/>
      <c r="N29" s="1176"/>
      <c r="O29" s="8"/>
      <c r="P29" s="9"/>
      <c r="V29" s="145" t="s">
        <v>394</v>
      </c>
    </row>
    <row r="30" spans="2:22" ht="5.0999999999999996" customHeight="1" thickBot="1" x14ac:dyDescent="0.3">
      <c r="B30" s="8"/>
      <c r="C30" s="8"/>
      <c r="D30" s="8"/>
      <c r="E30" s="8"/>
      <c r="F30" s="8"/>
      <c r="G30" s="8"/>
      <c r="H30" s="8"/>
      <c r="I30" s="8"/>
      <c r="J30" s="8"/>
      <c r="K30" s="8"/>
      <c r="L30" s="8"/>
      <c r="M30" s="8"/>
      <c r="N30" s="8"/>
      <c r="O30" s="8"/>
      <c r="P30" s="9"/>
    </row>
    <row r="31" spans="2:22" x14ac:dyDescent="0.25">
      <c r="B31" s="17"/>
      <c r="C31" s="17"/>
      <c r="D31" s="17"/>
      <c r="E31" s="29" t="str">
        <f>Translations!$B$919</f>
        <v>CWT function</v>
      </c>
      <c r="F31" s="29"/>
      <c r="G31" s="29" t="str">
        <f>Translations!$B$920</f>
        <v>Basis (kt/a)</v>
      </c>
      <c r="H31" s="42" t="str">
        <f>Translations!$B$921</f>
        <v>CWT factor</v>
      </c>
      <c r="I31" s="149">
        <f>I$391</f>
        <v>2019</v>
      </c>
      <c r="J31" s="149">
        <f>J$391</f>
        <v>2020</v>
      </c>
      <c r="K31" s="149">
        <f>K$391</f>
        <v>2021</v>
      </c>
      <c r="L31" s="149">
        <f>L$391</f>
        <v>2022</v>
      </c>
      <c r="M31" s="394">
        <f>M$391</f>
        <v>2023</v>
      </c>
      <c r="N31" s="376" t="str">
        <f>IF(L17&lt;&gt;EUconst_Relevant,"",IF(T31,YEAR(INDEX(CNTR_SubInstStartDate,MATCH(Q17,CNTR_SubInstListBMnumbers,0)))+1,""))</f>
        <v/>
      </c>
      <c r="O31" s="8"/>
      <c r="S31" s="124" t="s">
        <v>304</v>
      </c>
      <c r="T31" s="626" t="str">
        <f>IF(L17&lt;&gt;EUconst_Relevant,"",INDEX(CNTR_SubInstLess1Year,MATCH(Q17,CNTR_SubInstListBMnumbers,0)))</f>
        <v/>
      </c>
      <c r="V31" s="284" t="b">
        <f>IF(CNTR_ExistSubInstEntries,IF(L17=EUconst_Relevant,NOT(T31),TRUE),FALSE)</f>
        <v>0</v>
      </c>
    </row>
    <row r="32" spans="2:22" ht="25.5" customHeight="1" x14ac:dyDescent="0.25">
      <c r="B32" s="17"/>
      <c r="C32" s="17"/>
      <c r="D32" s="17"/>
      <c r="E32" s="1412" t="str">
        <f>Translations!$B$922</f>
        <v>Atmospheric Crude Distillation</v>
      </c>
      <c r="F32" s="1412"/>
      <c r="G32" s="43" t="s">
        <v>488</v>
      </c>
      <c r="H32" s="959">
        <v>1</v>
      </c>
      <c r="I32" s="960"/>
      <c r="J32" s="960"/>
      <c r="K32" s="960"/>
      <c r="L32" s="960"/>
      <c r="M32" s="961"/>
      <c r="N32" s="962"/>
      <c r="O32" s="8"/>
      <c r="V32" s="285" t="b">
        <f>V31</f>
        <v>0</v>
      </c>
    </row>
    <row r="33" spans="2:22" x14ac:dyDescent="0.25">
      <c r="B33" s="17"/>
      <c r="C33" s="17"/>
      <c r="D33" s="17"/>
      <c r="E33" s="1415" t="str">
        <f>Translations!$B$923</f>
        <v xml:space="preserve">Vacuum Distillation </v>
      </c>
      <c r="F33" s="1415"/>
      <c r="G33" s="963" t="s">
        <v>488</v>
      </c>
      <c r="H33" s="964">
        <v>0.85</v>
      </c>
      <c r="I33" s="965"/>
      <c r="J33" s="965"/>
      <c r="K33" s="965"/>
      <c r="L33" s="965"/>
      <c r="M33" s="966"/>
      <c r="N33" s="967"/>
      <c r="O33" s="8"/>
      <c r="V33" s="285" t="b">
        <f t="shared" ref="V33:V87" si="0">V32</f>
        <v>0</v>
      </c>
    </row>
    <row r="34" spans="2:22" x14ac:dyDescent="0.25">
      <c r="B34" s="17"/>
      <c r="C34" s="17"/>
      <c r="D34" s="17"/>
      <c r="E34" s="1251" t="str">
        <f>Translations!$B$924</f>
        <v xml:space="preserve">Solvent Deasphalting </v>
      </c>
      <c r="F34" s="1251"/>
      <c r="G34" s="858" t="s">
        <v>488</v>
      </c>
      <c r="H34" s="968">
        <v>2.4500000000000002</v>
      </c>
      <c r="I34" s="969"/>
      <c r="J34" s="969"/>
      <c r="K34" s="969"/>
      <c r="L34" s="969"/>
      <c r="M34" s="970"/>
      <c r="N34" s="971"/>
      <c r="O34" s="8"/>
      <c r="V34" s="285" t="b">
        <f t="shared" si="0"/>
        <v>0</v>
      </c>
    </row>
    <row r="35" spans="2:22" x14ac:dyDescent="0.25">
      <c r="B35" s="17"/>
      <c r="C35" s="17"/>
      <c r="D35" s="17"/>
      <c r="E35" s="1251" t="str">
        <f>Translations!$B$925</f>
        <v xml:space="preserve">Visbreaking </v>
      </c>
      <c r="F35" s="1251"/>
      <c r="G35" s="858" t="s">
        <v>488</v>
      </c>
      <c r="H35" s="968">
        <v>1.4</v>
      </c>
      <c r="I35" s="969"/>
      <c r="J35" s="969"/>
      <c r="K35" s="969"/>
      <c r="L35" s="969"/>
      <c r="M35" s="970"/>
      <c r="N35" s="971"/>
      <c r="O35" s="8"/>
      <c r="V35" s="285" t="b">
        <f t="shared" si="0"/>
        <v>0</v>
      </c>
    </row>
    <row r="36" spans="2:22" x14ac:dyDescent="0.25">
      <c r="B36" s="17"/>
      <c r="C36" s="17"/>
      <c r="D36" s="17"/>
      <c r="E36" s="1251" t="str">
        <f>Translations!$B$926</f>
        <v>Thermal Cracking</v>
      </c>
      <c r="F36" s="1251"/>
      <c r="G36" s="858" t="s">
        <v>488</v>
      </c>
      <c r="H36" s="968">
        <v>2.7</v>
      </c>
      <c r="I36" s="969"/>
      <c r="J36" s="969"/>
      <c r="K36" s="969"/>
      <c r="L36" s="969"/>
      <c r="M36" s="970"/>
      <c r="N36" s="971"/>
      <c r="O36" s="8"/>
      <c r="V36" s="285" t="b">
        <f t="shared" si="0"/>
        <v>0</v>
      </c>
    </row>
    <row r="37" spans="2:22" x14ac:dyDescent="0.25">
      <c r="B37" s="17"/>
      <c r="C37" s="17"/>
      <c r="D37" s="17"/>
      <c r="E37" s="1251" t="str">
        <f>Translations!$B$927</f>
        <v xml:space="preserve">Delayed Coking </v>
      </c>
      <c r="F37" s="1251"/>
      <c r="G37" s="858" t="s">
        <v>488</v>
      </c>
      <c r="H37" s="968">
        <v>2.2000000000000002</v>
      </c>
      <c r="I37" s="969"/>
      <c r="J37" s="969"/>
      <c r="K37" s="969"/>
      <c r="L37" s="969"/>
      <c r="M37" s="970"/>
      <c r="N37" s="971"/>
      <c r="O37" s="8"/>
      <c r="V37" s="285" t="b">
        <f t="shared" si="0"/>
        <v>0</v>
      </c>
    </row>
    <row r="38" spans="2:22" x14ac:dyDescent="0.25">
      <c r="B38" s="17"/>
      <c r="C38" s="17"/>
      <c r="D38" s="17"/>
      <c r="E38" s="1251" t="str">
        <f>Translations!$B$928</f>
        <v xml:space="preserve">Fluid Coking </v>
      </c>
      <c r="F38" s="1251"/>
      <c r="G38" s="858" t="s">
        <v>488</v>
      </c>
      <c r="H38" s="968">
        <v>7.6</v>
      </c>
      <c r="I38" s="969"/>
      <c r="J38" s="969"/>
      <c r="K38" s="969"/>
      <c r="L38" s="969"/>
      <c r="M38" s="970"/>
      <c r="N38" s="971"/>
      <c r="O38" s="8"/>
      <c r="V38" s="285" t="b">
        <f t="shared" si="0"/>
        <v>0</v>
      </c>
    </row>
    <row r="39" spans="2:22" x14ac:dyDescent="0.25">
      <c r="B39" s="17"/>
      <c r="C39" s="17"/>
      <c r="D39" s="17"/>
      <c r="E39" s="1251" t="str">
        <f>Translations!$B$929</f>
        <v xml:space="preserve">Flexicoking </v>
      </c>
      <c r="F39" s="1251"/>
      <c r="G39" s="858" t="s">
        <v>488</v>
      </c>
      <c r="H39" s="968">
        <v>16.600000000000001</v>
      </c>
      <c r="I39" s="969"/>
      <c r="J39" s="969"/>
      <c r="K39" s="969"/>
      <c r="L39" s="969"/>
      <c r="M39" s="970"/>
      <c r="N39" s="971"/>
      <c r="O39" s="8"/>
      <c r="V39" s="285" t="b">
        <f t="shared" si="0"/>
        <v>0</v>
      </c>
    </row>
    <row r="40" spans="2:22" x14ac:dyDescent="0.25">
      <c r="B40" s="17"/>
      <c r="C40" s="17"/>
      <c r="D40" s="17"/>
      <c r="E40" s="1251" t="str">
        <f>Translations!$B$930</f>
        <v xml:space="preserve">Coke Calcining </v>
      </c>
      <c r="F40" s="1251"/>
      <c r="G40" s="858" t="s">
        <v>490</v>
      </c>
      <c r="H40" s="968">
        <v>12.75</v>
      </c>
      <c r="I40" s="969"/>
      <c r="J40" s="969"/>
      <c r="K40" s="969"/>
      <c r="L40" s="969"/>
      <c r="M40" s="970"/>
      <c r="N40" s="971"/>
      <c r="O40" s="8"/>
      <c r="V40" s="285" t="b">
        <f t="shared" si="0"/>
        <v>0</v>
      </c>
    </row>
    <row r="41" spans="2:22" x14ac:dyDescent="0.25">
      <c r="B41" s="17"/>
      <c r="C41" s="17"/>
      <c r="D41" s="17"/>
      <c r="E41" s="1251" t="str">
        <f>Translations!$B$931</f>
        <v>Fluid Catalytic Cracking</v>
      </c>
      <c r="F41" s="1251"/>
      <c r="G41" s="858" t="s">
        <v>488</v>
      </c>
      <c r="H41" s="968">
        <v>5.5</v>
      </c>
      <c r="I41" s="969"/>
      <c r="J41" s="969"/>
      <c r="K41" s="969"/>
      <c r="L41" s="969"/>
      <c r="M41" s="970"/>
      <c r="N41" s="971"/>
      <c r="O41" s="8"/>
      <c r="V41" s="285" t="b">
        <f t="shared" si="0"/>
        <v>0</v>
      </c>
    </row>
    <row r="42" spans="2:22" x14ac:dyDescent="0.25">
      <c r="B42" s="17"/>
      <c r="C42" s="17"/>
      <c r="D42" s="17"/>
      <c r="E42" s="1251" t="str">
        <f>Translations!$B$932</f>
        <v xml:space="preserve">Other Catalytic Cracking </v>
      </c>
      <c r="F42" s="1251"/>
      <c r="G42" s="858" t="s">
        <v>488</v>
      </c>
      <c r="H42" s="968">
        <v>4.0999999999999996</v>
      </c>
      <c r="I42" s="969"/>
      <c r="J42" s="969"/>
      <c r="K42" s="969"/>
      <c r="L42" s="969"/>
      <c r="M42" s="970"/>
      <c r="N42" s="971"/>
      <c r="O42" s="8"/>
      <c r="V42" s="285" t="b">
        <f t="shared" si="0"/>
        <v>0</v>
      </c>
    </row>
    <row r="43" spans="2:22" ht="25.5" customHeight="1" x14ac:dyDescent="0.25">
      <c r="B43" s="17"/>
      <c r="C43" s="17"/>
      <c r="D43" s="17"/>
      <c r="E43" s="1251" t="str">
        <f>Translations!$B$933</f>
        <v xml:space="preserve">Distillate / Gasoil Hydrocracking </v>
      </c>
      <c r="F43" s="1251"/>
      <c r="G43" s="858" t="s">
        <v>488</v>
      </c>
      <c r="H43" s="968">
        <v>2.85</v>
      </c>
      <c r="I43" s="969"/>
      <c r="J43" s="969"/>
      <c r="K43" s="969"/>
      <c r="L43" s="969"/>
      <c r="M43" s="970"/>
      <c r="N43" s="971"/>
      <c r="O43" s="8"/>
      <c r="V43" s="285" t="b">
        <f t="shared" si="0"/>
        <v>0</v>
      </c>
    </row>
    <row r="44" spans="2:22" x14ac:dyDescent="0.25">
      <c r="B44" s="17"/>
      <c r="C44" s="17"/>
      <c r="D44" s="17"/>
      <c r="E44" s="1251" t="str">
        <f>Translations!$B$934</f>
        <v xml:space="preserve">Residual Hydrocracking </v>
      </c>
      <c r="F44" s="1251"/>
      <c r="G44" s="858" t="s">
        <v>488</v>
      </c>
      <c r="H44" s="968">
        <v>3.75</v>
      </c>
      <c r="I44" s="969"/>
      <c r="J44" s="969"/>
      <c r="K44" s="969"/>
      <c r="L44" s="969"/>
      <c r="M44" s="970"/>
      <c r="N44" s="971"/>
      <c r="O44" s="8"/>
      <c r="V44" s="285" t="b">
        <f t="shared" si="0"/>
        <v>0</v>
      </c>
    </row>
    <row r="45" spans="2:22" ht="25.5" customHeight="1" x14ac:dyDescent="0.25">
      <c r="B45" s="17"/>
      <c r="C45" s="17"/>
      <c r="D45" s="17"/>
      <c r="E45" s="1251" t="str">
        <f>Translations!$B$935</f>
        <v>Naphtha/Gasoline Hydrotreating</v>
      </c>
      <c r="F45" s="1251"/>
      <c r="G45" s="858" t="s">
        <v>488</v>
      </c>
      <c r="H45" s="968">
        <v>1.1000000000000001</v>
      </c>
      <c r="I45" s="969"/>
      <c r="J45" s="969"/>
      <c r="K45" s="969"/>
      <c r="L45" s="969"/>
      <c r="M45" s="970"/>
      <c r="N45" s="971"/>
      <c r="O45" s="8"/>
      <c r="V45" s="285" t="b">
        <f t="shared" si="0"/>
        <v>0</v>
      </c>
    </row>
    <row r="46" spans="2:22" ht="25.5" customHeight="1" x14ac:dyDescent="0.25">
      <c r="B46" s="17"/>
      <c r="C46" s="17"/>
      <c r="D46" s="17"/>
      <c r="E46" s="1251" t="str">
        <f>Translations!$B$936</f>
        <v xml:space="preserve">Kerosene/ Diesel Hydrotreating </v>
      </c>
      <c r="F46" s="1251"/>
      <c r="G46" s="858" t="s">
        <v>488</v>
      </c>
      <c r="H46" s="968">
        <v>0.9</v>
      </c>
      <c r="I46" s="969"/>
      <c r="J46" s="969"/>
      <c r="K46" s="969"/>
      <c r="L46" s="969"/>
      <c r="M46" s="970"/>
      <c r="N46" s="971"/>
      <c r="O46" s="8"/>
      <c r="V46" s="285" t="b">
        <f t="shared" si="0"/>
        <v>0</v>
      </c>
    </row>
    <row r="47" spans="2:22" x14ac:dyDescent="0.25">
      <c r="B47" s="17"/>
      <c r="C47" s="17"/>
      <c r="D47" s="17"/>
      <c r="E47" s="1251" t="str">
        <f>Translations!$B$937</f>
        <v xml:space="preserve">Residual Hydrotreating </v>
      </c>
      <c r="F47" s="1251"/>
      <c r="G47" s="858" t="s">
        <v>488</v>
      </c>
      <c r="H47" s="968">
        <v>1.55</v>
      </c>
      <c r="I47" s="969"/>
      <c r="J47" s="969"/>
      <c r="K47" s="969"/>
      <c r="L47" s="969"/>
      <c r="M47" s="970"/>
      <c r="N47" s="971"/>
      <c r="O47" s="8"/>
      <c r="V47" s="285" t="b">
        <f t="shared" si="0"/>
        <v>0</v>
      </c>
    </row>
    <row r="48" spans="2:22" x14ac:dyDescent="0.25">
      <c r="B48" s="17"/>
      <c r="C48" s="17"/>
      <c r="D48" s="17"/>
      <c r="E48" s="1251" t="str">
        <f>Translations!$B$938</f>
        <v>VGO Hydrotreating</v>
      </c>
      <c r="F48" s="1251"/>
      <c r="G48" s="858" t="s">
        <v>488</v>
      </c>
      <c r="H48" s="968">
        <v>0.9</v>
      </c>
      <c r="I48" s="969"/>
      <c r="J48" s="969"/>
      <c r="K48" s="969"/>
      <c r="L48" s="969"/>
      <c r="M48" s="970"/>
      <c r="N48" s="971"/>
      <c r="O48" s="8"/>
      <c r="V48" s="285" t="b">
        <f t="shared" si="0"/>
        <v>0</v>
      </c>
    </row>
    <row r="49" spans="2:22" x14ac:dyDescent="0.25">
      <c r="B49" s="17"/>
      <c r="C49" s="17"/>
      <c r="D49" s="17"/>
      <c r="E49" s="1251" t="str">
        <f>Translations!$B$939</f>
        <v xml:space="preserve">Hydrogen Production </v>
      </c>
      <c r="F49" s="1251"/>
      <c r="G49" s="858" t="s">
        <v>490</v>
      </c>
      <c r="H49" s="968">
        <v>300</v>
      </c>
      <c r="I49" s="969"/>
      <c r="J49" s="969"/>
      <c r="K49" s="969"/>
      <c r="L49" s="969"/>
      <c r="M49" s="970"/>
      <c r="N49" s="971"/>
      <c r="O49" s="8"/>
      <c r="V49" s="285" t="b">
        <f t="shared" si="0"/>
        <v>0</v>
      </c>
    </row>
    <row r="50" spans="2:22" x14ac:dyDescent="0.25">
      <c r="B50" s="17"/>
      <c r="C50" s="17"/>
      <c r="D50" s="17"/>
      <c r="E50" s="1251" t="str">
        <f>Translations!$B$940</f>
        <v>Catalytic Reforming</v>
      </c>
      <c r="F50" s="1251"/>
      <c r="G50" s="858" t="s">
        <v>488</v>
      </c>
      <c r="H50" s="968">
        <v>4.95</v>
      </c>
      <c r="I50" s="969"/>
      <c r="J50" s="969"/>
      <c r="K50" s="969"/>
      <c r="L50" s="969"/>
      <c r="M50" s="970"/>
      <c r="N50" s="971"/>
      <c r="O50" s="8"/>
      <c r="V50" s="285" t="b">
        <f t="shared" si="0"/>
        <v>0</v>
      </c>
    </row>
    <row r="51" spans="2:22" x14ac:dyDescent="0.25">
      <c r="B51" s="17"/>
      <c r="C51" s="17"/>
      <c r="D51" s="17"/>
      <c r="E51" s="1251" t="str">
        <f>Translations!$B$941</f>
        <v xml:space="preserve">Alkylation </v>
      </c>
      <c r="F51" s="1251"/>
      <c r="G51" s="858" t="s">
        <v>490</v>
      </c>
      <c r="H51" s="968">
        <v>7.25</v>
      </c>
      <c r="I51" s="969"/>
      <c r="J51" s="969"/>
      <c r="K51" s="969"/>
      <c r="L51" s="969"/>
      <c r="M51" s="970"/>
      <c r="N51" s="971"/>
      <c r="O51" s="8"/>
      <c r="V51" s="285" t="b">
        <f t="shared" si="0"/>
        <v>0</v>
      </c>
    </row>
    <row r="52" spans="2:22" x14ac:dyDescent="0.25">
      <c r="B52" s="17"/>
      <c r="C52" s="17"/>
      <c r="D52" s="17"/>
      <c r="E52" s="1251" t="str">
        <f>Translations!$B$942</f>
        <v>C4 Isomerisation</v>
      </c>
      <c r="F52" s="1251"/>
      <c r="G52" s="858" t="s">
        <v>489</v>
      </c>
      <c r="H52" s="968">
        <v>3.25</v>
      </c>
      <c r="I52" s="969"/>
      <c r="J52" s="969"/>
      <c r="K52" s="969"/>
      <c r="L52" s="969"/>
      <c r="M52" s="970"/>
      <c r="N52" s="971"/>
      <c r="O52" s="8"/>
      <c r="V52" s="285" t="b">
        <f t="shared" si="0"/>
        <v>0</v>
      </c>
    </row>
    <row r="53" spans="2:22" x14ac:dyDescent="0.25">
      <c r="B53" s="17"/>
      <c r="C53" s="17"/>
      <c r="D53" s="17"/>
      <c r="E53" s="1251" t="str">
        <f>Translations!$B$943</f>
        <v>C5/C6 Isomerisation</v>
      </c>
      <c r="F53" s="1251"/>
      <c r="G53" s="858" t="s">
        <v>489</v>
      </c>
      <c r="H53" s="968">
        <v>2.85</v>
      </c>
      <c r="I53" s="969"/>
      <c r="J53" s="969"/>
      <c r="K53" s="969"/>
      <c r="L53" s="969"/>
      <c r="M53" s="970"/>
      <c r="N53" s="971"/>
      <c r="O53" s="8"/>
      <c r="V53" s="285" t="b">
        <f t="shared" si="0"/>
        <v>0</v>
      </c>
    </row>
    <row r="54" spans="2:22" x14ac:dyDescent="0.25">
      <c r="B54" s="17"/>
      <c r="C54" s="17"/>
      <c r="D54" s="17"/>
      <c r="E54" s="1251" t="str">
        <f>Translations!$B$944</f>
        <v xml:space="preserve">Oxygenate Production </v>
      </c>
      <c r="F54" s="1251"/>
      <c r="G54" s="858" t="s">
        <v>490</v>
      </c>
      <c r="H54" s="968">
        <v>5.6</v>
      </c>
      <c r="I54" s="969"/>
      <c r="J54" s="969"/>
      <c r="K54" s="969"/>
      <c r="L54" s="969"/>
      <c r="M54" s="970"/>
      <c r="N54" s="971"/>
      <c r="O54" s="8"/>
      <c r="V54" s="285" t="b">
        <f t="shared" si="0"/>
        <v>0</v>
      </c>
    </row>
    <row r="55" spans="2:22" x14ac:dyDescent="0.25">
      <c r="B55" s="17"/>
      <c r="C55" s="17"/>
      <c r="D55" s="17"/>
      <c r="E55" s="1251" t="str">
        <f>Translations!$B$945</f>
        <v xml:space="preserve">Propylene Production </v>
      </c>
      <c r="F55" s="1251"/>
      <c r="G55" s="858" t="s">
        <v>488</v>
      </c>
      <c r="H55" s="968">
        <v>3.45</v>
      </c>
      <c r="I55" s="969"/>
      <c r="J55" s="969"/>
      <c r="K55" s="969"/>
      <c r="L55" s="969"/>
      <c r="M55" s="970"/>
      <c r="N55" s="971"/>
      <c r="O55" s="8"/>
      <c r="V55" s="285" t="b">
        <f t="shared" si="0"/>
        <v>0</v>
      </c>
    </row>
    <row r="56" spans="2:22" x14ac:dyDescent="0.25">
      <c r="B56" s="17"/>
      <c r="C56" s="17"/>
      <c r="D56" s="17"/>
      <c r="E56" s="1251" t="str">
        <f>Translations!$B$946</f>
        <v>Asphalt Manufacture</v>
      </c>
      <c r="F56" s="1251"/>
      <c r="G56" s="858" t="s">
        <v>490</v>
      </c>
      <c r="H56" s="968">
        <v>2.1</v>
      </c>
      <c r="I56" s="969"/>
      <c r="J56" s="969"/>
      <c r="K56" s="969"/>
      <c r="L56" s="969"/>
      <c r="M56" s="970"/>
      <c r="N56" s="971"/>
      <c r="O56" s="8"/>
      <c r="V56" s="285" t="b">
        <f t="shared" si="0"/>
        <v>0</v>
      </c>
    </row>
    <row r="57" spans="2:22" ht="25.5" customHeight="1" x14ac:dyDescent="0.25">
      <c r="B57" s="17"/>
      <c r="C57" s="17"/>
      <c r="D57" s="17"/>
      <c r="E57" s="1251" t="str">
        <f>Translations!$B$947</f>
        <v>Polymer-Modified Asphalt Blending</v>
      </c>
      <c r="F57" s="1251"/>
      <c r="G57" s="858" t="s">
        <v>490</v>
      </c>
      <c r="H57" s="968">
        <v>0.55000000000000004</v>
      </c>
      <c r="I57" s="969"/>
      <c r="J57" s="969"/>
      <c r="K57" s="969"/>
      <c r="L57" s="969"/>
      <c r="M57" s="970"/>
      <c r="N57" s="971"/>
      <c r="O57" s="8"/>
      <c r="V57" s="285" t="b">
        <f t="shared" si="0"/>
        <v>0</v>
      </c>
    </row>
    <row r="58" spans="2:22" x14ac:dyDescent="0.25">
      <c r="B58" s="17"/>
      <c r="C58" s="17"/>
      <c r="D58" s="17"/>
      <c r="E58" s="1251" t="str">
        <f>Translations!$B$948</f>
        <v>Sulphur Recovery</v>
      </c>
      <c r="F58" s="1251"/>
      <c r="G58" s="858" t="s">
        <v>490</v>
      </c>
      <c r="H58" s="968">
        <v>18.600000000000001</v>
      </c>
      <c r="I58" s="969"/>
      <c r="J58" s="969"/>
      <c r="K58" s="969"/>
      <c r="L58" s="969"/>
      <c r="M58" s="970"/>
      <c r="N58" s="971"/>
      <c r="O58" s="8"/>
      <c r="V58" s="285" t="b">
        <f t="shared" si="0"/>
        <v>0</v>
      </c>
    </row>
    <row r="59" spans="2:22" x14ac:dyDescent="0.25">
      <c r="B59" s="17"/>
      <c r="C59" s="17"/>
      <c r="D59" s="17"/>
      <c r="E59" s="1251" t="str">
        <f>Translations!$B$949</f>
        <v>Aromatic Solvent Extraction</v>
      </c>
      <c r="F59" s="1251"/>
      <c r="G59" s="858" t="s">
        <v>488</v>
      </c>
      <c r="H59" s="968">
        <v>5.25</v>
      </c>
      <c r="I59" s="969"/>
      <c r="J59" s="969"/>
      <c r="K59" s="969"/>
      <c r="L59" s="969"/>
      <c r="M59" s="970"/>
      <c r="N59" s="971"/>
      <c r="O59" s="8"/>
      <c r="V59" s="285" t="b">
        <f t="shared" si="0"/>
        <v>0</v>
      </c>
    </row>
    <row r="60" spans="2:22" x14ac:dyDescent="0.25">
      <c r="B60" s="17"/>
      <c r="C60" s="17"/>
      <c r="D60" s="17"/>
      <c r="E60" s="1251" t="str">
        <f>Translations!$B$950</f>
        <v>Hydrodealkylation</v>
      </c>
      <c r="F60" s="1251"/>
      <c r="G60" s="858" t="s">
        <v>488</v>
      </c>
      <c r="H60" s="968">
        <v>2.4500000000000002</v>
      </c>
      <c r="I60" s="969"/>
      <c r="J60" s="969"/>
      <c r="K60" s="969"/>
      <c r="L60" s="969"/>
      <c r="M60" s="970"/>
      <c r="N60" s="971"/>
      <c r="O60" s="8"/>
      <c r="V60" s="285" t="b">
        <f t="shared" si="0"/>
        <v>0</v>
      </c>
    </row>
    <row r="61" spans="2:22" x14ac:dyDescent="0.25">
      <c r="B61" s="17"/>
      <c r="C61" s="17"/>
      <c r="D61" s="17"/>
      <c r="E61" s="1251" t="str">
        <f>Translations!$B$951</f>
        <v>TDP/ TDA</v>
      </c>
      <c r="F61" s="1251"/>
      <c r="G61" s="858" t="s">
        <v>488</v>
      </c>
      <c r="H61" s="968">
        <v>1.85</v>
      </c>
      <c r="I61" s="969"/>
      <c r="J61" s="969"/>
      <c r="K61" s="969"/>
      <c r="L61" s="969"/>
      <c r="M61" s="970"/>
      <c r="N61" s="971"/>
      <c r="O61" s="8"/>
      <c r="V61" s="285" t="b">
        <f t="shared" si="0"/>
        <v>0</v>
      </c>
    </row>
    <row r="62" spans="2:22" x14ac:dyDescent="0.25">
      <c r="B62" s="17"/>
      <c r="C62" s="17"/>
      <c r="D62" s="17"/>
      <c r="E62" s="1251" t="str">
        <f>Translations!$B$952</f>
        <v>Cyclohexane production</v>
      </c>
      <c r="F62" s="1251"/>
      <c r="G62" s="858" t="s">
        <v>490</v>
      </c>
      <c r="H62" s="968">
        <v>3</v>
      </c>
      <c r="I62" s="969"/>
      <c r="J62" s="969"/>
      <c r="K62" s="969"/>
      <c r="L62" s="969"/>
      <c r="M62" s="970"/>
      <c r="N62" s="971"/>
      <c r="O62" s="8"/>
      <c r="V62" s="285" t="b">
        <f t="shared" si="0"/>
        <v>0</v>
      </c>
    </row>
    <row r="63" spans="2:22" x14ac:dyDescent="0.25">
      <c r="B63" s="17"/>
      <c r="C63" s="17"/>
      <c r="D63" s="17"/>
      <c r="E63" s="1251" t="str">
        <f>Translations!$B$953</f>
        <v>Xylene Isomerisation</v>
      </c>
      <c r="F63" s="1251"/>
      <c r="G63" s="858" t="s">
        <v>488</v>
      </c>
      <c r="H63" s="968">
        <v>1.85</v>
      </c>
      <c r="I63" s="969"/>
      <c r="J63" s="969"/>
      <c r="K63" s="969"/>
      <c r="L63" s="969"/>
      <c r="M63" s="970"/>
      <c r="N63" s="971"/>
      <c r="O63" s="8"/>
      <c r="V63" s="285" t="b">
        <f t="shared" si="0"/>
        <v>0</v>
      </c>
    </row>
    <row r="64" spans="2:22" x14ac:dyDescent="0.25">
      <c r="B64" s="17"/>
      <c r="C64" s="17"/>
      <c r="D64" s="17"/>
      <c r="E64" s="1251" t="str">
        <f>Translations!$B$954</f>
        <v>Paraxylene production</v>
      </c>
      <c r="F64" s="1251"/>
      <c r="G64" s="858" t="s">
        <v>490</v>
      </c>
      <c r="H64" s="968">
        <v>6.4</v>
      </c>
      <c r="I64" s="969"/>
      <c r="J64" s="969"/>
      <c r="K64" s="969"/>
      <c r="L64" s="969"/>
      <c r="M64" s="970"/>
      <c r="N64" s="971"/>
      <c r="O64" s="8"/>
      <c r="V64" s="285" t="b">
        <f t="shared" si="0"/>
        <v>0</v>
      </c>
    </row>
    <row r="65" spans="2:22" x14ac:dyDescent="0.25">
      <c r="B65" s="17"/>
      <c r="C65" s="17"/>
      <c r="D65" s="17"/>
      <c r="E65" s="1251" t="str">
        <f>Translations!$B$955</f>
        <v>Metaxylene production</v>
      </c>
      <c r="F65" s="1251"/>
      <c r="G65" s="858" t="s">
        <v>490</v>
      </c>
      <c r="H65" s="968">
        <v>11.1</v>
      </c>
      <c r="I65" s="969"/>
      <c r="J65" s="969"/>
      <c r="K65" s="969"/>
      <c r="L65" s="969"/>
      <c r="M65" s="970"/>
      <c r="N65" s="971"/>
      <c r="O65" s="8"/>
      <c r="V65" s="285" t="b">
        <f t="shared" si="0"/>
        <v>0</v>
      </c>
    </row>
    <row r="66" spans="2:22" x14ac:dyDescent="0.25">
      <c r="B66" s="17"/>
      <c r="C66" s="17"/>
      <c r="D66" s="17"/>
      <c r="E66" s="1251" t="str">
        <f>Translations!$B$956</f>
        <v>Phthalic anhydride production</v>
      </c>
      <c r="F66" s="1251"/>
      <c r="G66" s="858" t="s">
        <v>490</v>
      </c>
      <c r="H66" s="968">
        <v>14.4</v>
      </c>
      <c r="I66" s="969"/>
      <c r="J66" s="969"/>
      <c r="K66" s="969"/>
      <c r="L66" s="969"/>
      <c r="M66" s="970"/>
      <c r="N66" s="971"/>
      <c r="O66" s="8"/>
      <c r="V66" s="285" t="b">
        <f t="shared" si="0"/>
        <v>0</v>
      </c>
    </row>
    <row r="67" spans="2:22" x14ac:dyDescent="0.25">
      <c r="B67" s="17"/>
      <c r="C67" s="17"/>
      <c r="D67" s="17"/>
      <c r="E67" s="1251" t="str">
        <f>Translations!$B$957</f>
        <v>Maleic anhydride production</v>
      </c>
      <c r="F67" s="1251"/>
      <c r="G67" s="858" t="s">
        <v>490</v>
      </c>
      <c r="H67" s="968">
        <v>20.8</v>
      </c>
      <c r="I67" s="969"/>
      <c r="J67" s="969"/>
      <c r="K67" s="969"/>
      <c r="L67" s="969"/>
      <c r="M67" s="970"/>
      <c r="N67" s="971"/>
      <c r="O67" s="8"/>
      <c r="V67" s="285" t="b">
        <f t="shared" si="0"/>
        <v>0</v>
      </c>
    </row>
    <row r="68" spans="2:22" x14ac:dyDescent="0.25">
      <c r="B68" s="17"/>
      <c r="C68" s="17"/>
      <c r="D68" s="17"/>
      <c r="E68" s="1251" t="str">
        <f>Translations!$B$958</f>
        <v>Ethylbenzene production</v>
      </c>
      <c r="F68" s="1251"/>
      <c r="G68" s="858" t="s">
        <v>490</v>
      </c>
      <c r="H68" s="968">
        <v>1.55</v>
      </c>
      <c r="I68" s="969"/>
      <c r="J68" s="969"/>
      <c r="K68" s="969"/>
      <c r="L68" s="969"/>
      <c r="M68" s="970"/>
      <c r="N68" s="971"/>
      <c r="O68" s="8"/>
      <c r="V68" s="285" t="b">
        <f t="shared" si="0"/>
        <v>0</v>
      </c>
    </row>
    <row r="69" spans="2:22" x14ac:dyDescent="0.25">
      <c r="B69" s="17"/>
      <c r="C69" s="17"/>
      <c r="D69" s="17"/>
      <c r="E69" s="1251" t="str">
        <f>Translations!$B$959</f>
        <v>Cumene production</v>
      </c>
      <c r="F69" s="1251"/>
      <c r="G69" s="858" t="s">
        <v>490</v>
      </c>
      <c r="H69" s="968">
        <v>5</v>
      </c>
      <c r="I69" s="969"/>
      <c r="J69" s="969"/>
      <c r="K69" s="969"/>
      <c r="L69" s="969"/>
      <c r="M69" s="970"/>
      <c r="N69" s="971"/>
      <c r="O69" s="8"/>
      <c r="V69" s="285" t="b">
        <f t="shared" si="0"/>
        <v>0</v>
      </c>
    </row>
    <row r="70" spans="2:22" x14ac:dyDescent="0.25">
      <c r="B70" s="17"/>
      <c r="C70" s="17"/>
      <c r="D70" s="17"/>
      <c r="E70" s="1251" t="str">
        <f>Translations!$B$960</f>
        <v>Phenol production</v>
      </c>
      <c r="F70" s="1251"/>
      <c r="G70" s="858" t="s">
        <v>490</v>
      </c>
      <c r="H70" s="968">
        <v>1.1499999999999999</v>
      </c>
      <c r="I70" s="969"/>
      <c r="J70" s="969"/>
      <c r="K70" s="969"/>
      <c r="L70" s="969"/>
      <c r="M70" s="970"/>
      <c r="N70" s="971"/>
      <c r="O70" s="8"/>
      <c r="V70" s="285" t="b">
        <f t="shared" si="0"/>
        <v>0</v>
      </c>
    </row>
    <row r="71" spans="2:22" x14ac:dyDescent="0.25">
      <c r="B71" s="17"/>
      <c r="C71" s="17"/>
      <c r="D71" s="17"/>
      <c r="E71" s="1251" t="str">
        <f>Translations!$B$961</f>
        <v>Lube solvent extraction</v>
      </c>
      <c r="F71" s="1251"/>
      <c r="G71" s="858" t="s">
        <v>488</v>
      </c>
      <c r="H71" s="968">
        <v>2.1</v>
      </c>
      <c r="I71" s="969"/>
      <c r="J71" s="969"/>
      <c r="K71" s="969"/>
      <c r="L71" s="969"/>
      <c r="M71" s="970"/>
      <c r="N71" s="971"/>
      <c r="O71" s="8"/>
      <c r="V71" s="285" t="b">
        <f t="shared" si="0"/>
        <v>0</v>
      </c>
    </row>
    <row r="72" spans="2:22" x14ac:dyDescent="0.25">
      <c r="B72" s="17"/>
      <c r="C72" s="17"/>
      <c r="D72" s="17"/>
      <c r="E72" s="1251" t="str">
        <f>Translations!$B$962</f>
        <v>Lube solvent dewaxing</v>
      </c>
      <c r="F72" s="1251"/>
      <c r="G72" s="858" t="s">
        <v>488</v>
      </c>
      <c r="H72" s="968">
        <v>4.55</v>
      </c>
      <c r="I72" s="969"/>
      <c r="J72" s="969"/>
      <c r="K72" s="969"/>
      <c r="L72" s="969"/>
      <c r="M72" s="970"/>
      <c r="N72" s="971"/>
      <c r="O72" s="8"/>
      <c r="V72" s="285" t="b">
        <f t="shared" si="0"/>
        <v>0</v>
      </c>
    </row>
    <row r="73" spans="2:22" x14ac:dyDescent="0.25">
      <c r="B73" s="17"/>
      <c r="C73" s="17"/>
      <c r="D73" s="17"/>
      <c r="E73" s="1251" t="str">
        <f>Translations!$B$963</f>
        <v>Catalytic Wax Isomerisation</v>
      </c>
      <c r="F73" s="1251"/>
      <c r="G73" s="858" t="s">
        <v>488</v>
      </c>
      <c r="H73" s="968">
        <v>1.6</v>
      </c>
      <c r="I73" s="969"/>
      <c r="J73" s="969"/>
      <c r="K73" s="969"/>
      <c r="L73" s="969"/>
      <c r="M73" s="970"/>
      <c r="N73" s="971"/>
      <c r="O73" s="8"/>
      <c r="V73" s="285" t="b">
        <f t="shared" si="0"/>
        <v>0</v>
      </c>
    </row>
    <row r="74" spans="2:22" x14ac:dyDescent="0.25">
      <c r="B74" s="17"/>
      <c r="C74" s="17"/>
      <c r="D74" s="17"/>
      <c r="E74" s="1251" t="str">
        <f>Translations!$B$964</f>
        <v xml:space="preserve">Lube Hydrocracker </v>
      </c>
      <c r="F74" s="1251"/>
      <c r="G74" s="858" t="s">
        <v>488</v>
      </c>
      <c r="H74" s="968">
        <v>2.5</v>
      </c>
      <c r="I74" s="969"/>
      <c r="J74" s="969"/>
      <c r="K74" s="969"/>
      <c r="L74" s="969"/>
      <c r="M74" s="970"/>
      <c r="N74" s="971"/>
      <c r="O74" s="8"/>
      <c r="V74" s="285" t="b">
        <f t="shared" si="0"/>
        <v>0</v>
      </c>
    </row>
    <row r="75" spans="2:22" x14ac:dyDescent="0.25">
      <c r="B75" s="17"/>
      <c r="C75" s="17"/>
      <c r="D75" s="17"/>
      <c r="E75" s="1251" t="str">
        <f>Translations!$B$965</f>
        <v xml:space="preserve">Wax Deoiling </v>
      </c>
      <c r="F75" s="1251"/>
      <c r="G75" s="858" t="s">
        <v>490</v>
      </c>
      <c r="H75" s="968">
        <v>12</v>
      </c>
      <c r="I75" s="969"/>
      <c r="J75" s="969"/>
      <c r="K75" s="969"/>
      <c r="L75" s="969"/>
      <c r="M75" s="970"/>
      <c r="N75" s="971"/>
      <c r="O75" s="8"/>
      <c r="V75" s="285" t="b">
        <f t="shared" si="0"/>
        <v>0</v>
      </c>
    </row>
    <row r="76" spans="2:22" x14ac:dyDescent="0.25">
      <c r="B76" s="17"/>
      <c r="C76" s="17"/>
      <c r="D76" s="17"/>
      <c r="E76" s="1251" t="str">
        <f>Translations!$B$966</f>
        <v xml:space="preserve">Lube/Wax Hydrotreating </v>
      </c>
      <c r="F76" s="1251"/>
      <c r="G76" s="858" t="s">
        <v>488</v>
      </c>
      <c r="H76" s="968">
        <v>1.1499999999999999</v>
      </c>
      <c r="I76" s="969"/>
      <c r="J76" s="969"/>
      <c r="K76" s="969"/>
      <c r="L76" s="969"/>
      <c r="M76" s="970"/>
      <c r="N76" s="971"/>
      <c r="O76" s="8"/>
      <c r="V76" s="285" t="b">
        <f t="shared" si="0"/>
        <v>0</v>
      </c>
    </row>
    <row r="77" spans="2:22" x14ac:dyDescent="0.25">
      <c r="B77" s="17"/>
      <c r="C77" s="17"/>
      <c r="D77" s="17"/>
      <c r="E77" s="1251" t="str">
        <f>Translations!$B$967</f>
        <v>Solvent Hydrotreating</v>
      </c>
      <c r="F77" s="1251"/>
      <c r="G77" s="858" t="s">
        <v>488</v>
      </c>
      <c r="H77" s="968">
        <v>1.25</v>
      </c>
      <c r="I77" s="969"/>
      <c r="J77" s="969"/>
      <c r="K77" s="969"/>
      <c r="L77" s="969"/>
      <c r="M77" s="970"/>
      <c r="N77" s="971"/>
      <c r="O77" s="8"/>
      <c r="V77" s="285" t="b">
        <f t="shared" si="0"/>
        <v>0</v>
      </c>
    </row>
    <row r="78" spans="2:22" x14ac:dyDescent="0.25">
      <c r="B78" s="17"/>
      <c r="C78" s="17"/>
      <c r="D78" s="17"/>
      <c r="E78" s="1251" t="str">
        <f>Translations!$B$968</f>
        <v>Solvent Fractionation</v>
      </c>
      <c r="F78" s="1251"/>
      <c r="G78" s="858" t="s">
        <v>488</v>
      </c>
      <c r="H78" s="968">
        <v>0.9</v>
      </c>
      <c r="I78" s="969"/>
      <c r="J78" s="969"/>
      <c r="K78" s="969"/>
      <c r="L78" s="969"/>
      <c r="M78" s="970"/>
      <c r="N78" s="971"/>
      <c r="O78" s="8"/>
      <c r="V78" s="285" t="b">
        <f t="shared" si="0"/>
        <v>0</v>
      </c>
    </row>
    <row r="79" spans="2:22" x14ac:dyDescent="0.25">
      <c r="B79" s="17"/>
      <c r="C79" s="17"/>
      <c r="D79" s="17"/>
      <c r="E79" s="1251" t="str">
        <f>Translations!$B$969</f>
        <v>Mol sieve for C10+ paraffins</v>
      </c>
      <c r="F79" s="1251"/>
      <c r="G79" s="858" t="s">
        <v>490</v>
      </c>
      <c r="H79" s="968">
        <v>1.85</v>
      </c>
      <c r="I79" s="969"/>
      <c r="J79" s="969"/>
      <c r="K79" s="969"/>
      <c r="L79" s="969"/>
      <c r="M79" s="970"/>
      <c r="N79" s="971"/>
      <c r="O79" s="8"/>
      <c r="V79" s="285" t="b">
        <f t="shared" si="0"/>
        <v>0</v>
      </c>
    </row>
    <row r="80" spans="2:22" ht="25.5" customHeight="1" x14ac:dyDescent="0.25">
      <c r="B80" s="17"/>
      <c r="C80" s="17"/>
      <c r="D80" s="17"/>
      <c r="E80" s="1251" t="str">
        <f>Translations!$B$970</f>
        <v>Partial Oxidation of Residual Feeds (POX) for Fuel</v>
      </c>
      <c r="F80" s="1251"/>
      <c r="G80" s="858" t="s">
        <v>491</v>
      </c>
      <c r="H80" s="968">
        <v>8.1999999999999993</v>
      </c>
      <c r="I80" s="969"/>
      <c r="J80" s="969"/>
      <c r="K80" s="969"/>
      <c r="L80" s="969"/>
      <c r="M80" s="970"/>
      <c r="N80" s="971"/>
      <c r="O80" s="8"/>
      <c r="V80" s="285" t="b">
        <f t="shared" si="0"/>
        <v>0</v>
      </c>
    </row>
    <row r="81" spans="2:22" ht="39.9" customHeight="1" x14ac:dyDescent="0.25">
      <c r="B81" s="17"/>
      <c r="C81" s="17"/>
      <c r="D81" s="17"/>
      <c r="E81" s="1251" t="str">
        <f>Translations!$B$971</f>
        <v>Partial Oxidation of Residual Feeds (POX) for Hydrogen or Methanol</v>
      </c>
      <c r="F81" s="1251"/>
      <c r="G81" s="858" t="s">
        <v>491</v>
      </c>
      <c r="H81" s="968">
        <v>44</v>
      </c>
      <c r="I81" s="969"/>
      <c r="J81" s="969"/>
      <c r="K81" s="969"/>
      <c r="L81" s="969"/>
      <c r="M81" s="970"/>
      <c r="N81" s="971"/>
      <c r="O81" s="8"/>
      <c r="V81" s="285" t="b">
        <f t="shared" si="0"/>
        <v>0</v>
      </c>
    </row>
    <row r="82" spans="2:22" x14ac:dyDescent="0.25">
      <c r="B82" s="17"/>
      <c r="C82" s="17"/>
      <c r="D82" s="17"/>
      <c r="E82" s="1251" t="str">
        <f>Translations!$B$972</f>
        <v>Methanol from syngas</v>
      </c>
      <c r="F82" s="1251"/>
      <c r="G82" s="858" t="s">
        <v>490</v>
      </c>
      <c r="H82" s="968">
        <v>-36.200000000000003</v>
      </c>
      <c r="I82" s="969"/>
      <c r="J82" s="969"/>
      <c r="K82" s="969"/>
      <c r="L82" s="969"/>
      <c r="M82" s="970"/>
      <c r="N82" s="971"/>
      <c r="O82" s="8"/>
      <c r="V82" s="285" t="b">
        <f t="shared" si="0"/>
        <v>0</v>
      </c>
    </row>
    <row r="83" spans="2:22" x14ac:dyDescent="0.25">
      <c r="B83" s="17"/>
      <c r="C83" s="17"/>
      <c r="D83" s="17"/>
      <c r="E83" s="1251" t="str">
        <f>Translations!$B$973</f>
        <v>Air Separation</v>
      </c>
      <c r="F83" s="1251"/>
      <c r="G83" s="858" t="s">
        <v>493</v>
      </c>
      <c r="H83" s="968">
        <v>8.8000000000000007</v>
      </c>
      <c r="I83" s="969"/>
      <c r="J83" s="969"/>
      <c r="K83" s="969"/>
      <c r="L83" s="969"/>
      <c r="M83" s="970"/>
      <c r="N83" s="971"/>
      <c r="O83" s="8"/>
      <c r="V83" s="285" t="b">
        <f t="shared" si="0"/>
        <v>0</v>
      </c>
    </row>
    <row r="84" spans="2:22" ht="25.5" customHeight="1" x14ac:dyDescent="0.25">
      <c r="B84" s="17"/>
      <c r="C84" s="17"/>
      <c r="D84" s="17"/>
      <c r="E84" s="1251" t="str">
        <f>Translations!$B$974</f>
        <v>Fractionation of purchased NGL</v>
      </c>
      <c r="F84" s="1251"/>
      <c r="G84" s="858" t="s">
        <v>488</v>
      </c>
      <c r="H84" s="968">
        <v>1</v>
      </c>
      <c r="I84" s="969"/>
      <c r="J84" s="969"/>
      <c r="K84" s="969"/>
      <c r="L84" s="969"/>
      <c r="M84" s="970"/>
      <c r="N84" s="971"/>
      <c r="O84" s="8"/>
      <c r="V84" s="285" t="b">
        <f t="shared" si="0"/>
        <v>0</v>
      </c>
    </row>
    <row r="85" spans="2:22" x14ac:dyDescent="0.25">
      <c r="B85" s="17"/>
      <c r="C85" s="17"/>
      <c r="D85" s="17"/>
      <c r="E85" s="1251" t="str">
        <f>Translations!$B$975</f>
        <v>Flue gas treatment</v>
      </c>
      <c r="F85" s="1251"/>
      <c r="G85" s="858" t="s">
        <v>494</v>
      </c>
      <c r="H85" s="968">
        <v>0.1</v>
      </c>
      <c r="I85" s="969"/>
      <c r="J85" s="969"/>
      <c r="K85" s="969"/>
      <c r="L85" s="969"/>
      <c r="M85" s="970"/>
      <c r="N85" s="971"/>
      <c r="O85" s="8"/>
      <c r="V85" s="285" t="b">
        <f t="shared" si="0"/>
        <v>0</v>
      </c>
    </row>
    <row r="86" spans="2:22" ht="25.5" customHeight="1" x14ac:dyDescent="0.25">
      <c r="B86" s="17"/>
      <c r="C86" s="17"/>
      <c r="D86" s="17"/>
      <c r="E86" s="1251" t="str">
        <f>Translations!$B$976</f>
        <v>Treatment and Compression of Fuel Gas for Sales</v>
      </c>
      <c r="F86" s="1251"/>
      <c r="G86" s="858" t="s">
        <v>495</v>
      </c>
      <c r="H86" s="968">
        <v>0.15</v>
      </c>
      <c r="I86" s="969"/>
      <c r="J86" s="969"/>
      <c r="K86" s="969"/>
      <c r="L86" s="969"/>
      <c r="M86" s="970"/>
      <c r="N86" s="971"/>
      <c r="O86" s="8"/>
      <c r="V86" s="285" t="b">
        <f t="shared" si="0"/>
        <v>0</v>
      </c>
    </row>
    <row r="87" spans="2:22" ht="13.8" thickBot="1" x14ac:dyDescent="0.3">
      <c r="B87" s="17"/>
      <c r="C87" s="17"/>
      <c r="D87" s="17"/>
      <c r="E87" s="1254" t="str">
        <f>Translations!$B$977</f>
        <v>Seawater Desalination</v>
      </c>
      <c r="F87" s="1254"/>
      <c r="G87" s="860" t="s">
        <v>490</v>
      </c>
      <c r="H87" s="972">
        <v>1.1499999999999999</v>
      </c>
      <c r="I87" s="973"/>
      <c r="J87" s="973"/>
      <c r="K87" s="973"/>
      <c r="L87" s="973"/>
      <c r="M87" s="974"/>
      <c r="N87" s="975"/>
      <c r="O87" s="8"/>
      <c r="V87" s="286" t="b">
        <f t="shared" si="0"/>
        <v>0</v>
      </c>
    </row>
    <row r="88" spans="2:22" ht="5.0999999999999996" customHeight="1" x14ac:dyDescent="0.25">
      <c r="B88" s="8"/>
      <c r="C88" s="8"/>
      <c r="D88" s="8"/>
      <c r="E88" s="8"/>
      <c r="F88" s="8"/>
      <c r="G88" s="8"/>
      <c r="H88" s="8"/>
      <c r="I88" s="8"/>
      <c r="J88" s="8"/>
      <c r="K88" s="8"/>
      <c r="L88" s="8"/>
      <c r="M88" s="8"/>
      <c r="N88" s="8"/>
      <c r="O88" s="8"/>
      <c r="P88" s="9"/>
    </row>
    <row r="89" spans="2:22" x14ac:dyDescent="0.25">
      <c r="B89" s="8"/>
      <c r="C89" s="8"/>
      <c r="D89" s="15" t="s">
        <v>195</v>
      </c>
      <c r="E89" s="1165" t="str">
        <f>Translations!$B$978</f>
        <v>Result: Activity levels for the refinery benchmark expressed as CWT</v>
      </c>
      <c r="F89" s="1176"/>
      <c r="G89" s="1176"/>
      <c r="H89" s="1176"/>
      <c r="I89" s="1176"/>
      <c r="J89" s="1176"/>
      <c r="K89" s="1176"/>
      <c r="L89" s="1176"/>
      <c r="M89" s="1176"/>
      <c r="N89" s="1176"/>
      <c r="O89" s="8"/>
      <c r="P89" s="9"/>
    </row>
    <row r="90" spans="2:22" x14ac:dyDescent="0.25">
      <c r="B90" s="8"/>
      <c r="C90" s="8"/>
      <c r="D90" s="17"/>
      <c r="E90" s="1223" t="s">
        <v>496</v>
      </c>
      <c r="F90" s="1176"/>
      <c r="G90" s="1176"/>
      <c r="H90" s="1176"/>
      <c r="I90" s="1176"/>
      <c r="J90" s="1176"/>
      <c r="K90" s="1176"/>
      <c r="L90" s="1176"/>
      <c r="M90" s="1176"/>
      <c r="N90" s="1176"/>
      <c r="O90" s="8"/>
      <c r="P90" s="9"/>
    </row>
    <row r="91" spans="2:22" x14ac:dyDescent="0.25">
      <c r="B91" s="8"/>
      <c r="C91" s="8"/>
      <c r="D91" s="17"/>
      <c r="E91" s="1378" t="str">
        <f>Translations!$B$980</f>
        <v>Important note: The reporting above is done in kilotonnes, but the benchmark is expressed in t CO2/CWT, where CWT is expressed in tonnes.</v>
      </c>
      <c r="F91" s="1176"/>
      <c r="G91" s="1176"/>
      <c r="H91" s="1176"/>
      <c r="I91" s="1176"/>
      <c r="J91" s="1176"/>
      <c r="K91" s="1176"/>
      <c r="L91" s="1176"/>
      <c r="M91" s="1176"/>
      <c r="N91" s="1176"/>
      <c r="O91" s="8"/>
      <c r="P91" s="9"/>
    </row>
    <row r="92" spans="2:22" x14ac:dyDescent="0.25">
      <c r="B92" s="8"/>
      <c r="C92" s="8"/>
      <c r="D92" s="17"/>
      <c r="E92" s="1378" t="s">
        <v>497</v>
      </c>
      <c r="F92" s="1176"/>
      <c r="G92" s="1176"/>
      <c r="H92" s="1176"/>
      <c r="I92" s="1176"/>
      <c r="J92" s="1176"/>
      <c r="K92" s="1176"/>
      <c r="L92" s="1176"/>
      <c r="M92" s="1176"/>
      <c r="N92" s="1176"/>
      <c r="O92" s="8"/>
      <c r="P92" s="9"/>
    </row>
    <row r="93" spans="2:22" ht="13.8" thickBot="1" x14ac:dyDescent="0.3">
      <c r="B93" s="8"/>
      <c r="C93" s="8"/>
      <c r="D93" s="17"/>
      <c r="E93" s="1223" t="str">
        <f>Translations!$B$982</f>
        <v>The result of this tool is used in sheet "F_ProductBM", input line (a).ii of the appropriate sub-installation, from which the average is calculated.</v>
      </c>
      <c r="F93" s="1176"/>
      <c r="G93" s="1176"/>
      <c r="H93" s="1176"/>
      <c r="I93" s="1176"/>
      <c r="J93" s="1176"/>
      <c r="K93" s="1176"/>
      <c r="L93" s="1176"/>
      <c r="M93" s="1176"/>
      <c r="N93" s="1176"/>
      <c r="O93" s="8"/>
      <c r="P93" s="9"/>
    </row>
    <row r="94" spans="2:22" x14ac:dyDescent="0.25">
      <c r="B94" s="17"/>
      <c r="C94" s="17"/>
      <c r="D94" s="15"/>
      <c r="E94" s="78"/>
      <c r="F94" s="78"/>
      <c r="G94" s="78"/>
      <c r="H94" s="23" t="str">
        <f>EUconst_Unit</f>
        <v>Unit</v>
      </c>
      <c r="I94" s="149">
        <f>I$391</f>
        <v>2019</v>
      </c>
      <c r="J94" s="149">
        <f>J$391</f>
        <v>2020</v>
      </c>
      <c r="K94" s="149">
        <f>K$391</f>
        <v>2021</v>
      </c>
      <c r="L94" s="149">
        <f>L$391</f>
        <v>2022</v>
      </c>
      <c r="M94" s="394">
        <f>M$391</f>
        <v>2023</v>
      </c>
      <c r="N94" s="376" t="str">
        <f>N31</f>
        <v/>
      </c>
      <c r="O94" s="8"/>
      <c r="V94" s="391" t="b">
        <f>V87</f>
        <v>0</v>
      </c>
    </row>
    <row r="95" spans="2:22" ht="13.8" thickBot="1" x14ac:dyDescent="0.3">
      <c r="B95" s="17"/>
      <c r="C95" s="17"/>
      <c r="D95" s="17"/>
      <c r="E95" s="1412" t="str">
        <f>Translations!$B$983</f>
        <v>Refinery activity level</v>
      </c>
      <c r="F95" s="1412"/>
      <c r="G95" s="1412"/>
      <c r="H95" s="43" t="str">
        <f>EUconst_CWTpa</f>
        <v>CWT / year</v>
      </c>
      <c r="I95" s="148" t="str">
        <f t="shared" ref="I95:N95" si="1">IF(COUNT(I32:I87)&gt;0,1000*(1.0183*SUMPRODUCT($H$32:$H$87,I32:I87)+298+0.315*I32),"")</f>
        <v/>
      </c>
      <c r="J95" s="148" t="str">
        <f t="shared" si="1"/>
        <v/>
      </c>
      <c r="K95" s="148" t="str">
        <f t="shared" si="1"/>
        <v/>
      </c>
      <c r="L95" s="148" t="str">
        <f t="shared" si="1"/>
        <v/>
      </c>
      <c r="M95" s="923" t="str">
        <f t="shared" si="1"/>
        <v/>
      </c>
      <c r="N95" s="924" t="str">
        <f t="shared" si="1"/>
        <v/>
      </c>
      <c r="O95" s="8"/>
      <c r="P95" s="63" t="str">
        <f>IF(L17=EUconst_Relevant,EUconst_CNTR_HALspecial &amp; INDEX(EUconst_BMlistNames,Q17),"")</f>
        <v/>
      </c>
      <c r="V95" s="286" t="b">
        <f>V94</f>
        <v>0</v>
      </c>
    </row>
    <row r="96" spans="2:22" ht="5.0999999999999996" customHeight="1" x14ac:dyDescent="0.25">
      <c r="B96" s="8"/>
      <c r="C96" s="8"/>
      <c r="D96" s="8"/>
      <c r="E96" s="8"/>
      <c r="F96" s="8"/>
      <c r="G96" s="8"/>
      <c r="H96" s="8"/>
      <c r="I96" s="8"/>
      <c r="J96" s="8"/>
      <c r="K96" s="8"/>
      <c r="L96" s="8"/>
      <c r="M96" s="8"/>
      <c r="N96" s="8"/>
      <c r="O96" s="8"/>
      <c r="P96" s="9"/>
    </row>
    <row r="97" spans="2:22" x14ac:dyDescent="0.25">
      <c r="B97" s="8"/>
      <c r="C97" s="8"/>
      <c r="D97" s="8"/>
      <c r="E97" s="1647" t="str">
        <f>IF(L17=EUconst_Relevant,HYPERLINK(Q97,EUconst_MsgBackToSheetF),"")</f>
        <v/>
      </c>
      <c r="F97" s="1648"/>
      <c r="G97" s="1648"/>
      <c r="H97" s="1648"/>
      <c r="I97" s="1648"/>
      <c r="J97" s="1648"/>
      <c r="K97" s="1648"/>
      <c r="L97" s="1648"/>
      <c r="M97" s="1648"/>
      <c r="N97" s="1649"/>
      <c r="O97" s="8"/>
      <c r="P97" s="124" t="s">
        <v>486</v>
      </c>
      <c r="Q97" s="63" t="str">
        <f>Q19</f>
        <v/>
      </c>
    </row>
    <row r="98" spans="2:22" x14ac:dyDescent="0.25">
      <c r="B98" s="17"/>
      <c r="C98" s="17"/>
      <c r="D98" s="17"/>
      <c r="E98" s="17"/>
      <c r="F98" s="17"/>
      <c r="G98" s="17"/>
      <c r="H98" s="17"/>
      <c r="I98" s="17"/>
      <c r="J98" s="17"/>
      <c r="K98" s="17"/>
      <c r="L98" s="17"/>
      <c r="M98" s="17"/>
      <c r="N98" s="17"/>
      <c r="O98" s="8"/>
    </row>
    <row r="99" spans="2:22" ht="15.6" x14ac:dyDescent="0.3">
      <c r="B99" s="8"/>
      <c r="C99" s="13" t="s">
        <v>4</v>
      </c>
      <c r="D99" s="1175" t="str">
        <f>Translations!$B$984</f>
        <v>Lime</v>
      </c>
      <c r="E99" s="1175"/>
      <c r="F99" s="1175"/>
      <c r="G99" s="1175"/>
      <c r="H99" s="1175"/>
      <c r="I99" s="1175"/>
      <c r="J99" s="1175"/>
      <c r="K99" s="1175"/>
      <c r="L99" s="1175"/>
      <c r="M99" s="1175"/>
      <c r="N99" s="1175"/>
      <c r="O99" s="8"/>
      <c r="P99" s="9"/>
    </row>
    <row r="100" spans="2:22" ht="5.0999999999999996" customHeight="1" x14ac:dyDescent="0.25">
      <c r="B100" s="8"/>
      <c r="C100" s="8"/>
      <c r="D100" s="8"/>
      <c r="E100" s="8"/>
      <c r="F100" s="8"/>
      <c r="G100" s="8"/>
      <c r="H100" s="8"/>
      <c r="I100" s="8"/>
      <c r="J100" s="8"/>
      <c r="K100" s="8"/>
      <c r="L100" s="8"/>
      <c r="M100" s="8"/>
      <c r="N100" s="8"/>
      <c r="O100" s="8"/>
      <c r="P100" s="9"/>
    </row>
    <row r="101" spans="2:22" ht="13.8" x14ac:dyDescent="0.25">
      <c r="B101" s="8"/>
      <c r="C101" s="19"/>
      <c r="D101" s="1234" t="str">
        <f>Translations!$B$985</f>
        <v>Tool for calculating the historical activity levels for lime sub-installations</v>
      </c>
      <c r="E101" s="1176"/>
      <c r="F101" s="1176"/>
      <c r="G101" s="1176"/>
      <c r="H101" s="1176"/>
      <c r="I101" s="1176"/>
      <c r="J101" s="1176"/>
      <c r="K101" s="1176"/>
      <c r="L101" s="1176"/>
      <c r="M101" s="1176"/>
      <c r="N101" s="1176"/>
      <c r="O101" s="8"/>
      <c r="P101" s="9"/>
    </row>
    <row r="102" spans="2:22" ht="5.0999999999999996" customHeight="1" x14ac:dyDescent="0.25">
      <c r="B102" s="8"/>
      <c r="C102" s="8"/>
      <c r="D102" s="8"/>
      <c r="E102" s="8"/>
      <c r="F102" s="8"/>
      <c r="G102" s="8"/>
      <c r="H102" s="8"/>
      <c r="I102" s="8"/>
      <c r="J102" s="8"/>
      <c r="K102" s="8"/>
      <c r="L102" s="8"/>
      <c r="M102" s="8"/>
      <c r="N102" s="8"/>
      <c r="O102" s="8"/>
      <c r="P102" s="9"/>
    </row>
    <row r="103" spans="2:22" x14ac:dyDescent="0.25">
      <c r="B103" s="8"/>
      <c r="C103" s="8"/>
      <c r="D103" s="17"/>
      <c r="E103" s="1223" t="s">
        <v>498</v>
      </c>
      <c r="F103" s="1176"/>
      <c r="G103" s="1176"/>
      <c r="H103" s="1176"/>
      <c r="I103" s="1176"/>
      <c r="J103" s="1176"/>
      <c r="K103" s="1176"/>
      <c r="L103" s="1176"/>
      <c r="M103" s="1176"/>
      <c r="N103" s="1176"/>
      <c r="O103" s="8"/>
      <c r="P103" s="9"/>
    </row>
    <row r="104" spans="2:22" x14ac:dyDescent="0.25">
      <c r="B104" s="8"/>
      <c r="C104" s="8"/>
      <c r="D104" s="17"/>
      <c r="E104" s="1223" t="str">
        <f>Translations!$B$907</f>
        <v>The result of this tool is automatically copied into sheet "F_ProductBM", input line "(a).ii" of the appropriate sub-installation.</v>
      </c>
      <c r="F104" s="1176"/>
      <c r="G104" s="1176"/>
      <c r="H104" s="1176"/>
      <c r="I104" s="1176"/>
      <c r="J104" s="1176"/>
      <c r="K104" s="1176"/>
      <c r="L104" s="1176"/>
      <c r="M104" s="1176"/>
      <c r="N104" s="1176"/>
      <c r="O104" s="8"/>
      <c r="P104" s="9"/>
    </row>
    <row r="105" spans="2:22" ht="5.0999999999999996" customHeight="1" x14ac:dyDescent="0.25">
      <c r="B105" s="8"/>
      <c r="C105" s="8"/>
      <c r="D105" s="8"/>
      <c r="E105" s="8"/>
      <c r="F105" s="8"/>
      <c r="G105" s="8"/>
      <c r="H105" s="8"/>
      <c r="I105" s="8"/>
      <c r="J105" s="8"/>
      <c r="K105" s="8"/>
      <c r="L105" s="8"/>
      <c r="M105" s="8"/>
      <c r="N105" s="8"/>
      <c r="O105" s="8"/>
      <c r="P105" s="9"/>
    </row>
    <row r="106" spans="2:22" ht="13.8" x14ac:dyDescent="0.25">
      <c r="B106" s="8"/>
      <c r="C106" s="8"/>
      <c r="D106" s="15" t="s">
        <v>190</v>
      </c>
      <c r="E106" s="1165" t="str">
        <f>Translations!$B$908</f>
        <v>Relevance of this tool in your installation:</v>
      </c>
      <c r="F106" s="1165"/>
      <c r="G106" s="1165"/>
      <c r="H106" s="1165"/>
      <c r="I106" s="1165"/>
      <c r="J106" s="1165"/>
      <c r="K106" s="1425"/>
      <c r="L106" s="1650" t="str">
        <f>IF(CNTR_ExistSubInstEntries,IF(COUNTIF(CNTR_SubInstListNames,INDEX(EUconst_BMlistNames,Q106))&gt;0,EUconst_Relevant,EUconst_NotRelevant),"")</f>
        <v/>
      </c>
      <c r="M106" s="1651"/>
      <c r="N106" s="1652"/>
      <c r="O106" s="8"/>
      <c r="P106" s="124" t="s">
        <v>485</v>
      </c>
      <c r="Q106" s="115">
        <v>12</v>
      </c>
    </row>
    <row r="107" spans="2:22" x14ac:dyDescent="0.25">
      <c r="B107" s="8"/>
      <c r="C107" s="8"/>
      <c r="D107" s="17"/>
      <c r="E107" s="1211" t="str">
        <f>Translations!$B$909</f>
        <v>This message is automatically generated based on your inputs in sheet "A_InstallationData", section A.III.1.</v>
      </c>
      <c r="F107" s="1212"/>
      <c r="G107" s="1212"/>
      <c r="H107" s="1212"/>
      <c r="I107" s="1212"/>
      <c r="J107" s="1212"/>
      <c r="K107" s="1212"/>
      <c r="L107" s="1212"/>
      <c r="M107" s="1212"/>
      <c r="N107" s="1212"/>
      <c r="O107" s="8"/>
      <c r="P107" s="9"/>
    </row>
    <row r="108" spans="2:22" x14ac:dyDescent="0.25">
      <c r="B108" s="8"/>
      <c r="C108" s="8"/>
      <c r="D108" s="8"/>
      <c r="E108" s="1647" t="str">
        <f>IF(L106=EUconst_Relevant,HYPERLINK(Q108,EUconst_MsgBackToSheetF),"")</f>
        <v/>
      </c>
      <c r="F108" s="1648"/>
      <c r="G108" s="1648"/>
      <c r="H108" s="1648"/>
      <c r="I108" s="1648"/>
      <c r="J108" s="1648"/>
      <c r="K108" s="1648"/>
      <c r="L108" s="1648"/>
      <c r="M108" s="1648"/>
      <c r="N108" s="1649"/>
      <c r="O108" s="8"/>
      <c r="P108" s="124" t="s">
        <v>486</v>
      </c>
      <c r="Q108" s="63" t="str">
        <f>IF(ISNUMBER(MATCH(Q106,CNTR_SubInstListBMnumbers,0)),"#JUMP_F"&amp;MATCH(Q106,CNTR_SubInstListBMnumbers,0),"")</f>
        <v/>
      </c>
    </row>
    <row r="109" spans="2:22" ht="5.0999999999999996" customHeight="1" x14ac:dyDescent="0.25">
      <c r="B109" s="8"/>
      <c r="C109" s="8"/>
      <c r="D109" s="8"/>
      <c r="E109" s="8"/>
      <c r="F109" s="8"/>
      <c r="G109" s="8"/>
      <c r="H109" s="8"/>
      <c r="I109" s="8"/>
      <c r="J109" s="8"/>
      <c r="K109" s="8"/>
      <c r="L109" s="8"/>
      <c r="M109" s="8"/>
      <c r="N109" s="8"/>
      <c r="O109" s="8"/>
      <c r="P109" s="9"/>
    </row>
    <row r="110" spans="2:22" x14ac:dyDescent="0.25">
      <c r="B110" s="8"/>
      <c r="C110" s="8"/>
      <c r="D110" s="15" t="s">
        <v>192</v>
      </c>
      <c r="E110" s="1165" t="str">
        <f>Translations!$B$987</f>
        <v>Uncorrected Lime production:</v>
      </c>
      <c r="F110" s="1176"/>
      <c r="G110" s="1176"/>
      <c r="H110" s="1176"/>
      <c r="I110" s="1176"/>
      <c r="J110" s="1176"/>
      <c r="K110" s="1176"/>
      <c r="L110" s="1176"/>
      <c r="M110" s="1176"/>
      <c r="N110" s="1176"/>
      <c r="O110" s="8"/>
      <c r="P110" s="9"/>
    </row>
    <row r="111" spans="2:22" ht="13.8" thickBot="1" x14ac:dyDescent="0.3">
      <c r="B111" s="8"/>
      <c r="C111" s="8"/>
      <c r="D111" s="17"/>
      <c r="E111" s="1223" t="str">
        <f>Translations!$B$988</f>
        <v>Please enter here the annual production data expressed as tonnes of lime, without correction for the composition data:</v>
      </c>
      <c r="F111" s="1176"/>
      <c r="G111" s="1176"/>
      <c r="H111" s="1176"/>
      <c r="I111" s="1176"/>
      <c r="J111" s="1176"/>
      <c r="K111" s="1176"/>
      <c r="L111" s="1176"/>
      <c r="M111" s="1176"/>
      <c r="N111" s="1176"/>
      <c r="O111" s="8"/>
      <c r="P111" s="9"/>
      <c r="V111" s="145" t="s">
        <v>394</v>
      </c>
    </row>
    <row r="112" spans="2:22" x14ac:dyDescent="0.25">
      <c r="B112" s="17"/>
      <c r="C112" s="17"/>
      <c r="D112" s="15"/>
      <c r="E112" s="22"/>
      <c r="F112" s="78"/>
      <c r="G112" s="78"/>
      <c r="H112" s="23" t="str">
        <f>EUconst_Unit</f>
        <v>Unit</v>
      </c>
      <c r="I112" s="149">
        <f>I$391</f>
        <v>2019</v>
      </c>
      <c r="J112" s="149">
        <f>J$391</f>
        <v>2020</v>
      </c>
      <c r="K112" s="149">
        <f>K$391</f>
        <v>2021</v>
      </c>
      <c r="L112" s="149">
        <f>L$391</f>
        <v>2022</v>
      </c>
      <c r="M112" s="149">
        <f>M$391</f>
        <v>2023</v>
      </c>
      <c r="N112" s="376" t="str">
        <f>IF(L106&lt;&gt;EUconst_Relevant,"",IF(T112,YEAR(INDEX(CNTR_SubInstStartDate,MATCH(Q106,CNTR_SubInstListBMnumbers,0)))+1,""))</f>
        <v/>
      </c>
      <c r="O112" s="8"/>
      <c r="S112" s="124" t="s">
        <v>304</v>
      </c>
      <c r="T112" s="626" t="str">
        <f>IF(L106&lt;&gt;EUconst_Relevant,"",INDEX(CNTR_SubInstLess1Year,MATCH(Q106,CNTR_SubInstListBMnumbers,0)))</f>
        <v/>
      </c>
      <c r="V112" s="284" t="b">
        <f>IF(CNTR_ExistSubInstEntries,IF(L106=EUconst_Relevant,NOT(T112),TRUE),FALSE)</f>
        <v>0</v>
      </c>
    </row>
    <row r="113" spans="2:22" ht="13.8" thickBot="1" x14ac:dyDescent="0.3">
      <c r="B113" s="17"/>
      <c r="C113" s="17"/>
      <c r="D113" s="17"/>
      <c r="E113" s="1412" t="str">
        <f>Translations!$B$989</f>
        <v>uncorrected lime production</v>
      </c>
      <c r="F113" s="1412"/>
      <c r="G113" s="1412"/>
      <c r="H113" s="43" t="str">
        <f>EUconst_tpa</f>
        <v>t / year</v>
      </c>
      <c r="I113" s="976"/>
      <c r="J113" s="976"/>
      <c r="K113" s="976"/>
      <c r="L113" s="976"/>
      <c r="M113" s="976"/>
      <c r="N113" s="962"/>
      <c r="O113" s="8"/>
      <c r="V113" s="286" t="b">
        <f>V112</f>
        <v>0</v>
      </c>
    </row>
    <row r="114" spans="2:22" ht="5.0999999999999996" customHeight="1" x14ac:dyDescent="0.25">
      <c r="B114" s="8"/>
      <c r="C114" s="8"/>
      <c r="D114" s="8"/>
      <c r="E114" s="8"/>
      <c r="F114" s="8"/>
      <c r="G114" s="8"/>
      <c r="H114" s="8"/>
      <c r="I114" s="8"/>
      <c r="J114" s="8"/>
      <c r="K114" s="8"/>
      <c r="L114" s="8"/>
      <c r="M114" s="8"/>
      <c r="N114" s="8"/>
      <c r="O114" s="8"/>
      <c r="P114" s="9"/>
    </row>
    <row r="115" spans="2:22" x14ac:dyDescent="0.25">
      <c r="B115" s="8"/>
      <c r="C115" s="8"/>
      <c r="D115" s="15" t="s">
        <v>195</v>
      </c>
      <c r="E115" s="1165" t="str">
        <f>Translations!$B$990</f>
        <v>Composition data:</v>
      </c>
      <c r="F115" s="1176"/>
      <c r="G115" s="1176"/>
      <c r="H115" s="1176"/>
      <c r="I115" s="1176"/>
      <c r="J115" s="1176"/>
      <c r="K115" s="1176"/>
      <c r="L115" s="1176"/>
      <c r="M115" s="1176"/>
      <c r="N115" s="1176"/>
      <c r="O115" s="8"/>
      <c r="P115" s="9"/>
    </row>
    <row r="116" spans="2:22" x14ac:dyDescent="0.25">
      <c r="B116" s="8"/>
      <c r="C116" s="8"/>
      <c r="D116" s="17"/>
      <c r="E116" s="1223" t="s">
        <v>499</v>
      </c>
      <c r="F116" s="1176"/>
      <c r="G116" s="1176"/>
      <c r="H116" s="1176"/>
      <c r="I116" s="1176"/>
      <c r="J116" s="1176"/>
      <c r="K116" s="1176"/>
      <c r="L116" s="1176"/>
      <c r="M116" s="1176"/>
      <c r="N116" s="1176"/>
      <c r="O116" s="8"/>
      <c r="P116" s="9"/>
    </row>
    <row r="117" spans="2:22" x14ac:dyDescent="0.25">
      <c r="B117" s="8"/>
      <c r="C117" s="8"/>
      <c r="D117" s="17"/>
      <c r="E117" s="884" t="s">
        <v>500</v>
      </c>
      <c r="F117" s="1223" t="str">
        <f>Translations!$B$992</f>
        <v>content of free CaO in the produced lime in each year of the baseline period expressed as mass-%</v>
      </c>
      <c r="G117" s="1176"/>
      <c r="H117" s="1176"/>
      <c r="I117" s="1176"/>
      <c r="J117" s="1176"/>
      <c r="K117" s="1176"/>
      <c r="L117" s="1176"/>
      <c r="M117" s="1176"/>
      <c r="N117" s="1176"/>
      <c r="O117" s="8"/>
      <c r="P117" s="9"/>
    </row>
    <row r="118" spans="2:22" x14ac:dyDescent="0.25">
      <c r="B118" s="8"/>
      <c r="C118" s="8"/>
      <c r="D118" s="17"/>
      <c r="E118" s="884"/>
      <c r="F118" s="1223" t="str">
        <f>Translations!$B$993</f>
        <v>In case no data on the content of free CaO is available, a conservative estimate not lower than 85% shall be applied.</v>
      </c>
      <c r="G118" s="1176"/>
      <c r="H118" s="1176"/>
      <c r="I118" s="1176"/>
      <c r="J118" s="1176"/>
      <c r="K118" s="1176"/>
      <c r="L118" s="1176"/>
      <c r="M118" s="1176"/>
      <c r="N118" s="1176"/>
      <c r="O118" s="8"/>
      <c r="P118" s="9"/>
    </row>
    <row r="119" spans="2:22" x14ac:dyDescent="0.25">
      <c r="B119" s="8"/>
      <c r="C119" s="8"/>
      <c r="D119" s="17"/>
      <c r="E119" s="884" t="s">
        <v>501</v>
      </c>
      <c r="F119" s="1223" t="str">
        <f>Translations!$B$994</f>
        <v>content of free MgO in the produced lime in each year of the baseline period expressed as mass-%</v>
      </c>
      <c r="G119" s="1176"/>
      <c r="H119" s="1176"/>
      <c r="I119" s="1176"/>
      <c r="J119" s="1176"/>
      <c r="K119" s="1176"/>
      <c r="L119" s="1176"/>
      <c r="M119" s="1176"/>
      <c r="N119" s="1176"/>
      <c r="O119" s="8"/>
      <c r="P119" s="9"/>
    </row>
    <row r="120" spans="2:22" ht="13.8" thickBot="1" x14ac:dyDescent="0.3">
      <c r="B120" s="8"/>
      <c r="C120" s="8"/>
      <c r="D120" s="17"/>
      <c r="E120" s="884"/>
      <c r="F120" s="1223" t="str">
        <f>Translations!$B$995</f>
        <v>In case no data on the content of free MgO is available, a conservative estimate not lower than 0.5% shall be applied.</v>
      </c>
      <c r="G120" s="1176"/>
      <c r="H120" s="1176"/>
      <c r="I120" s="1176"/>
      <c r="J120" s="1176"/>
      <c r="K120" s="1176"/>
      <c r="L120" s="1176"/>
      <c r="M120" s="1176"/>
      <c r="N120" s="1176"/>
      <c r="O120" s="8"/>
      <c r="P120" s="9"/>
    </row>
    <row r="121" spans="2:22" x14ac:dyDescent="0.25">
      <c r="B121" s="17"/>
      <c r="C121" s="17"/>
      <c r="D121" s="15"/>
      <c r="E121" s="22"/>
      <c r="F121" s="78"/>
      <c r="G121" s="78"/>
      <c r="H121" s="23" t="str">
        <f>EUconst_Unit</f>
        <v>Unit</v>
      </c>
      <c r="I121" s="149">
        <f>I$391</f>
        <v>2019</v>
      </c>
      <c r="J121" s="149">
        <f>J$391</f>
        <v>2020</v>
      </c>
      <c r="K121" s="149">
        <f>K$391</f>
        <v>2021</v>
      </c>
      <c r="L121" s="149">
        <f>L$391</f>
        <v>2022</v>
      </c>
      <c r="M121" s="149">
        <f>M$391</f>
        <v>2023</v>
      </c>
      <c r="N121" s="376" t="str">
        <f>N112</f>
        <v/>
      </c>
      <c r="O121" s="8"/>
      <c r="V121" s="391" t="b">
        <f>V113</f>
        <v>0</v>
      </c>
    </row>
    <row r="122" spans="2:22" x14ac:dyDescent="0.25">
      <c r="B122" s="17"/>
      <c r="C122" s="17"/>
      <c r="D122" s="17"/>
      <c r="E122" s="1248" t="str">
        <f>Translations!$B$996</f>
        <v>Content of CaO</v>
      </c>
      <c r="F122" s="1248"/>
      <c r="G122" s="1248"/>
      <c r="H122" s="856" t="s">
        <v>354</v>
      </c>
      <c r="I122" s="825"/>
      <c r="J122" s="825"/>
      <c r="K122" s="825"/>
      <c r="L122" s="825"/>
      <c r="M122" s="825"/>
      <c r="N122" s="977"/>
      <c r="O122" s="8"/>
      <c r="V122" s="285" t="b">
        <f>V121</f>
        <v>0</v>
      </c>
    </row>
    <row r="123" spans="2:22" ht="13.8" thickBot="1" x14ac:dyDescent="0.3">
      <c r="B123" s="17"/>
      <c r="C123" s="17"/>
      <c r="D123" s="17"/>
      <c r="E123" s="1254" t="str">
        <f>Translations!$B$997</f>
        <v>Content of MgO</v>
      </c>
      <c r="F123" s="1254"/>
      <c r="G123" s="1254"/>
      <c r="H123" s="860" t="s">
        <v>354</v>
      </c>
      <c r="I123" s="826"/>
      <c r="J123" s="826"/>
      <c r="K123" s="826"/>
      <c r="L123" s="826"/>
      <c r="M123" s="826"/>
      <c r="N123" s="975"/>
      <c r="O123" s="8"/>
      <c r="V123" s="286" t="b">
        <f>V122</f>
        <v>0</v>
      </c>
    </row>
    <row r="124" spans="2:22" ht="5.0999999999999996" customHeight="1" x14ac:dyDescent="0.25">
      <c r="B124" s="8"/>
      <c r="C124" s="8"/>
      <c r="D124" s="8"/>
      <c r="E124" s="8"/>
      <c r="F124" s="8"/>
      <c r="G124" s="8"/>
      <c r="H124" s="8"/>
      <c r="I124" s="8"/>
      <c r="J124" s="8"/>
      <c r="K124" s="8"/>
      <c r="L124" s="8"/>
      <c r="M124" s="8"/>
      <c r="N124" s="8"/>
      <c r="O124" s="8"/>
      <c r="P124" s="9"/>
    </row>
    <row r="125" spans="2:22" x14ac:dyDescent="0.25">
      <c r="B125" s="8"/>
      <c r="C125" s="8"/>
      <c r="D125" s="15" t="s">
        <v>197</v>
      </c>
      <c r="E125" s="1165" t="str">
        <f>Translations!$B$998</f>
        <v>Result: Activity levels for lime expressed as standard pure lime</v>
      </c>
      <c r="F125" s="1176"/>
      <c r="G125" s="1176"/>
      <c r="H125" s="1176"/>
      <c r="I125" s="1176"/>
      <c r="J125" s="1176"/>
      <c r="K125" s="1176"/>
      <c r="L125" s="1176"/>
      <c r="M125" s="1176"/>
      <c r="N125" s="1176"/>
      <c r="O125" s="8"/>
      <c r="P125" s="9"/>
    </row>
    <row r="126" spans="2:22" x14ac:dyDescent="0.25">
      <c r="B126" s="8"/>
      <c r="C126" s="8"/>
      <c r="D126" s="17"/>
      <c r="E126" s="1223" t="s">
        <v>502</v>
      </c>
      <c r="F126" s="1176"/>
      <c r="G126" s="1176"/>
      <c r="H126" s="1176"/>
      <c r="I126" s="1176"/>
      <c r="J126" s="1176"/>
      <c r="K126" s="1176"/>
      <c r="L126" s="1176"/>
      <c r="M126" s="1176"/>
      <c r="N126" s="1176"/>
      <c r="O126" s="8"/>
      <c r="P126" s="9"/>
    </row>
    <row r="127" spans="2:22" ht="13.8" thickBot="1" x14ac:dyDescent="0.3">
      <c r="B127" s="8"/>
      <c r="C127" s="8"/>
      <c r="D127" s="17"/>
      <c r="E127" s="1223" t="str">
        <f>Translations!$B$982</f>
        <v>The result of this tool is used in sheet "F_ProductBM", input line (a).ii of the appropriate sub-installation, from which the average is calculated.</v>
      </c>
      <c r="F127" s="1176"/>
      <c r="G127" s="1176"/>
      <c r="H127" s="1176"/>
      <c r="I127" s="1176"/>
      <c r="J127" s="1176"/>
      <c r="K127" s="1176"/>
      <c r="L127" s="1176"/>
      <c r="M127" s="1176"/>
      <c r="N127" s="1176"/>
      <c r="O127" s="8"/>
      <c r="P127" s="9"/>
    </row>
    <row r="128" spans="2:22" x14ac:dyDescent="0.25">
      <c r="B128" s="17"/>
      <c r="C128" s="17"/>
      <c r="D128" s="15"/>
      <c r="E128" s="78"/>
      <c r="F128" s="78"/>
      <c r="G128" s="78"/>
      <c r="H128" s="23" t="str">
        <f>EUconst_Unit</f>
        <v>Unit</v>
      </c>
      <c r="I128" s="149">
        <f>I$391</f>
        <v>2019</v>
      </c>
      <c r="J128" s="149">
        <f>J$391</f>
        <v>2020</v>
      </c>
      <c r="K128" s="149">
        <f>K$391</f>
        <v>2021</v>
      </c>
      <c r="L128" s="149">
        <f>L$391</f>
        <v>2022</v>
      </c>
      <c r="M128" s="394">
        <f>M$391</f>
        <v>2023</v>
      </c>
      <c r="N128" s="376" t="str">
        <f>N121</f>
        <v/>
      </c>
      <c r="O128" s="8"/>
      <c r="V128" s="391" t="b">
        <f>V123</f>
        <v>0</v>
      </c>
    </row>
    <row r="129" spans="2:22" ht="13.8" thickBot="1" x14ac:dyDescent="0.3">
      <c r="B129" s="17"/>
      <c r="C129" s="17"/>
      <c r="D129" s="17"/>
      <c r="E129" s="1412" t="str">
        <f>Translations!$B$1000</f>
        <v>production of standard pure lime</v>
      </c>
      <c r="F129" s="1412"/>
      <c r="G129" s="1412"/>
      <c r="H129" s="43" t="str">
        <f>EUconst_tpa</f>
        <v>t / year</v>
      </c>
      <c r="I129" s="148" t="str">
        <f t="shared" ref="I129:N129" si="2">IF(ISNUMBER(I113),I113*(785*I122/100+1092*I123/100)/751.7,"")</f>
        <v/>
      </c>
      <c r="J129" s="148" t="str">
        <f t="shared" si="2"/>
        <v/>
      </c>
      <c r="K129" s="148" t="str">
        <f t="shared" si="2"/>
        <v/>
      </c>
      <c r="L129" s="148" t="str">
        <f t="shared" si="2"/>
        <v/>
      </c>
      <c r="M129" s="923" t="str">
        <f t="shared" si="2"/>
        <v/>
      </c>
      <c r="N129" s="395" t="str">
        <f t="shared" si="2"/>
        <v/>
      </c>
      <c r="O129" s="8"/>
      <c r="P129" s="63" t="str">
        <f>IF(L106=EUconst_Relevant,EUconst_CNTR_HALspecial &amp; INDEX(EUconst_BMlistNames,Q106),"")</f>
        <v/>
      </c>
      <c r="V129" s="286" t="b">
        <f>V128</f>
        <v>0</v>
      </c>
    </row>
    <row r="130" spans="2:22" ht="5.0999999999999996" customHeight="1" x14ac:dyDescent="0.25">
      <c r="B130" s="8"/>
      <c r="C130" s="8"/>
      <c r="D130" s="8"/>
      <c r="E130" s="8"/>
      <c r="F130" s="8"/>
      <c r="G130" s="8"/>
      <c r="H130" s="8"/>
      <c r="I130" s="8"/>
      <c r="J130" s="8"/>
      <c r="K130" s="8"/>
      <c r="L130" s="8"/>
      <c r="M130" s="8"/>
      <c r="N130" s="8"/>
      <c r="O130" s="8"/>
      <c r="P130" s="9"/>
    </row>
    <row r="131" spans="2:22" x14ac:dyDescent="0.25">
      <c r="B131" s="8"/>
      <c r="C131" s="8"/>
      <c r="D131" s="8"/>
      <c r="E131" s="1647" t="str">
        <f>IF(L106=EUconst_Relevant,HYPERLINK(Q131,EUconst_MsgBackToSheetF),"")</f>
        <v/>
      </c>
      <c r="F131" s="1648"/>
      <c r="G131" s="1648"/>
      <c r="H131" s="1648"/>
      <c r="I131" s="1648"/>
      <c r="J131" s="1648"/>
      <c r="K131" s="1648"/>
      <c r="L131" s="1648"/>
      <c r="M131" s="1648"/>
      <c r="N131" s="1649"/>
      <c r="O131" s="8"/>
      <c r="P131" s="124" t="s">
        <v>486</v>
      </c>
      <c r="Q131" s="63" t="str">
        <f>Q108</f>
        <v/>
      </c>
    </row>
    <row r="132" spans="2:22" x14ac:dyDescent="0.25">
      <c r="B132" s="17"/>
      <c r="C132" s="17"/>
      <c r="D132" s="17"/>
      <c r="E132" s="17"/>
      <c r="F132" s="17"/>
      <c r="G132" s="17"/>
      <c r="H132" s="17"/>
      <c r="I132" s="17"/>
      <c r="J132" s="17"/>
      <c r="K132" s="17"/>
      <c r="L132" s="17"/>
      <c r="M132" s="17"/>
      <c r="N132" s="17"/>
      <c r="O132" s="8"/>
    </row>
    <row r="133" spans="2:22" ht="15.6" x14ac:dyDescent="0.3">
      <c r="B133" s="8"/>
      <c r="C133" s="13" t="s">
        <v>5</v>
      </c>
      <c r="D133" s="1175" t="str">
        <f>Translations!$B$1001</f>
        <v>Dolime</v>
      </c>
      <c r="E133" s="1175"/>
      <c r="F133" s="1175"/>
      <c r="G133" s="1175"/>
      <c r="H133" s="1175"/>
      <c r="I133" s="1175"/>
      <c r="J133" s="1175"/>
      <c r="K133" s="1175"/>
      <c r="L133" s="1175"/>
      <c r="M133" s="1175"/>
      <c r="N133" s="1175"/>
      <c r="O133" s="8"/>
      <c r="P133" s="9"/>
    </row>
    <row r="134" spans="2:22" ht="5.0999999999999996" customHeight="1" x14ac:dyDescent="0.25">
      <c r="B134" s="8"/>
      <c r="C134" s="8"/>
      <c r="D134" s="8"/>
      <c r="E134" s="8"/>
      <c r="F134" s="8"/>
      <c r="G134" s="8"/>
      <c r="H134" s="8"/>
      <c r="I134" s="8"/>
      <c r="J134" s="8"/>
      <c r="K134" s="8"/>
      <c r="L134" s="8"/>
      <c r="M134" s="8"/>
      <c r="N134" s="8"/>
      <c r="O134" s="8"/>
      <c r="P134" s="9"/>
    </row>
    <row r="135" spans="2:22" ht="13.8" x14ac:dyDescent="0.25">
      <c r="B135" s="8"/>
      <c r="C135" s="19"/>
      <c r="D135" s="1234" t="str">
        <f>Translations!$B$1002</f>
        <v>Tool for calculating the historical activity levels for Dolime sub-installations</v>
      </c>
      <c r="E135" s="1176"/>
      <c r="F135" s="1176"/>
      <c r="G135" s="1176"/>
      <c r="H135" s="1176"/>
      <c r="I135" s="1176"/>
      <c r="J135" s="1176"/>
      <c r="K135" s="1176"/>
      <c r="L135" s="1176"/>
      <c r="M135" s="1176"/>
      <c r="N135" s="1176"/>
      <c r="O135" s="8"/>
      <c r="P135" s="9"/>
    </row>
    <row r="136" spans="2:22" ht="5.0999999999999996" customHeight="1" x14ac:dyDescent="0.25">
      <c r="B136" s="8"/>
      <c r="C136" s="8"/>
      <c r="D136" s="8"/>
      <c r="E136" s="8"/>
      <c r="F136" s="8"/>
      <c r="G136" s="8"/>
      <c r="H136" s="8"/>
      <c r="I136" s="8"/>
      <c r="J136" s="8"/>
      <c r="K136" s="8"/>
      <c r="L136" s="8"/>
      <c r="M136" s="8"/>
      <c r="N136" s="8"/>
      <c r="O136" s="8"/>
      <c r="P136" s="9"/>
    </row>
    <row r="137" spans="2:22" x14ac:dyDescent="0.25">
      <c r="B137" s="8"/>
      <c r="C137" s="8"/>
      <c r="D137" s="17"/>
      <c r="E137" s="1223" t="s">
        <v>503</v>
      </c>
      <c r="F137" s="1176"/>
      <c r="G137" s="1176"/>
      <c r="H137" s="1176"/>
      <c r="I137" s="1176"/>
      <c r="J137" s="1176"/>
      <c r="K137" s="1176"/>
      <c r="L137" s="1176"/>
      <c r="M137" s="1176"/>
      <c r="N137" s="1176"/>
      <c r="O137" s="8"/>
      <c r="P137" s="9"/>
    </row>
    <row r="138" spans="2:22" x14ac:dyDescent="0.25">
      <c r="B138" s="8"/>
      <c r="C138" s="8"/>
      <c r="D138" s="17"/>
      <c r="E138" s="1223" t="str">
        <f>Translations!$B$907</f>
        <v>The result of this tool is automatically copied into sheet "F_ProductBM", input line "(a).ii" of the appropriate sub-installation.</v>
      </c>
      <c r="F138" s="1176"/>
      <c r="G138" s="1176"/>
      <c r="H138" s="1176"/>
      <c r="I138" s="1176"/>
      <c r="J138" s="1176"/>
      <c r="K138" s="1176"/>
      <c r="L138" s="1176"/>
      <c r="M138" s="1176"/>
      <c r="N138" s="1176"/>
      <c r="O138" s="8"/>
      <c r="P138" s="9"/>
    </row>
    <row r="139" spans="2:22" ht="5.0999999999999996" customHeight="1" x14ac:dyDescent="0.25">
      <c r="B139" s="8"/>
      <c r="C139" s="8"/>
      <c r="D139" s="8"/>
      <c r="E139" s="8"/>
      <c r="F139" s="8"/>
      <c r="G139" s="8"/>
      <c r="H139" s="8"/>
      <c r="I139" s="8"/>
      <c r="J139" s="8"/>
      <c r="K139" s="8"/>
      <c r="L139" s="8"/>
      <c r="M139" s="8"/>
      <c r="N139" s="8"/>
      <c r="O139" s="8"/>
      <c r="P139" s="9"/>
    </row>
    <row r="140" spans="2:22" ht="13.8" x14ac:dyDescent="0.25">
      <c r="B140" s="8"/>
      <c r="C140" s="8"/>
      <c r="D140" s="15" t="s">
        <v>190</v>
      </c>
      <c r="E140" s="1165" t="str">
        <f>Translations!$B$908</f>
        <v>Relevance of this tool in your installation:</v>
      </c>
      <c r="F140" s="1165"/>
      <c r="G140" s="1165"/>
      <c r="H140" s="1165"/>
      <c r="I140" s="1165"/>
      <c r="J140" s="1165"/>
      <c r="K140" s="1425"/>
      <c r="L140" s="1650" t="str">
        <f>IF(CNTR_ExistSubInstEntries,IF(COUNTIF(CNTR_SubInstListNames,INDEX(EUconst_BMlistNames,Q140))&gt;0,EUconst_Relevant,EUconst_NotRelevant),"")</f>
        <v/>
      </c>
      <c r="M140" s="1651"/>
      <c r="N140" s="1652"/>
      <c r="O140" s="8"/>
      <c r="P140" s="124" t="s">
        <v>485</v>
      </c>
      <c r="Q140" s="115">
        <v>13</v>
      </c>
    </row>
    <row r="141" spans="2:22" x14ac:dyDescent="0.25">
      <c r="B141" s="8"/>
      <c r="C141" s="8"/>
      <c r="D141" s="17"/>
      <c r="E141" s="1211" t="str">
        <f>Translations!$B$909</f>
        <v>This message is automatically generated based on your inputs in sheet "A_InstallationData", section A.III.1.</v>
      </c>
      <c r="F141" s="1212"/>
      <c r="G141" s="1212"/>
      <c r="H141" s="1212"/>
      <c r="I141" s="1212"/>
      <c r="J141" s="1212"/>
      <c r="K141" s="1212"/>
      <c r="L141" s="1212"/>
      <c r="M141" s="1212"/>
      <c r="N141" s="1212"/>
      <c r="O141" s="8"/>
      <c r="P141" s="9"/>
    </row>
    <row r="142" spans="2:22" x14ac:dyDescent="0.25">
      <c r="B142" s="8"/>
      <c r="C142" s="8"/>
      <c r="D142" s="8"/>
      <c r="E142" s="1647" t="str">
        <f>IF(L140=EUconst_Relevant,HYPERLINK(Q142,EUconst_MsgBackToSheetF),"")</f>
        <v/>
      </c>
      <c r="F142" s="1648"/>
      <c r="G142" s="1648"/>
      <c r="H142" s="1648"/>
      <c r="I142" s="1648"/>
      <c r="J142" s="1648"/>
      <c r="K142" s="1648"/>
      <c r="L142" s="1648"/>
      <c r="M142" s="1648"/>
      <c r="N142" s="1649"/>
      <c r="O142" s="8"/>
      <c r="P142" s="124" t="s">
        <v>486</v>
      </c>
      <c r="Q142" s="63" t="str">
        <f>IF(ISNUMBER(MATCH(Q140,CNTR_SubInstListBMnumbers,0)),"#JUMP_F"&amp;MATCH(Q140,CNTR_SubInstListBMnumbers,0),"")</f>
        <v/>
      </c>
    </row>
    <row r="143" spans="2:22" ht="5.0999999999999996" customHeight="1" x14ac:dyDescent="0.25">
      <c r="B143" s="8"/>
      <c r="C143" s="8"/>
      <c r="D143" s="8"/>
      <c r="E143" s="8"/>
      <c r="F143" s="8"/>
      <c r="G143" s="8"/>
      <c r="H143" s="8"/>
      <c r="I143" s="8"/>
      <c r="J143" s="8"/>
      <c r="K143" s="8"/>
      <c r="L143" s="8"/>
      <c r="M143" s="8"/>
      <c r="N143" s="8"/>
      <c r="O143" s="8"/>
      <c r="P143" s="9"/>
    </row>
    <row r="144" spans="2:22" x14ac:dyDescent="0.25">
      <c r="B144" s="8"/>
      <c r="C144" s="8"/>
      <c r="D144" s="15" t="s">
        <v>192</v>
      </c>
      <c r="E144" s="1165" t="str">
        <f>Translations!$B$1004</f>
        <v>Uncorrected Dolime production:</v>
      </c>
      <c r="F144" s="1176"/>
      <c r="G144" s="1176"/>
      <c r="H144" s="1176"/>
      <c r="I144" s="1176"/>
      <c r="J144" s="1176"/>
      <c r="K144" s="1176"/>
      <c r="L144" s="1176"/>
      <c r="M144" s="1176"/>
      <c r="N144" s="1176"/>
      <c r="O144" s="8"/>
      <c r="P144" s="9"/>
    </row>
    <row r="145" spans="2:22" ht="13.8" thickBot="1" x14ac:dyDescent="0.3">
      <c r="B145" s="8"/>
      <c r="C145" s="8"/>
      <c r="D145" s="17"/>
      <c r="E145" s="1223" t="str">
        <f>Translations!$B$1005</f>
        <v>Please enter here the annual production data expressed as tonnes of dolime, without correction for the composition data:</v>
      </c>
      <c r="F145" s="1176"/>
      <c r="G145" s="1176"/>
      <c r="H145" s="1176"/>
      <c r="I145" s="1176"/>
      <c r="J145" s="1176"/>
      <c r="K145" s="1176"/>
      <c r="L145" s="1176"/>
      <c r="M145" s="1176"/>
      <c r="N145" s="1176"/>
      <c r="O145" s="8"/>
      <c r="P145" s="9"/>
      <c r="V145" s="145" t="s">
        <v>394</v>
      </c>
    </row>
    <row r="146" spans="2:22" x14ac:dyDescent="0.25">
      <c r="B146" s="17"/>
      <c r="C146" s="17"/>
      <c r="D146" s="15"/>
      <c r="E146" s="22"/>
      <c r="F146" s="78"/>
      <c r="G146" s="78"/>
      <c r="H146" s="23" t="str">
        <f>EUconst_Unit</f>
        <v>Unit</v>
      </c>
      <c r="I146" s="149">
        <f>I$391</f>
        <v>2019</v>
      </c>
      <c r="J146" s="149">
        <f>J$391</f>
        <v>2020</v>
      </c>
      <c r="K146" s="149">
        <f>K$391</f>
        <v>2021</v>
      </c>
      <c r="L146" s="149">
        <f>L$391</f>
        <v>2022</v>
      </c>
      <c r="M146" s="149">
        <f>M$391</f>
        <v>2023</v>
      </c>
      <c r="N146" s="376" t="str">
        <f>IF(L140&lt;&gt;EUconst_Relevant,"",IF(T146,YEAR(INDEX(CNTR_SubInstStartDate,MATCH(Q140,CNTR_SubInstListBMnumbers,0)))+1,""))</f>
        <v/>
      </c>
      <c r="O146" s="8"/>
      <c r="S146" s="124" t="s">
        <v>304</v>
      </c>
      <c r="T146" s="626" t="str">
        <f>IF(L140&lt;&gt;EUconst_Relevant,"",INDEX(CNTR_SubInstLess1Year,MATCH(Q140,CNTR_SubInstListBMnumbers,0)))</f>
        <v/>
      </c>
      <c r="V146" s="284" t="b">
        <f>IF(CNTR_ExistSubInstEntries,IF(L140=EUconst_Relevant,NOT(T146),TRUE),FALSE)</f>
        <v>0</v>
      </c>
    </row>
    <row r="147" spans="2:22" ht="13.8" thickBot="1" x14ac:dyDescent="0.3">
      <c r="B147" s="17"/>
      <c r="C147" s="17"/>
      <c r="D147" s="17"/>
      <c r="E147" s="1412" t="str">
        <f>Translations!$B$1006</f>
        <v>uncorrected dolime production</v>
      </c>
      <c r="F147" s="1412"/>
      <c r="G147" s="1412"/>
      <c r="H147" s="43" t="str">
        <f>EUconst_tpa</f>
        <v>t / year</v>
      </c>
      <c r="I147" s="231"/>
      <c r="J147" s="231"/>
      <c r="K147" s="231"/>
      <c r="L147" s="231"/>
      <c r="M147" s="231"/>
      <c r="N147" s="962"/>
      <c r="O147" s="8"/>
      <c r="V147" s="286" t="b">
        <f>V146</f>
        <v>0</v>
      </c>
    </row>
    <row r="148" spans="2:22" ht="5.0999999999999996" customHeight="1" x14ac:dyDescent="0.25">
      <c r="B148" s="8"/>
      <c r="C148" s="8"/>
      <c r="D148" s="8"/>
      <c r="E148" s="8"/>
      <c r="F148" s="8"/>
      <c r="G148" s="8"/>
      <c r="H148" s="8"/>
      <c r="I148" s="8"/>
      <c r="J148" s="8"/>
      <c r="K148" s="8"/>
      <c r="L148" s="8"/>
      <c r="M148" s="8"/>
      <c r="N148" s="8"/>
      <c r="O148" s="8"/>
      <c r="P148" s="9"/>
    </row>
    <row r="149" spans="2:22" x14ac:dyDescent="0.25">
      <c r="B149" s="8"/>
      <c r="C149" s="8"/>
      <c r="D149" s="15" t="s">
        <v>195</v>
      </c>
      <c r="E149" s="1165" t="str">
        <f>Translations!$B$990</f>
        <v>Composition data:</v>
      </c>
      <c r="F149" s="1176"/>
      <c r="G149" s="1176"/>
      <c r="H149" s="1176"/>
      <c r="I149" s="1176"/>
      <c r="J149" s="1176"/>
      <c r="K149" s="1176"/>
      <c r="L149" s="1176"/>
      <c r="M149" s="1176"/>
      <c r="N149" s="1176"/>
      <c r="O149" s="8"/>
      <c r="P149" s="9"/>
    </row>
    <row r="150" spans="2:22" x14ac:dyDescent="0.25">
      <c r="B150" s="8"/>
      <c r="C150" s="8"/>
      <c r="D150" s="17"/>
      <c r="E150" s="1223" t="s">
        <v>504</v>
      </c>
      <c r="F150" s="1176"/>
      <c r="G150" s="1176"/>
      <c r="H150" s="1176"/>
      <c r="I150" s="1176"/>
      <c r="J150" s="1176"/>
      <c r="K150" s="1176"/>
      <c r="L150" s="1176"/>
      <c r="M150" s="1176"/>
      <c r="N150" s="1176"/>
      <c r="O150" s="8"/>
      <c r="P150" s="9"/>
    </row>
    <row r="151" spans="2:22" x14ac:dyDescent="0.25">
      <c r="B151" s="8"/>
      <c r="C151" s="8"/>
      <c r="D151" s="17"/>
      <c r="E151" s="884" t="s">
        <v>500</v>
      </c>
      <c r="F151" s="1223" t="str">
        <f>Translations!$B$1008</f>
        <v>content of free CaO in the produced dolime in each year of the baseline period expressed as mass-%</v>
      </c>
      <c r="G151" s="1176"/>
      <c r="H151" s="1176"/>
      <c r="I151" s="1176"/>
      <c r="J151" s="1176"/>
      <c r="K151" s="1176"/>
      <c r="L151" s="1176"/>
      <c r="M151" s="1176"/>
      <c r="N151" s="1176"/>
      <c r="O151" s="8"/>
      <c r="P151" s="9"/>
    </row>
    <row r="152" spans="2:22" x14ac:dyDescent="0.25">
      <c r="B152" s="8"/>
      <c r="C152" s="8"/>
      <c r="D152" s="17"/>
      <c r="E152" s="884"/>
      <c r="F152" s="1223" t="str">
        <f>Translations!$B$1009</f>
        <v>In case no data on the content of free CaO is available, a conservative estimate not lower than 52% shall be applied.</v>
      </c>
      <c r="G152" s="1176"/>
      <c r="H152" s="1176"/>
      <c r="I152" s="1176"/>
      <c r="J152" s="1176"/>
      <c r="K152" s="1176"/>
      <c r="L152" s="1176"/>
      <c r="M152" s="1176"/>
      <c r="N152" s="1176"/>
      <c r="O152" s="8"/>
      <c r="P152" s="9"/>
    </row>
    <row r="153" spans="2:22" x14ac:dyDescent="0.25">
      <c r="B153" s="8"/>
      <c r="C153" s="8"/>
      <c r="D153" s="17"/>
      <c r="E153" s="884" t="s">
        <v>501</v>
      </c>
      <c r="F153" s="1223" t="str">
        <f>Translations!$B$1010</f>
        <v>content of free MgO in the produced dolime in each year of the baseline period expressed as mass-%</v>
      </c>
      <c r="G153" s="1176"/>
      <c r="H153" s="1176"/>
      <c r="I153" s="1176"/>
      <c r="J153" s="1176"/>
      <c r="K153" s="1176"/>
      <c r="L153" s="1176"/>
      <c r="M153" s="1176"/>
      <c r="N153" s="1176"/>
      <c r="O153" s="8"/>
      <c r="P153" s="9"/>
    </row>
    <row r="154" spans="2:22" ht="13.8" thickBot="1" x14ac:dyDescent="0.3">
      <c r="B154" s="8"/>
      <c r="C154" s="8"/>
      <c r="D154" s="17"/>
      <c r="E154" s="884"/>
      <c r="F154" s="1223" t="str">
        <f>Translations!$B$1011</f>
        <v>In case no data on the content of free MgO is available, a conservative estimate not lower than 33% shall be applied.</v>
      </c>
      <c r="G154" s="1176"/>
      <c r="H154" s="1176"/>
      <c r="I154" s="1176"/>
      <c r="J154" s="1176"/>
      <c r="K154" s="1176"/>
      <c r="L154" s="1176"/>
      <c r="M154" s="1176"/>
      <c r="N154" s="1176"/>
      <c r="O154" s="8"/>
      <c r="P154" s="9"/>
    </row>
    <row r="155" spans="2:22" x14ac:dyDescent="0.25">
      <c r="B155" s="17"/>
      <c r="C155" s="17"/>
      <c r="D155" s="15"/>
      <c r="E155" s="22"/>
      <c r="F155" s="78"/>
      <c r="G155" s="78"/>
      <c r="H155" s="23" t="str">
        <f>EUconst_Unit</f>
        <v>Unit</v>
      </c>
      <c r="I155" s="149">
        <f>I$391</f>
        <v>2019</v>
      </c>
      <c r="J155" s="149">
        <f>J$391</f>
        <v>2020</v>
      </c>
      <c r="K155" s="149">
        <f>K$391</f>
        <v>2021</v>
      </c>
      <c r="L155" s="149">
        <f>L$391</f>
        <v>2022</v>
      </c>
      <c r="M155" s="394">
        <f>M$391</f>
        <v>2023</v>
      </c>
      <c r="N155" s="376" t="str">
        <f>N146</f>
        <v/>
      </c>
      <c r="O155" s="8"/>
      <c r="V155" s="391" t="b">
        <f>V147</f>
        <v>0</v>
      </c>
    </row>
    <row r="156" spans="2:22" x14ac:dyDescent="0.25">
      <c r="B156" s="17"/>
      <c r="C156" s="17"/>
      <c r="D156" s="17"/>
      <c r="E156" s="1248" t="str">
        <f>Translations!$B$996</f>
        <v>Content of CaO</v>
      </c>
      <c r="F156" s="1248"/>
      <c r="G156" s="1248"/>
      <c r="H156" s="856" t="s">
        <v>354</v>
      </c>
      <c r="I156" s="825"/>
      <c r="J156" s="825"/>
      <c r="K156" s="825"/>
      <c r="L156" s="825"/>
      <c r="M156" s="890"/>
      <c r="N156" s="978"/>
      <c r="O156" s="8"/>
      <c r="V156" s="285" t="b">
        <f>V155</f>
        <v>0</v>
      </c>
    </row>
    <row r="157" spans="2:22" ht="13.8" thickBot="1" x14ac:dyDescent="0.3">
      <c r="B157" s="17"/>
      <c r="C157" s="17"/>
      <c r="D157" s="17"/>
      <c r="E157" s="1254" t="str">
        <f>Translations!$B$997</f>
        <v>Content of MgO</v>
      </c>
      <c r="F157" s="1254"/>
      <c r="G157" s="1254"/>
      <c r="H157" s="860" t="s">
        <v>354</v>
      </c>
      <c r="I157" s="826"/>
      <c r="J157" s="826"/>
      <c r="K157" s="826"/>
      <c r="L157" s="826"/>
      <c r="M157" s="896"/>
      <c r="N157" s="979"/>
      <c r="O157" s="8"/>
      <c r="V157" s="286" t="b">
        <f>V156</f>
        <v>0</v>
      </c>
    </row>
    <row r="158" spans="2:22" ht="5.0999999999999996" customHeight="1" x14ac:dyDescent="0.25">
      <c r="B158" s="8"/>
      <c r="C158" s="8"/>
      <c r="D158" s="8"/>
      <c r="E158" s="8"/>
      <c r="F158" s="8"/>
      <c r="G158" s="8"/>
      <c r="H158" s="8"/>
      <c r="I158" s="8"/>
      <c r="J158" s="8"/>
      <c r="K158" s="8"/>
      <c r="L158" s="8"/>
      <c r="M158" s="8"/>
      <c r="N158" s="8"/>
      <c r="O158" s="8"/>
      <c r="P158" s="9"/>
    </row>
    <row r="159" spans="2:22" x14ac:dyDescent="0.25">
      <c r="B159" s="8"/>
      <c r="C159" s="8"/>
      <c r="D159" s="15" t="s">
        <v>197</v>
      </c>
      <c r="E159" s="1165" t="str">
        <f>Translations!$B$1012</f>
        <v>Result: Activity levels for dolime expressed as standard pure dolime</v>
      </c>
      <c r="F159" s="1176"/>
      <c r="G159" s="1176"/>
      <c r="H159" s="1176"/>
      <c r="I159" s="1176"/>
      <c r="J159" s="1176"/>
      <c r="K159" s="1176"/>
      <c r="L159" s="1176"/>
      <c r="M159" s="1176"/>
      <c r="N159" s="1176"/>
      <c r="O159" s="8"/>
      <c r="P159" s="9"/>
    </row>
    <row r="160" spans="2:22" x14ac:dyDescent="0.25">
      <c r="B160" s="8"/>
      <c r="C160" s="8"/>
      <c r="D160" s="17"/>
      <c r="E160" s="1223" t="s">
        <v>505</v>
      </c>
      <c r="F160" s="1176"/>
      <c r="G160" s="1176"/>
      <c r="H160" s="1176"/>
      <c r="I160" s="1176"/>
      <c r="J160" s="1176"/>
      <c r="K160" s="1176"/>
      <c r="L160" s="1176"/>
      <c r="M160" s="1176"/>
      <c r="N160" s="1176"/>
      <c r="O160" s="8"/>
      <c r="P160" s="9"/>
    </row>
    <row r="161" spans="2:22" ht="13.8" thickBot="1" x14ac:dyDescent="0.3">
      <c r="B161" s="8"/>
      <c r="C161" s="8"/>
      <c r="D161" s="17"/>
      <c r="E161" s="1223" t="str">
        <f>Translations!$B$982</f>
        <v>The result of this tool is used in sheet "F_ProductBM", input line (a).ii of the appropriate sub-installation, from which the average is calculated.</v>
      </c>
      <c r="F161" s="1176"/>
      <c r="G161" s="1176"/>
      <c r="H161" s="1176"/>
      <c r="I161" s="1176"/>
      <c r="J161" s="1176"/>
      <c r="K161" s="1176"/>
      <c r="L161" s="1176"/>
      <c r="M161" s="1176"/>
      <c r="N161" s="1176"/>
      <c r="O161" s="8"/>
      <c r="P161" s="9"/>
    </row>
    <row r="162" spans="2:22" x14ac:dyDescent="0.25">
      <c r="B162" s="17"/>
      <c r="C162" s="17"/>
      <c r="D162" s="15"/>
      <c r="E162" s="78"/>
      <c r="F162" s="78"/>
      <c r="G162" s="78"/>
      <c r="H162" s="23" t="str">
        <f>EUconst_Unit</f>
        <v>Unit</v>
      </c>
      <c r="I162" s="149">
        <f>I$391</f>
        <v>2019</v>
      </c>
      <c r="J162" s="149">
        <f>J$391</f>
        <v>2020</v>
      </c>
      <c r="K162" s="149">
        <f>K$391</f>
        <v>2021</v>
      </c>
      <c r="L162" s="149">
        <f>L$391</f>
        <v>2022</v>
      </c>
      <c r="M162" s="394">
        <f>M$391</f>
        <v>2023</v>
      </c>
      <c r="N162" s="376" t="str">
        <f>N155</f>
        <v/>
      </c>
      <c r="O162" s="8"/>
      <c r="V162" s="391" t="b">
        <f>V157</f>
        <v>0</v>
      </c>
    </row>
    <row r="163" spans="2:22" ht="13.8" thickBot="1" x14ac:dyDescent="0.3">
      <c r="B163" s="17"/>
      <c r="C163" s="17"/>
      <c r="D163" s="17"/>
      <c r="E163" s="1412" t="str">
        <f>Translations!$B$1014</f>
        <v>production of standard pure dolime</v>
      </c>
      <c r="F163" s="1412"/>
      <c r="G163" s="1412"/>
      <c r="H163" s="43" t="str">
        <f>EUconst_tpa</f>
        <v>t / year</v>
      </c>
      <c r="I163" s="148" t="str">
        <f t="shared" ref="I163:N163" si="3">IF(ISNUMBER(I147),I147*(785*I156/100+1092*I157/100)/865.6,"")</f>
        <v/>
      </c>
      <c r="J163" s="148" t="str">
        <f t="shared" si="3"/>
        <v/>
      </c>
      <c r="K163" s="148" t="str">
        <f t="shared" si="3"/>
        <v/>
      </c>
      <c r="L163" s="148" t="str">
        <f t="shared" si="3"/>
        <v/>
      </c>
      <c r="M163" s="923" t="str">
        <f t="shared" si="3"/>
        <v/>
      </c>
      <c r="N163" s="924" t="str">
        <f t="shared" si="3"/>
        <v/>
      </c>
      <c r="O163" s="8"/>
      <c r="P163" s="63" t="str">
        <f>IF(L140=EUconst_Relevant,EUconst_CNTR_HALspecial &amp; INDEX(EUconst_BMlistNames,Q140),"")</f>
        <v/>
      </c>
      <c r="V163" s="286" t="b">
        <f>V162</f>
        <v>0</v>
      </c>
    </row>
    <row r="164" spans="2:22" ht="5.0999999999999996" customHeight="1" x14ac:dyDescent="0.25">
      <c r="B164" s="8"/>
      <c r="C164" s="8"/>
      <c r="D164" s="8"/>
      <c r="E164" s="8"/>
      <c r="F164" s="8"/>
      <c r="G164" s="8"/>
      <c r="H164" s="8"/>
      <c r="I164" s="8"/>
      <c r="J164" s="8"/>
      <c r="K164" s="8"/>
      <c r="L164" s="8"/>
      <c r="M164" s="8"/>
      <c r="N164" s="8"/>
      <c r="O164" s="8"/>
      <c r="P164" s="9"/>
    </row>
    <row r="165" spans="2:22" x14ac:dyDescent="0.25">
      <c r="B165" s="8"/>
      <c r="C165" s="8"/>
      <c r="D165" s="8"/>
      <c r="E165" s="1647" t="str">
        <f>IF(L140=EUconst_Relevant,HYPERLINK(Q165,EUconst_MsgBackToSheetF),"")</f>
        <v/>
      </c>
      <c r="F165" s="1648"/>
      <c r="G165" s="1648"/>
      <c r="H165" s="1648"/>
      <c r="I165" s="1648"/>
      <c r="J165" s="1648"/>
      <c r="K165" s="1648"/>
      <c r="L165" s="1648"/>
      <c r="M165" s="1648"/>
      <c r="N165" s="1649"/>
      <c r="O165" s="8"/>
      <c r="P165" s="124" t="s">
        <v>486</v>
      </c>
      <c r="Q165" s="63" t="str">
        <f>Q142</f>
        <v/>
      </c>
    </row>
    <row r="166" spans="2:22" x14ac:dyDescent="0.25">
      <c r="B166" s="17"/>
      <c r="C166" s="17"/>
      <c r="D166" s="17"/>
      <c r="E166" s="17"/>
      <c r="F166" s="17"/>
      <c r="G166" s="17"/>
      <c r="H166" s="17"/>
      <c r="I166" s="17"/>
      <c r="J166" s="17"/>
      <c r="K166" s="17"/>
      <c r="L166" s="17"/>
      <c r="M166" s="17"/>
      <c r="N166" s="17"/>
      <c r="O166" s="8"/>
    </row>
    <row r="167" spans="2:22" ht="15.6" x14ac:dyDescent="0.3">
      <c r="B167" s="8"/>
      <c r="C167" s="13" t="s">
        <v>6</v>
      </c>
      <c r="D167" s="1175" t="str">
        <f>Translations!$B$1015</f>
        <v>Steam cracking</v>
      </c>
      <c r="E167" s="1175"/>
      <c r="F167" s="1175"/>
      <c r="G167" s="1175"/>
      <c r="H167" s="1175"/>
      <c r="I167" s="1175"/>
      <c r="J167" s="1175"/>
      <c r="K167" s="1175"/>
      <c r="L167" s="1175"/>
      <c r="M167" s="1175"/>
      <c r="N167" s="1175"/>
      <c r="O167" s="8"/>
      <c r="P167" s="9"/>
    </row>
    <row r="168" spans="2:22" ht="5.0999999999999996" customHeight="1" x14ac:dyDescent="0.25">
      <c r="B168" s="8"/>
      <c r="C168" s="8"/>
      <c r="D168" s="8"/>
      <c r="E168" s="8"/>
      <c r="F168" s="8"/>
      <c r="G168" s="8"/>
      <c r="H168" s="8"/>
      <c r="I168" s="8"/>
      <c r="J168" s="8"/>
      <c r="K168" s="8"/>
      <c r="L168" s="8"/>
      <c r="M168" s="8"/>
      <c r="N168" s="8"/>
      <c r="O168" s="8"/>
      <c r="P168" s="9"/>
    </row>
    <row r="169" spans="2:22" ht="13.8" x14ac:dyDescent="0.25">
      <c r="B169" s="8"/>
      <c r="C169" s="19">
        <v>1</v>
      </c>
      <c r="D169" s="1234" t="str">
        <f>Translations!$B$1016</f>
        <v>Tool for calculating the historical activity levels for steam cracking sub-installations</v>
      </c>
      <c r="E169" s="1176"/>
      <c r="F169" s="1176"/>
      <c r="G169" s="1176"/>
      <c r="H169" s="1176"/>
      <c r="I169" s="1176"/>
      <c r="J169" s="1176"/>
      <c r="K169" s="1176"/>
      <c r="L169" s="1176"/>
      <c r="M169" s="1176"/>
      <c r="N169" s="1176"/>
      <c r="O169" s="8"/>
      <c r="P169" s="9"/>
    </row>
    <row r="170" spans="2:22" ht="5.0999999999999996" customHeight="1" x14ac:dyDescent="0.25">
      <c r="B170" s="8"/>
      <c r="C170" s="8"/>
      <c r="D170" s="8"/>
      <c r="E170" s="8"/>
      <c r="F170" s="8"/>
      <c r="G170" s="8"/>
      <c r="H170" s="8"/>
      <c r="I170" s="8"/>
      <c r="J170" s="8"/>
      <c r="K170" s="8"/>
      <c r="L170" s="8"/>
      <c r="M170" s="8"/>
      <c r="N170" s="8"/>
      <c r="O170" s="8"/>
      <c r="P170" s="9"/>
    </row>
    <row r="171" spans="2:22" x14ac:dyDescent="0.25">
      <c r="B171" s="8"/>
      <c r="C171" s="8"/>
      <c r="D171" s="17"/>
      <c r="E171" s="1223" t="s">
        <v>506</v>
      </c>
      <c r="F171" s="1176"/>
      <c r="G171" s="1176"/>
      <c r="H171" s="1176"/>
      <c r="I171" s="1176"/>
      <c r="J171" s="1176"/>
      <c r="K171" s="1176"/>
      <c r="L171" s="1176"/>
      <c r="M171" s="1176"/>
      <c r="N171" s="1176"/>
      <c r="O171" s="8"/>
      <c r="P171" s="9"/>
    </row>
    <row r="172" spans="2:22" x14ac:dyDescent="0.25">
      <c r="B172" s="8"/>
      <c r="C172" s="8"/>
      <c r="D172" s="17"/>
      <c r="E172" s="1223" t="str">
        <f>Translations!$B$907</f>
        <v>The result of this tool is automatically copied into sheet "F_ProductBM", input line "(a).ii" of the appropriate sub-installation.</v>
      </c>
      <c r="F172" s="1176"/>
      <c r="G172" s="1176"/>
      <c r="H172" s="1176"/>
      <c r="I172" s="1176"/>
      <c r="J172" s="1176"/>
      <c r="K172" s="1176"/>
      <c r="L172" s="1176"/>
      <c r="M172" s="1176"/>
      <c r="N172" s="1176"/>
      <c r="O172" s="8"/>
      <c r="P172" s="9"/>
    </row>
    <row r="173" spans="2:22" ht="5.0999999999999996" customHeight="1" x14ac:dyDescent="0.25">
      <c r="B173" s="8"/>
      <c r="C173" s="8"/>
      <c r="D173" s="8"/>
      <c r="E173" s="8"/>
      <c r="F173" s="8"/>
      <c r="G173" s="8"/>
      <c r="H173" s="8"/>
      <c r="I173" s="8"/>
      <c r="J173" s="8"/>
      <c r="K173" s="8"/>
      <c r="L173" s="8"/>
      <c r="M173" s="8"/>
      <c r="N173" s="8"/>
      <c r="O173" s="8"/>
      <c r="P173" s="9"/>
    </row>
    <row r="174" spans="2:22" ht="13.8" x14ac:dyDescent="0.25">
      <c r="B174" s="8"/>
      <c r="C174" s="8"/>
      <c r="D174" s="15" t="s">
        <v>190</v>
      </c>
      <c r="E174" s="1165" t="str">
        <f>Translations!$B$908</f>
        <v>Relevance of this tool in your installation:</v>
      </c>
      <c r="F174" s="1165"/>
      <c r="G174" s="1165"/>
      <c r="H174" s="1165"/>
      <c r="I174" s="1165"/>
      <c r="J174" s="1165"/>
      <c r="K174" s="1425"/>
      <c r="L174" s="1650" t="str">
        <f>IF(CNTR_ExistSubInstEntries,IF(COUNTIF(CNTR_SubInstListNames,INDEX(EUconst_BMlistNames,Q174))&gt;0,EUconst_Relevant,EUconst_NotRelevant),"")</f>
        <v/>
      </c>
      <c r="M174" s="1651"/>
      <c r="N174" s="1652"/>
      <c r="O174" s="8"/>
      <c r="P174" s="124" t="s">
        <v>485</v>
      </c>
      <c r="Q174" s="115">
        <v>42</v>
      </c>
    </row>
    <row r="175" spans="2:22" x14ac:dyDescent="0.25">
      <c r="B175" s="8"/>
      <c r="C175" s="8"/>
      <c r="D175" s="17"/>
      <c r="E175" s="1211" t="str">
        <f>Translations!$B$909</f>
        <v>This message is automatically generated based on your inputs in sheet "A_InstallationData", section A.III.1.</v>
      </c>
      <c r="F175" s="1212"/>
      <c r="G175" s="1212"/>
      <c r="H175" s="1212"/>
      <c r="I175" s="1212"/>
      <c r="J175" s="1212"/>
      <c r="K175" s="1212"/>
      <c r="L175" s="1212"/>
      <c r="M175" s="1212"/>
      <c r="N175" s="1212"/>
      <c r="O175" s="8"/>
      <c r="P175" s="9"/>
    </row>
    <row r="176" spans="2:22" x14ac:dyDescent="0.25">
      <c r="B176" s="8"/>
      <c r="C176" s="8"/>
      <c r="D176" s="8"/>
      <c r="E176" s="1647" t="str">
        <f>IF(L174=EUconst_Relevant,HYPERLINK(Q176,EUconst_MsgBackToSheetF),"")</f>
        <v/>
      </c>
      <c r="F176" s="1648"/>
      <c r="G176" s="1648"/>
      <c r="H176" s="1648"/>
      <c r="I176" s="1648"/>
      <c r="J176" s="1648"/>
      <c r="K176" s="1648"/>
      <c r="L176" s="1648"/>
      <c r="M176" s="1648"/>
      <c r="N176" s="1649"/>
      <c r="O176" s="8"/>
      <c r="P176" s="124" t="s">
        <v>486</v>
      </c>
      <c r="Q176" s="63" t="str">
        <f>IF(ISNUMBER(MATCH(Q174,CNTR_SubInstListBMnumbers,0)),"#JUMP_F"&amp;MATCH(Q174,CNTR_SubInstListBMnumbers,0),"")</f>
        <v/>
      </c>
    </row>
    <row r="177" spans="2:22" ht="5.0999999999999996" customHeight="1" x14ac:dyDescent="0.25">
      <c r="B177" s="8"/>
      <c r="C177" s="8"/>
      <c r="D177" s="8"/>
      <c r="E177" s="8"/>
      <c r="F177" s="8"/>
      <c r="G177" s="8"/>
      <c r="H177" s="8"/>
      <c r="I177" s="8"/>
      <c r="J177" s="8"/>
      <c r="K177" s="8"/>
      <c r="L177" s="8"/>
      <c r="M177" s="8"/>
      <c r="N177" s="8"/>
      <c r="O177" s="8"/>
      <c r="P177" s="9"/>
    </row>
    <row r="178" spans="2:22" x14ac:dyDescent="0.25">
      <c r="B178" s="8"/>
      <c r="C178" s="8"/>
      <c r="D178" s="15" t="s">
        <v>192</v>
      </c>
      <c r="E178" s="1165" t="str">
        <f>Translations!$B$1018</f>
        <v>Total production of high value chemicals (HVC total)</v>
      </c>
      <c r="F178" s="1176"/>
      <c r="G178" s="1176"/>
      <c r="H178" s="1176"/>
      <c r="I178" s="1176"/>
      <c r="J178" s="1176"/>
      <c r="K178" s="1176"/>
      <c r="L178" s="1176"/>
      <c r="M178" s="1176"/>
      <c r="N178" s="1176"/>
      <c r="O178" s="8"/>
      <c r="P178" s="9"/>
    </row>
    <row r="179" spans="2:22" ht="13.8" thickBot="1" x14ac:dyDescent="0.3">
      <c r="B179" s="8"/>
      <c r="C179" s="8"/>
      <c r="D179" s="17"/>
      <c r="E179" s="1223" t="str">
        <f>Translations!$B$1019</f>
        <v>Please enter here the annual production data expressed as tonnes HVC (without corrections)</v>
      </c>
      <c r="F179" s="1176"/>
      <c r="G179" s="1176"/>
      <c r="H179" s="1176"/>
      <c r="I179" s="1176"/>
      <c r="J179" s="1176"/>
      <c r="K179" s="1176"/>
      <c r="L179" s="1176"/>
      <c r="M179" s="1176"/>
      <c r="N179" s="1176"/>
      <c r="O179" s="8"/>
      <c r="P179" s="9"/>
      <c r="V179" s="145" t="s">
        <v>394</v>
      </c>
    </row>
    <row r="180" spans="2:22" x14ac:dyDescent="0.25">
      <c r="B180" s="17"/>
      <c r="C180" s="17"/>
      <c r="D180" s="15"/>
      <c r="E180" s="22"/>
      <c r="F180" s="78"/>
      <c r="G180" s="78"/>
      <c r="H180" s="23" t="str">
        <f>EUconst_Unit</f>
        <v>Unit</v>
      </c>
      <c r="I180" s="149">
        <f>I$391</f>
        <v>2019</v>
      </c>
      <c r="J180" s="149">
        <f>J$391</f>
        <v>2020</v>
      </c>
      <c r="K180" s="149">
        <f>K$391</f>
        <v>2021</v>
      </c>
      <c r="L180" s="149">
        <f>L$391</f>
        <v>2022</v>
      </c>
      <c r="M180" s="149">
        <f>M$391</f>
        <v>2023</v>
      </c>
      <c r="N180" s="376" t="str">
        <f>IF(L174&lt;&gt;EUconst_Relevant,"",IF(T180,YEAR(INDEX(CNTR_SubInstStartDate,MATCH(Q174,CNTR_SubInstListBMnumbers,0)))+1,""))</f>
        <v/>
      </c>
      <c r="O180" s="8"/>
      <c r="S180" s="124" t="s">
        <v>304</v>
      </c>
      <c r="T180" s="626" t="str">
        <f>IF(L174&lt;&gt;EUconst_Relevant,"",INDEX(CNTR_SubInstLess1Year,MATCH(Q174,CNTR_SubInstListBMnumbers,0)))</f>
        <v/>
      </c>
      <c r="V180" s="284" t="b">
        <f>IF(CNTR_ExistSubInstEntries,IF(L174=EUconst_Relevant,NOT(T180),TRUE),FALSE)</f>
        <v>0</v>
      </c>
    </row>
    <row r="181" spans="2:22" ht="13.8" thickBot="1" x14ac:dyDescent="0.3">
      <c r="B181" s="17"/>
      <c r="C181" s="17"/>
      <c r="D181" s="17"/>
      <c r="E181" s="1412" t="str">
        <f>Translations!$B$1020</f>
        <v>HVC total</v>
      </c>
      <c r="F181" s="1412"/>
      <c r="G181" s="1412"/>
      <c r="H181" s="43" t="str">
        <f>EUconst_tpa</f>
        <v>t / year</v>
      </c>
      <c r="I181" s="231"/>
      <c r="J181" s="231"/>
      <c r="K181" s="231"/>
      <c r="L181" s="231"/>
      <c r="M181" s="231"/>
      <c r="N181" s="962"/>
      <c r="O181" s="8"/>
      <c r="V181" s="286" t="b">
        <f>V180</f>
        <v>0</v>
      </c>
    </row>
    <row r="182" spans="2:22" ht="5.0999999999999996" customHeight="1" x14ac:dyDescent="0.25">
      <c r="B182" s="8"/>
      <c r="C182" s="8"/>
      <c r="D182" s="8"/>
      <c r="E182" s="8"/>
      <c r="F182" s="8"/>
      <c r="G182" s="8"/>
      <c r="H182" s="8"/>
      <c r="I182" s="8"/>
      <c r="J182" s="8"/>
      <c r="K182" s="8"/>
      <c r="L182" s="8"/>
      <c r="M182" s="8"/>
      <c r="N182" s="8"/>
      <c r="O182" s="8"/>
      <c r="P182" s="9"/>
    </row>
    <row r="183" spans="2:22" x14ac:dyDescent="0.25">
      <c r="B183" s="8"/>
      <c r="C183" s="8"/>
      <c r="D183" s="15" t="s">
        <v>195</v>
      </c>
      <c r="E183" s="1165" t="str">
        <f>Translations!$B$1021</f>
        <v>Supplemental feed data:</v>
      </c>
      <c r="F183" s="1176"/>
      <c r="G183" s="1176"/>
      <c r="H183" s="1176"/>
      <c r="I183" s="1176"/>
      <c r="J183" s="1176"/>
      <c r="K183" s="1176"/>
      <c r="L183" s="1176"/>
      <c r="M183" s="1176"/>
      <c r="N183" s="1176"/>
      <c r="O183" s="8"/>
      <c r="P183" s="9"/>
    </row>
    <row r="184" spans="2:22" x14ac:dyDescent="0.25">
      <c r="B184" s="8"/>
      <c r="C184" s="8"/>
      <c r="D184" s="17"/>
      <c r="E184" s="1223" t="s">
        <v>507</v>
      </c>
      <c r="F184" s="1176"/>
      <c r="G184" s="1176"/>
      <c r="H184" s="1176"/>
      <c r="I184" s="1176"/>
      <c r="J184" s="1176"/>
      <c r="K184" s="1176"/>
      <c r="L184" s="1176"/>
      <c r="M184" s="1176"/>
      <c r="N184" s="1176"/>
      <c r="O184" s="8"/>
      <c r="P184" s="9"/>
    </row>
    <row r="185" spans="2:22" x14ac:dyDescent="0.25">
      <c r="B185" s="8"/>
      <c r="C185" s="8"/>
      <c r="D185" s="17"/>
      <c r="E185" s="630" t="s">
        <v>214</v>
      </c>
      <c r="F185" s="1223" t="str">
        <f>Translations!$B$1023</f>
        <v>historical supplemental feed of hydrogen in each year of the baseline period expressed in tonnes of hydrogen</v>
      </c>
      <c r="G185" s="1176"/>
      <c r="H185" s="1176"/>
      <c r="I185" s="1176"/>
      <c r="J185" s="1176"/>
      <c r="K185" s="1176"/>
      <c r="L185" s="1176"/>
      <c r="M185" s="1176"/>
      <c r="N185" s="1176"/>
      <c r="O185" s="8"/>
      <c r="P185" s="9"/>
    </row>
    <row r="186" spans="2:22" x14ac:dyDescent="0.25">
      <c r="B186" s="8"/>
      <c r="C186" s="8"/>
      <c r="D186" s="17"/>
      <c r="E186" s="630" t="s">
        <v>214</v>
      </c>
      <c r="F186" s="1223" t="str">
        <f>Translations!$B$1024</f>
        <v>historical supplemental feed of ethylene in each year of the baseline period expressed in tonnes of ethylene</v>
      </c>
      <c r="G186" s="1176"/>
      <c r="H186" s="1176"/>
      <c r="I186" s="1176"/>
      <c r="J186" s="1176"/>
      <c r="K186" s="1176"/>
      <c r="L186" s="1176"/>
      <c r="M186" s="1176"/>
      <c r="N186" s="1176"/>
      <c r="O186" s="8"/>
      <c r="P186" s="9"/>
    </row>
    <row r="187" spans="2:22" ht="13.8" thickBot="1" x14ac:dyDescent="0.3">
      <c r="B187" s="8"/>
      <c r="C187" s="8"/>
      <c r="D187" s="17"/>
      <c r="E187" s="630" t="s">
        <v>214</v>
      </c>
      <c r="F187" s="1223" t="str">
        <f>Translations!$B$1025</f>
        <v>historical supplemental feed of other high value chemicals than hydrogen and ethylene in each year of the baseline period expressed in tonnes of HVC</v>
      </c>
      <c r="G187" s="1176"/>
      <c r="H187" s="1176"/>
      <c r="I187" s="1176"/>
      <c r="J187" s="1176"/>
      <c r="K187" s="1176"/>
      <c r="L187" s="1176"/>
      <c r="M187" s="1176"/>
      <c r="N187" s="1176"/>
      <c r="O187" s="8"/>
      <c r="P187" s="9"/>
    </row>
    <row r="188" spans="2:22" x14ac:dyDescent="0.25">
      <c r="B188" s="17"/>
      <c r="C188" s="17"/>
      <c r="D188" s="15"/>
      <c r="E188" s="1259" t="str">
        <f>Translations!$B$1026</f>
        <v>Supplemental feed</v>
      </c>
      <c r="F188" s="1212"/>
      <c r="G188" s="1212"/>
      <c r="H188" s="23" t="str">
        <f>EUconst_Unit</f>
        <v>Unit</v>
      </c>
      <c r="I188" s="149">
        <f>I$391</f>
        <v>2019</v>
      </c>
      <c r="J188" s="149">
        <f>J$391</f>
        <v>2020</v>
      </c>
      <c r="K188" s="149">
        <f>K$391</f>
        <v>2021</v>
      </c>
      <c r="L188" s="149">
        <f>L$391</f>
        <v>2022</v>
      </c>
      <c r="M188" s="394">
        <f>M$391</f>
        <v>2023</v>
      </c>
      <c r="N188" s="376" t="str">
        <f>N180</f>
        <v/>
      </c>
      <c r="O188" s="8"/>
      <c r="V188" s="391" t="b">
        <f>V181</f>
        <v>0</v>
      </c>
    </row>
    <row r="189" spans="2:22" x14ac:dyDescent="0.25">
      <c r="B189" s="17"/>
      <c r="C189" s="17"/>
      <c r="D189" s="17"/>
      <c r="E189" s="1248" t="str">
        <f>Translations!$B$1027</f>
        <v>Hydrogen</v>
      </c>
      <c r="F189" s="1248"/>
      <c r="G189" s="1248"/>
      <c r="H189" s="856" t="str">
        <f>EUconst_tpa</f>
        <v>t / year</v>
      </c>
      <c r="I189" s="953"/>
      <c r="J189" s="953"/>
      <c r="K189" s="953"/>
      <c r="L189" s="953"/>
      <c r="M189" s="980"/>
      <c r="N189" s="981"/>
      <c r="O189" s="8"/>
      <c r="V189" s="285" t="b">
        <f>V188</f>
        <v>0</v>
      </c>
    </row>
    <row r="190" spans="2:22" x14ac:dyDescent="0.25">
      <c r="B190" s="17"/>
      <c r="C190" s="17"/>
      <c r="D190" s="17"/>
      <c r="E190" s="1251" t="str">
        <f>Translations!$B$1028</f>
        <v>Ethylene</v>
      </c>
      <c r="F190" s="1251"/>
      <c r="G190" s="1251"/>
      <c r="H190" s="80" t="str">
        <f>EUconst_tpa</f>
        <v>t / year</v>
      </c>
      <c r="I190" s="982"/>
      <c r="J190" s="982"/>
      <c r="K190" s="982"/>
      <c r="L190" s="982"/>
      <c r="M190" s="983"/>
      <c r="N190" s="984"/>
      <c r="O190" s="8"/>
      <c r="V190" s="285" t="b">
        <f>V189</f>
        <v>0</v>
      </c>
    </row>
    <row r="191" spans="2:22" ht="13.8" thickBot="1" x14ac:dyDescent="0.3">
      <c r="B191" s="17"/>
      <c r="C191" s="17"/>
      <c r="D191" s="17"/>
      <c r="E191" s="1254" t="str">
        <f>Translations!$B$1029</f>
        <v>Other HVC</v>
      </c>
      <c r="F191" s="1254"/>
      <c r="G191" s="1254"/>
      <c r="H191" s="860" t="str">
        <f>EUconst_tpa</f>
        <v>t / year</v>
      </c>
      <c r="I191" s="954"/>
      <c r="J191" s="954"/>
      <c r="K191" s="954"/>
      <c r="L191" s="954"/>
      <c r="M191" s="985"/>
      <c r="N191" s="986"/>
      <c r="O191" s="8"/>
      <c r="V191" s="286" t="b">
        <f>V190</f>
        <v>0</v>
      </c>
    </row>
    <row r="192" spans="2:22" ht="5.0999999999999996" customHeight="1" x14ac:dyDescent="0.25">
      <c r="B192" s="8"/>
      <c r="C192" s="8"/>
      <c r="D192" s="8"/>
      <c r="E192" s="8"/>
      <c r="F192" s="8"/>
      <c r="G192" s="8"/>
      <c r="H192" s="8"/>
      <c r="I192" s="8"/>
      <c r="J192" s="8"/>
      <c r="K192" s="8"/>
      <c r="L192" s="8"/>
      <c r="M192" s="8"/>
      <c r="N192" s="8"/>
      <c r="O192" s="8"/>
      <c r="P192" s="9"/>
    </row>
    <row r="193" spans="2:24" x14ac:dyDescent="0.25">
      <c r="B193" s="8"/>
      <c r="C193" s="8"/>
      <c r="D193" s="15" t="s">
        <v>197</v>
      </c>
      <c r="E193" s="1165" t="str">
        <f>Translations!$B$1030</f>
        <v>Result: Activity levels for net HVC</v>
      </c>
      <c r="F193" s="1176"/>
      <c r="G193" s="1176"/>
      <c r="H193" s="1176"/>
      <c r="I193" s="1176"/>
      <c r="J193" s="1176"/>
      <c r="K193" s="1176"/>
      <c r="L193" s="1176"/>
      <c r="M193" s="1176"/>
      <c r="N193" s="1176"/>
      <c r="O193" s="8"/>
      <c r="P193" s="9"/>
    </row>
    <row r="194" spans="2:24" x14ac:dyDescent="0.25">
      <c r="B194" s="8"/>
      <c r="C194" s="8"/>
      <c r="D194" s="17"/>
      <c r="E194" s="1223" t="s">
        <v>508</v>
      </c>
      <c r="F194" s="1176"/>
      <c r="G194" s="1176"/>
      <c r="H194" s="1176"/>
      <c r="I194" s="1176"/>
      <c r="J194" s="1176"/>
      <c r="K194" s="1176"/>
      <c r="L194" s="1176"/>
      <c r="M194" s="1176"/>
      <c r="N194" s="1176"/>
      <c r="O194" s="8"/>
      <c r="P194" s="9"/>
    </row>
    <row r="195" spans="2:24" ht="13.8" thickBot="1" x14ac:dyDescent="0.3">
      <c r="B195" s="8"/>
      <c r="C195" s="8"/>
      <c r="D195" s="17"/>
      <c r="E195" s="1223" t="str">
        <f>Translations!$B$982</f>
        <v>The result of this tool is used in sheet "F_ProductBM", input line (a).ii of the appropriate sub-installation, from which the average is calculated.</v>
      </c>
      <c r="F195" s="1176"/>
      <c r="G195" s="1176"/>
      <c r="H195" s="1176"/>
      <c r="I195" s="1176"/>
      <c r="J195" s="1176"/>
      <c r="K195" s="1176"/>
      <c r="L195" s="1176"/>
      <c r="M195" s="1176"/>
      <c r="N195" s="1176"/>
      <c r="O195" s="8"/>
      <c r="P195" s="9"/>
    </row>
    <row r="196" spans="2:24" x14ac:dyDescent="0.25">
      <c r="B196" s="17"/>
      <c r="C196" s="17"/>
      <c r="D196" s="15"/>
      <c r="E196" s="78"/>
      <c r="F196" s="78"/>
      <c r="G196" s="78"/>
      <c r="H196" s="23" t="str">
        <f>EUconst_Unit</f>
        <v>Unit</v>
      </c>
      <c r="I196" s="149">
        <f>I$391</f>
        <v>2019</v>
      </c>
      <c r="J196" s="149">
        <f>J$391</f>
        <v>2020</v>
      </c>
      <c r="K196" s="149">
        <f>K$391</f>
        <v>2021</v>
      </c>
      <c r="L196" s="149">
        <f>L$391</f>
        <v>2022</v>
      </c>
      <c r="M196" s="394">
        <f>M$391</f>
        <v>2023</v>
      </c>
      <c r="N196" s="376" t="str">
        <f>N188</f>
        <v/>
      </c>
      <c r="O196" s="8"/>
      <c r="V196" s="391" t="b">
        <f>V191</f>
        <v>0</v>
      </c>
    </row>
    <row r="197" spans="2:24" ht="13.8" thickBot="1" x14ac:dyDescent="0.3">
      <c r="B197" s="17"/>
      <c r="C197" s="17"/>
      <c r="D197" s="17"/>
      <c r="E197" s="1412" t="str">
        <f>Translations!$B$1032</f>
        <v>Net HVC production levels</v>
      </c>
      <c r="F197" s="1412"/>
      <c r="G197" s="1412"/>
      <c r="H197" s="43" t="str">
        <f>EUconst_tpa</f>
        <v>t / year</v>
      </c>
      <c r="I197" s="148" t="str">
        <f t="shared" ref="I197:N197" si="4">IF(ISNUMBER(I181),I181-SUM(I189:I191),"")</f>
        <v/>
      </c>
      <c r="J197" s="148" t="str">
        <f t="shared" si="4"/>
        <v/>
      </c>
      <c r="K197" s="148" t="str">
        <f t="shared" si="4"/>
        <v/>
      </c>
      <c r="L197" s="148" t="str">
        <f t="shared" si="4"/>
        <v/>
      </c>
      <c r="M197" s="923" t="str">
        <f t="shared" si="4"/>
        <v/>
      </c>
      <c r="N197" s="924" t="str">
        <f t="shared" si="4"/>
        <v/>
      </c>
      <c r="O197" s="8"/>
      <c r="P197" s="63" t="str">
        <f>IF(L174=EUconst_Relevant,EUconst_CNTR_HALspecial &amp; INDEX(EUconst_BMlistNames,Q174),"")</f>
        <v/>
      </c>
      <c r="V197" s="286" t="b">
        <f>V196</f>
        <v>0</v>
      </c>
    </row>
    <row r="198" spans="2:24" x14ac:dyDescent="0.25">
      <c r="B198" s="17"/>
      <c r="C198" s="17"/>
      <c r="D198" s="17"/>
      <c r="E198" s="17"/>
      <c r="F198" s="17"/>
      <c r="G198" s="17"/>
      <c r="H198" s="17"/>
      <c r="I198" s="17"/>
      <c r="J198" s="17"/>
      <c r="K198" s="17"/>
      <c r="L198" s="17"/>
      <c r="M198" s="17"/>
      <c r="N198" s="17"/>
      <c r="O198" s="8"/>
    </row>
    <row r="199" spans="2:24" ht="13.8" x14ac:dyDescent="0.25">
      <c r="B199" s="8"/>
      <c r="C199" s="19">
        <v>2</v>
      </c>
      <c r="D199" s="1234" t="s">
        <v>509</v>
      </c>
      <c r="E199" s="1176"/>
      <c r="F199" s="1176"/>
      <c r="G199" s="1176"/>
      <c r="H199" s="1176"/>
      <c r="I199" s="1176"/>
      <c r="J199" s="1176"/>
      <c r="K199" s="1176"/>
      <c r="L199" s="1176"/>
      <c r="M199" s="1176"/>
      <c r="N199" s="1176"/>
      <c r="O199" s="8"/>
      <c r="P199" s="9"/>
    </row>
    <row r="200" spans="2:24" ht="5.0999999999999996" customHeight="1" x14ac:dyDescent="0.25">
      <c r="B200" s="8"/>
      <c r="C200" s="8"/>
      <c r="D200" s="8"/>
      <c r="E200" s="8"/>
      <c r="F200" s="8"/>
      <c r="G200" s="8"/>
      <c r="H200" s="8"/>
      <c r="I200" s="8"/>
      <c r="J200" s="8"/>
      <c r="K200" s="8"/>
      <c r="L200" s="8"/>
      <c r="M200" s="8"/>
      <c r="N200" s="8"/>
      <c r="O200" s="8"/>
      <c r="P200" s="9"/>
    </row>
    <row r="201" spans="2:24" x14ac:dyDescent="0.25">
      <c r="B201" s="8"/>
      <c r="C201" s="8"/>
      <c r="D201" s="17"/>
      <c r="E201" s="1223" t="s">
        <v>510</v>
      </c>
      <c r="F201" s="1176"/>
      <c r="G201" s="1176"/>
      <c r="H201" s="1176"/>
      <c r="I201" s="1176"/>
      <c r="J201" s="1176"/>
      <c r="K201" s="1176"/>
      <c r="L201" s="1176"/>
      <c r="M201" s="1176"/>
      <c r="N201" s="1176"/>
      <c r="O201" s="8"/>
      <c r="P201" s="9"/>
    </row>
    <row r="202" spans="2:24" x14ac:dyDescent="0.25">
      <c r="B202" s="8"/>
      <c r="C202" s="8"/>
      <c r="D202" s="17"/>
      <c r="E202" s="1223" t="str">
        <f>Translations!$B$1035</f>
        <v>It determines the amount which has to be added to the preliminary annual allocation after having corrected for electricity exchangeability.</v>
      </c>
      <c r="F202" s="1176"/>
      <c r="G202" s="1176"/>
      <c r="H202" s="1176"/>
      <c r="I202" s="1176"/>
      <c r="J202" s="1176"/>
      <c r="K202" s="1176"/>
      <c r="L202" s="1176"/>
      <c r="M202" s="1176"/>
      <c r="N202" s="1176"/>
      <c r="O202" s="8"/>
      <c r="P202" s="9"/>
    </row>
    <row r="203" spans="2:24" x14ac:dyDescent="0.25">
      <c r="B203" s="8"/>
      <c r="C203" s="8"/>
      <c r="D203" s="17"/>
      <c r="E203" s="1223" t="str">
        <f>Translations!$B$1036</f>
        <v>The required data on historical production of hydrogen, ethylene and other HVC from supplemental feed expressed as tonnes, taken from IV.1.c above;</v>
      </c>
      <c r="F203" s="1176"/>
      <c r="G203" s="1176"/>
      <c r="H203" s="1176"/>
      <c r="I203" s="1176"/>
      <c r="J203" s="1176"/>
      <c r="K203" s="1176"/>
      <c r="L203" s="1176"/>
      <c r="M203" s="1176"/>
      <c r="N203" s="1176"/>
      <c r="O203" s="8"/>
      <c r="P203" s="9"/>
    </row>
    <row r="204" spans="2:24" ht="5.0999999999999996" customHeight="1" x14ac:dyDescent="0.25">
      <c r="B204" s="8"/>
      <c r="C204" s="8"/>
      <c r="D204" s="8"/>
      <c r="E204" s="8"/>
      <c r="F204" s="8"/>
      <c r="G204" s="8"/>
      <c r="H204" s="8"/>
      <c r="I204" s="8"/>
      <c r="J204" s="8"/>
      <c r="K204" s="8"/>
      <c r="L204" s="8"/>
      <c r="M204" s="8"/>
      <c r="N204" s="8"/>
      <c r="O204" s="8"/>
      <c r="P204" s="9"/>
    </row>
    <row r="205" spans="2:24" ht="13.8" thickBot="1" x14ac:dyDescent="0.3">
      <c r="B205" s="8"/>
      <c r="C205" s="8"/>
      <c r="D205" s="15" t="s">
        <v>190</v>
      </c>
      <c r="E205" s="1165" t="str">
        <f>Translations!$B$1037</f>
        <v>Production from supplemental feed:</v>
      </c>
      <c r="F205" s="1176"/>
      <c r="G205" s="1176"/>
      <c r="H205" s="1176"/>
      <c r="I205" s="1176"/>
      <c r="J205" s="1176"/>
      <c r="K205" s="1176"/>
      <c r="L205" s="1176"/>
      <c r="M205" s="1176"/>
      <c r="N205" s="1176"/>
      <c r="O205" s="8"/>
      <c r="P205" s="9"/>
    </row>
    <row r="206" spans="2:24" ht="13.8" thickBot="1" x14ac:dyDescent="0.3">
      <c r="B206" s="8"/>
      <c r="C206" s="8"/>
      <c r="D206" s="17"/>
      <c r="E206" s="1223" t="s">
        <v>511</v>
      </c>
      <c r="F206" s="1176"/>
      <c r="G206" s="1176"/>
      <c r="H206" s="1176"/>
      <c r="I206" s="1176"/>
      <c r="J206" s="1176"/>
      <c r="K206" s="1176"/>
      <c r="L206" s="1176"/>
      <c r="M206" s="1176"/>
      <c r="N206" s="1176"/>
      <c r="O206" s="8"/>
      <c r="P206" s="9"/>
      <c r="Q206" s="806"/>
      <c r="R206" s="459" t="s">
        <v>512</v>
      </c>
      <c r="S206" s="920"/>
      <c r="T206" s="920"/>
      <c r="U206" s="920"/>
      <c r="V206" s="920"/>
      <c r="W206" s="920"/>
      <c r="X206" s="921"/>
    </row>
    <row r="207" spans="2:24" ht="25.5" customHeight="1" x14ac:dyDescent="0.25">
      <c r="B207" s="17"/>
      <c r="C207" s="17"/>
      <c r="D207" s="15"/>
      <c r="E207" s="1259" t="str">
        <f>Translations!$B$1039</f>
        <v>Production from supplemental feed</v>
      </c>
      <c r="F207" s="1212"/>
      <c r="G207" s="987" t="str">
        <f>Translations!$B$1040</f>
        <v>Multiplier 
(t CO2 / t)</v>
      </c>
      <c r="H207" s="23" t="str">
        <f>EUconst_Unit</f>
        <v>Unit</v>
      </c>
      <c r="I207" s="149">
        <f>I$391</f>
        <v>2019</v>
      </c>
      <c r="J207" s="149">
        <f>J$391</f>
        <v>2020</v>
      </c>
      <c r="K207" s="149">
        <f>K$391</f>
        <v>2021</v>
      </c>
      <c r="L207" s="149">
        <f>L$391</f>
        <v>2022</v>
      </c>
      <c r="M207" s="394">
        <f>M$391</f>
        <v>2023</v>
      </c>
      <c r="N207" s="376" t="str">
        <f>N196</f>
        <v/>
      </c>
      <c r="O207" s="8"/>
      <c r="P207" s="9"/>
      <c r="Q207" s="288"/>
      <c r="R207" s="59" t="s">
        <v>399</v>
      </c>
      <c r="S207" s="880">
        <f t="shared" ref="S207:X207" si="5">I207</f>
        <v>2019</v>
      </c>
      <c r="T207" s="63">
        <f t="shared" si="5"/>
        <v>2020</v>
      </c>
      <c r="U207" s="63">
        <f t="shared" si="5"/>
        <v>2021</v>
      </c>
      <c r="V207" s="63">
        <f t="shared" si="5"/>
        <v>2022</v>
      </c>
      <c r="W207" s="63">
        <f t="shared" si="5"/>
        <v>2023</v>
      </c>
      <c r="X207" s="803" t="str">
        <f t="shared" si="5"/>
        <v/>
      </c>
    </row>
    <row r="208" spans="2:24" x14ac:dyDescent="0.25">
      <c r="B208" s="17"/>
      <c r="C208" s="17"/>
      <c r="D208" s="17"/>
      <c r="E208" s="1248" t="str">
        <f>Translations!$B$1027</f>
        <v>Hydrogen</v>
      </c>
      <c r="F208" s="1248"/>
      <c r="G208" s="856">
        <v>1.78</v>
      </c>
      <c r="H208" s="856" t="str">
        <f>EUconst_tpa</f>
        <v>t / year</v>
      </c>
      <c r="I208" s="988" t="str">
        <f t="shared" ref="I208:M210" si="6">IF(ISNUMBER(I189),I189,"")</f>
        <v/>
      </c>
      <c r="J208" s="988" t="str">
        <f t="shared" si="6"/>
        <v/>
      </c>
      <c r="K208" s="988" t="str">
        <f t="shared" si="6"/>
        <v/>
      </c>
      <c r="L208" s="988" t="str">
        <f t="shared" si="6"/>
        <v/>
      </c>
      <c r="M208" s="989" t="str">
        <f t="shared" si="6"/>
        <v/>
      </c>
      <c r="N208" s="990" t="str">
        <f>IF(ISNUMBER(N189),N189,"")</f>
        <v/>
      </c>
      <c r="O208" s="8"/>
      <c r="P208" s="9"/>
      <c r="R208" s="107" t="str">
        <f>IF(COUNT(S208:X208)&gt;0,AVERAGE(S208:X208),"")</f>
        <v/>
      </c>
      <c r="S208" s="880" t="str">
        <f t="shared" ref="S208:W210" si="7">IF(I$393,IF(ISNUMBER(I208),I208,""),"")</f>
        <v/>
      </c>
      <c r="T208" s="63" t="str">
        <f t="shared" si="7"/>
        <v/>
      </c>
      <c r="U208" s="63" t="str">
        <f t="shared" si="7"/>
        <v/>
      </c>
      <c r="V208" s="63" t="str">
        <f t="shared" si="7"/>
        <v/>
      </c>
      <c r="W208" s="63" t="str">
        <f t="shared" si="7"/>
        <v/>
      </c>
      <c r="X208" s="803" t="str">
        <f>IF(N$393,IF(ISNUMBER(N208),N208,""),"")</f>
        <v/>
      </c>
    </row>
    <row r="209" spans="2:24" x14ac:dyDescent="0.25">
      <c r="B209" s="17"/>
      <c r="C209" s="17"/>
      <c r="D209" s="17"/>
      <c r="E209" s="1251" t="str">
        <f>Translations!$B$1028</f>
        <v>Ethylene</v>
      </c>
      <c r="F209" s="1251"/>
      <c r="G209" s="80">
        <v>0.24</v>
      </c>
      <c r="H209" s="80" t="str">
        <f>EUconst_tpa</f>
        <v>t / year</v>
      </c>
      <c r="I209" s="991" t="str">
        <f t="shared" si="6"/>
        <v/>
      </c>
      <c r="J209" s="991" t="str">
        <f t="shared" si="6"/>
        <v/>
      </c>
      <c r="K209" s="991" t="str">
        <f t="shared" si="6"/>
        <v/>
      </c>
      <c r="L209" s="991" t="str">
        <f t="shared" si="6"/>
        <v/>
      </c>
      <c r="M209" s="992" t="str">
        <f t="shared" si="6"/>
        <v/>
      </c>
      <c r="N209" s="993" t="str">
        <f>IF(ISNUMBER(N190),N190,"")</f>
        <v/>
      </c>
      <c r="O209" s="8"/>
      <c r="P209" s="9"/>
      <c r="R209" s="107" t="str">
        <f>IF(COUNT(S209:X209)&gt;0,AVERAGE(S209:X209),"")</f>
        <v/>
      </c>
      <c r="S209" s="880" t="str">
        <f t="shared" si="7"/>
        <v/>
      </c>
      <c r="T209" s="63" t="str">
        <f t="shared" si="7"/>
        <v/>
      </c>
      <c r="U209" s="63" t="str">
        <f t="shared" si="7"/>
        <v/>
      </c>
      <c r="V209" s="63" t="str">
        <f t="shared" si="7"/>
        <v/>
      </c>
      <c r="W209" s="63" t="str">
        <f t="shared" si="7"/>
        <v/>
      </c>
      <c r="X209" s="803" t="str">
        <f>IF(N$393,IF(ISNUMBER(N209),N209,""),"")</f>
        <v/>
      </c>
    </row>
    <row r="210" spans="2:24" ht="13.8" thickBot="1" x14ac:dyDescent="0.3">
      <c r="B210" s="17"/>
      <c r="C210" s="17"/>
      <c r="D210" s="17"/>
      <c r="E210" s="1254" t="str">
        <f>Translations!$B$1029</f>
        <v>Other HVC</v>
      </c>
      <c r="F210" s="1254"/>
      <c r="G210" s="860">
        <v>0.16</v>
      </c>
      <c r="H210" s="860" t="str">
        <f>EUconst_tpa</f>
        <v>t / year</v>
      </c>
      <c r="I210" s="994" t="str">
        <f t="shared" si="6"/>
        <v/>
      </c>
      <c r="J210" s="994" t="str">
        <f t="shared" si="6"/>
        <v/>
      </c>
      <c r="K210" s="994" t="str">
        <f t="shared" si="6"/>
        <v/>
      </c>
      <c r="L210" s="994" t="str">
        <f t="shared" si="6"/>
        <v/>
      </c>
      <c r="M210" s="995" t="str">
        <f t="shared" si="6"/>
        <v/>
      </c>
      <c r="N210" s="996" t="str">
        <f>IF(ISNUMBER(N191),N191,"")</f>
        <v/>
      </c>
      <c r="O210" s="8"/>
      <c r="P210" s="9"/>
      <c r="R210" s="57" t="str">
        <f>IF(COUNT(S210:X210)&gt;0,AVERAGE(S210:X210),"")</f>
        <v/>
      </c>
      <c r="S210" s="882" t="str">
        <f t="shared" si="7"/>
        <v/>
      </c>
      <c r="T210" s="389" t="str">
        <f t="shared" si="7"/>
        <v/>
      </c>
      <c r="U210" s="389" t="str">
        <f t="shared" si="7"/>
        <v/>
      </c>
      <c r="V210" s="389" t="str">
        <f t="shared" si="7"/>
        <v/>
      </c>
      <c r="W210" s="389" t="str">
        <f t="shared" si="7"/>
        <v/>
      </c>
      <c r="X210" s="390" t="str">
        <f>IF(N$393,IF(ISNUMBER(N210),N210,""),"")</f>
        <v/>
      </c>
    </row>
    <row r="211" spans="2:24" ht="5.0999999999999996" customHeight="1" x14ac:dyDescent="0.25">
      <c r="B211" s="8"/>
      <c r="C211" s="8"/>
      <c r="D211" s="8"/>
      <c r="E211" s="8"/>
      <c r="F211" s="8"/>
      <c r="G211" s="8"/>
      <c r="H211" s="8"/>
      <c r="I211" s="8"/>
      <c r="J211" s="8"/>
      <c r="K211" s="8"/>
      <c r="L211" s="8"/>
      <c r="M211" s="8"/>
      <c r="N211" s="8"/>
      <c r="O211" s="8"/>
      <c r="P211" s="9"/>
    </row>
    <row r="212" spans="2:24" x14ac:dyDescent="0.25">
      <c r="B212" s="8"/>
      <c r="C212" s="8"/>
      <c r="D212" s="15" t="s">
        <v>192</v>
      </c>
      <c r="E212" s="1165" t="str">
        <f>Translations!$B$1041</f>
        <v>Result: Amount to be added to the preliminary total allocation for the steam cracking sub-installation:</v>
      </c>
      <c r="F212" s="1176"/>
      <c r="G212" s="1176"/>
      <c r="H212" s="1176"/>
      <c r="I212" s="1176"/>
      <c r="J212" s="1176"/>
      <c r="K212" s="1176"/>
      <c r="L212" s="1176"/>
      <c r="M212" s="1176"/>
      <c r="N212" s="1176"/>
      <c r="O212" s="8"/>
      <c r="P212" s="9"/>
    </row>
    <row r="213" spans="2:24" x14ac:dyDescent="0.25">
      <c r="B213" s="8"/>
      <c r="C213" s="8"/>
      <c r="D213" s="17"/>
      <c r="E213" s="1223" t="str">
        <f>Translations!$B$1042</f>
        <v>Calculation based on the formula given in the FAR, Article 19.</v>
      </c>
      <c r="F213" s="1176"/>
      <c r="G213" s="1176"/>
      <c r="H213" s="1176"/>
      <c r="I213" s="1176"/>
      <c r="J213" s="1176"/>
      <c r="K213" s="1176"/>
      <c r="L213" s="1176"/>
      <c r="M213" s="1176"/>
      <c r="N213" s="1176"/>
      <c r="O213" s="8"/>
      <c r="P213" s="9"/>
    </row>
    <row r="214" spans="2:24" ht="13.8" thickBot="1" x14ac:dyDescent="0.3">
      <c r="B214" s="17"/>
      <c r="C214" s="17"/>
      <c r="D214" s="15"/>
      <c r="E214" s="29"/>
      <c r="F214" s="78"/>
      <c r="G214" s="78"/>
      <c r="H214" s="23" t="str">
        <f>EUconst_Unit</f>
        <v>Unit</v>
      </c>
      <c r="I214" s="25"/>
      <c r="J214" s="27"/>
      <c r="K214" s="27"/>
      <c r="L214" s="27"/>
      <c r="M214" s="27"/>
      <c r="N214" s="27"/>
      <c r="O214" s="8"/>
      <c r="P214" s="145" t="s">
        <v>397</v>
      </c>
      <c r="S214" s="63">
        <f t="shared" ref="S214:X214" si="8">S207</f>
        <v>2019</v>
      </c>
      <c r="T214" s="63">
        <f t="shared" si="8"/>
        <v>2020</v>
      </c>
      <c r="U214" s="63">
        <f t="shared" si="8"/>
        <v>2021</v>
      </c>
      <c r="V214" s="63">
        <f t="shared" si="8"/>
        <v>2022</v>
      </c>
      <c r="W214" s="63">
        <f t="shared" si="8"/>
        <v>2023</v>
      </c>
      <c r="X214" s="63" t="str">
        <f t="shared" si="8"/>
        <v/>
      </c>
    </row>
    <row r="215" spans="2:24" ht="13.8" thickBot="1" x14ac:dyDescent="0.3">
      <c r="B215" s="17"/>
      <c r="C215" s="17"/>
      <c r="D215" s="17"/>
      <c r="E215" s="1412" t="str">
        <f>Translations!$B$1043</f>
        <v>Amount for allocation correction:</v>
      </c>
      <c r="F215" s="1412"/>
      <c r="G215" s="1412"/>
      <c r="H215" s="43" t="str">
        <f>EUconst_Allowances</f>
        <v>allowances</v>
      </c>
      <c r="I215" s="997" t="str">
        <f>IF(COUNT(I208:N210)&gt;0,SUMPRODUCT(R208:R210,G208:G210),EUconst_NA)</f>
        <v>N.A.</v>
      </c>
      <c r="J215" s="17"/>
      <c r="K215" s="17"/>
      <c r="L215" s="17"/>
      <c r="M215" s="17"/>
      <c r="N215" s="17"/>
      <c r="O215" s="8"/>
      <c r="P215" s="215" t="str">
        <f>EUconst_CNTR_HVC</f>
        <v>HVC_</v>
      </c>
      <c r="S215" s="63" t="str">
        <f t="shared" ref="S215:X215" si="9">IF(COUNT(I208:I210)&gt;0,SUMPRODUCT($G$208:$G$210,I208:I210),"")</f>
        <v/>
      </c>
      <c r="T215" s="63" t="str">
        <f t="shared" si="9"/>
        <v/>
      </c>
      <c r="U215" s="63" t="str">
        <f t="shared" si="9"/>
        <v/>
      </c>
      <c r="V215" s="63" t="str">
        <f t="shared" si="9"/>
        <v/>
      </c>
      <c r="W215" s="63" t="str">
        <f t="shared" si="9"/>
        <v/>
      </c>
      <c r="X215" s="63" t="str">
        <f t="shared" si="9"/>
        <v/>
      </c>
    </row>
    <row r="216" spans="2:24" ht="5.0999999999999996" customHeight="1" x14ac:dyDescent="0.25">
      <c r="B216" s="8"/>
      <c r="C216" s="8"/>
      <c r="D216" s="8"/>
      <c r="E216" s="8"/>
      <c r="F216" s="8"/>
      <c r="G216" s="8"/>
      <c r="H216" s="8"/>
      <c r="I216" s="8"/>
      <c r="J216" s="8"/>
      <c r="K216" s="8"/>
      <c r="L216" s="8"/>
      <c r="M216" s="8"/>
      <c r="N216" s="8"/>
      <c r="O216" s="8"/>
      <c r="P216" s="9"/>
    </row>
    <row r="217" spans="2:24" x14ac:dyDescent="0.25">
      <c r="B217" s="8"/>
      <c r="C217" s="8"/>
      <c r="D217" s="8"/>
      <c r="E217" s="1647" t="str">
        <f>IF(L174=EUconst_Relevant,HYPERLINK(Q217,EUconst_MsgBackToSheetF),"")</f>
        <v/>
      </c>
      <c r="F217" s="1648"/>
      <c r="G217" s="1648"/>
      <c r="H217" s="1648"/>
      <c r="I217" s="1648"/>
      <c r="J217" s="1648"/>
      <c r="K217" s="1648"/>
      <c r="L217" s="1648"/>
      <c r="M217" s="1648"/>
      <c r="N217" s="1649"/>
      <c r="O217" s="8"/>
      <c r="P217" s="124" t="s">
        <v>486</v>
      </c>
      <c r="Q217" s="63" t="str">
        <f>Q176</f>
        <v/>
      </c>
    </row>
    <row r="218" spans="2:24" x14ac:dyDescent="0.25">
      <c r="B218" s="17"/>
      <c r="C218" s="17"/>
      <c r="D218" s="17"/>
      <c r="E218" s="17"/>
      <c r="F218" s="17"/>
      <c r="G218" s="17"/>
      <c r="H218" s="17"/>
      <c r="I218" s="17"/>
      <c r="J218" s="17"/>
      <c r="K218" s="17"/>
      <c r="L218" s="17"/>
      <c r="M218" s="17"/>
      <c r="N218" s="17"/>
      <c r="O218" s="8"/>
    </row>
    <row r="219" spans="2:24" ht="15.6" x14ac:dyDescent="0.3">
      <c r="B219" s="8"/>
      <c r="C219" s="13" t="s">
        <v>13</v>
      </c>
      <c r="D219" s="1175" t="str">
        <f>Translations!$B$1044</f>
        <v>CWT (Aromatics)</v>
      </c>
      <c r="E219" s="1175"/>
      <c r="F219" s="1175"/>
      <c r="G219" s="1175"/>
      <c r="H219" s="1175"/>
      <c r="I219" s="1175"/>
      <c r="J219" s="1175"/>
      <c r="K219" s="1175"/>
      <c r="L219" s="1175"/>
      <c r="M219" s="1175"/>
      <c r="N219" s="1175"/>
      <c r="O219" s="8"/>
      <c r="P219" s="9"/>
    </row>
    <row r="220" spans="2:24" ht="5.0999999999999996" customHeight="1" x14ac:dyDescent="0.25">
      <c r="B220" s="8"/>
      <c r="C220" s="8"/>
      <c r="D220" s="8"/>
      <c r="E220" s="8"/>
      <c r="F220" s="8"/>
      <c r="G220" s="8"/>
      <c r="H220" s="8"/>
      <c r="I220" s="8"/>
      <c r="J220" s="8"/>
      <c r="K220" s="8"/>
      <c r="L220" s="8"/>
      <c r="M220" s="8"/>
      <c r="N220" s="8"/>
      <c r="O220" s="8"/>
      <c r="P220" s="9"/>
    </row>
    <row r="221" spans="2:24" ht="13.8" x14ac:dyDescent="0.25">
      <c r="B221" s="8"/>
      <c r="C221" s="19"/>
      <c r="D221" s="1234" t="str">
        <f>Translations!$B$1045</f>
        <v>Tool for calculating the historical activity levels for aromatics sub-installations</v>
      </c>
      <c r="E221" s="1176"/>
      <c r="F221" s="1176"/>
      <c r="G221" s="1176"/>
      <c r="H221" s="1176"/>
      <c r="I221" s="1176"/>
      <c r="J221" s="1176"/>
      <c r="K221" s="1176"/>
      <c r="L221" s="1176"/>
      <c r="M221" s="1176"/>
      <c r="N221" s="1176"/>
      <c r="O221" s="8"/>
      <c r="P221" s="9"/>
    </row>
    <row r="222" spans="2:24" ht="5.0999999999999996" customHeight="1" x14ac:dyDescent="0.25">
      <c r="B222" s="8"/>
      <c r="C222" s="8"/>
      <c r="D222" s="8"/>
      <c r="E222" s="8"/>
      <c r="F222" s="8"/>
      <c r="G222" s="8"/>
      <c r="H222" s="8"/>
      <c r="I222" s="8"/>
      <c r="J222" s="8"/>
      <c r="K222" s="8"/>
      <c r="L222" s="8"/>
      <c r="M222" s="8"/>
      <c r="N222" s="8"/>
      <c r="O222" s="8"/>
      <c r="P222" s="9"/>
    </row>
    <row r="223" spans="2:24" x14ac:dyDescent="0.25">
      <c r="B223" s="8"/>
      <c r="C223" s="8"/>
      <c r="D223" s="17"/>
      <c r="E223" s="1223" t="s">
        <v>513</v>
      </c>
      <c r="F223" s="1176"/>
      <c r="G223" s="1176"/>
      <c r="H223" s="1176"/>
      <c r="I223" s="1176"/>
      <c r="J223" s="1176"/>
      <c r="K223" s="1176"/>
      <c r="L223" s="1176"/>
      <c r="M223" s="1176"/>
      <c r="N223" s="1176"/>
      <c r="O223" s="8"/>
      <c r="P223" s="9"/>
    </row>
    <row r="224" spans="2:24" x14ac:dyDescent="0.25">
      <c r="B224" s="8"/>
      <c r="C224" s="8"/>
      <c r="D224" s="17"/>
      <c r="E224" s="1223" t="str">
        <f>Translations!$B$1047</f>
        <v>For the refinery benchmark, which also uses CWT, please use the specific CWT tool for refineries above (section I of this sheet).</v>
      </c>
      <c r="F224" s="1176"/>
      <c r="G224" s="1176"/>
      <c r="H224" s="1176"/>
      <c r="I224" s="1176"/>
      <c r="J224" s="1176"/>
      <c r="K224" s="1176"/>
      <c r="L224" s="1176"/>
      <c r="M224" s="1176"/>
      <c r="N224" s="1176"/>
      <c r="O224" s="8"/>
      <c r="P224" s="9"/>
    </row>
    <row r="225" spans="2:22" x14ac:dyDescent="0.25">
      <c r="B225" s="8"/>
      <c r="C225" s="8"/>
      <c r="D225" s="17"/>
      <c r="E225" s="1223" t="str">
        <f>Translations!$B$907</f>
        <v>The result of this tool is automatically copied into sheet "F_ProductBM", input line "(a).ii" of the appropriate sub-installation.</v>
      </c>
      <c r="F225" s="1176"/>
      <c r="G225" s="1176"/>
      <c r="H225" s="1176"/>
      <c r="I225" s="1176"/>
      <c r="J225" s="1176"/>
      <c r="K225" s="1176"/>
      <c r="L225" s="1176"/>
      <c r="M225" s="1176"/>
      <c r="N225" s="1176"/>
      <c r="O225" s="8"/>
      <c r="P225" s="9"/>
    </row>
    <row r="226" spans="2:22" ht="5.0999999999999996" customHeight="1" x14ac:dyDescent="0.25">
      <c r="B226" s="8"/>
      <c r="C226" s="8"/>
      <c r="D226" s="8"/>
      <c r="E226" s="8"/>
      <c r="F226" s="8"/>
      <c r="G226" s="8"/>
      <c r="H226" s="8"/>
      <c r="I226" s="8"/>
      <c r="J226" s="8"/>
      <c r="K226" s="8"/>
      <c r="L226" s="8"/>
      <c r="M226" s="8"/>
      <c r="N226" s="8"/>
      <c r="O226" s="8"/>
      <c r="P226" s="9"/>
    </row>
    <row r="227" spans="2:22" ht="13.8" x14ac:dyDescent="0.25">
      <c r="B227" s="8"/>
      <c r="C227" s="8"/>
      <c r="D227" s="15" t="s">
        <v>190</v>
      </c>
      <c r="E227" s="1165" t="str">
        <f>Translations!$B$908</f>
        <v>Relevance of this tool in your installation:</v>
      </c>
      <c r="F227" s="1165"/>
      <c r="G227" s="1165"/>
      <c r="H227" s="1165"/>
      <c r="I227" s="1165"/>
      <c r="J227" s="1165"/>
      <c r="K227" s="1425"/>
      <c r="L227" s="1650" t="str">
        <f>IF(CNTR_ExistSubInstEntries,IF(COUNTIF(CNTR_SubInstListNames,INDEX(EUconst_BMlistNames,Q227))&gt;0,EUconst_Relevant,EUconst_NotRelevant),"")</f>
        <v/>
      </c>
      <c r="M227" s="1651"/>
      <c r="N227" s="1652"/>
      <c r="O227" s="8"/>
      <c r="P227" s="124" t="s">
        <v>485</v>
      </c>
      <c r="Q227" s="115">
        <v>43</v>
      </c>
    </row>
    <row r="228" spans="2:22" x14ac:dyDescent="0.25">
      <c r="B228" s="8"/>
      <c r="C228" s="8"/>
      <c r="D228" s="17"/>
      <c r="E228" s="1211" t="str">
        <f>Translations!$B$909</f>
        <v>This message is automatically generated based on your inputs in sheet "A_InstallationData", section A.III.1.</v>
      </c>
      <c r="F228" s="1212"/>
      <c r="G228" s="1212"/>
      <c r="H228" s="1212"/>
      <c r="I228" s="1212"/>
      <c r="J228" s="1212"/>
      <c r="K228" s="1212"/>
      <c r="L228" s="1212"/>
      <c r="M228" s="1212"/>
      <c r="N228" s="1212"/>
      <c r="O228" s="8"/>
      <c r="P228" s="9"/>
    </row>
    <row r="229" spans="2:22" x14ac:dyDescent="0.25">
      <c r="B229" s="8"/>
      <c r="C229" s="8"/>
      <c r="D229" s="8"/>
      <c r="E229" s="1647" t="str">
        <f>IF(L227=EUconst_Relevant,HYPERLINK(Q229,EUconst_MsgBackToSheetF),"")</f>
        <v/>
      </c>
      <c r="F229" s="1648"/>
      <c r="G229" s="1648"/>
      <c r="H229" s="1648"/>
      <c r="I229" s="1648"/>
      <c r="J229" s="1648"/>
      <c r="K229" s="1648"/>
      <c r="L229" s="1648"/>
      <c r="M229" s="1648"/>
      <c r="N229" s="1649"/>
      <c r="O229" s="8"/>
      <c r="P229" s="124" t="s">
        <v>486</v>
      </c>
      <c r="Q229" s="63" t="str">
        <f>IF(ISNUMBER(MATCH(Q227,CNTR_SubInstListBMnumbers,0)),"#JUMP_F"&amp;MATCH(Q227,CNTR_SubInstListBMnumbers,0),"")</f>
        <v/>
      </c>
    </row>
    <row r="230" spans="2:22" ht="5.0999999999999996" customHeight="1" x14ac:dyDescent="0.25">
      <c r="B230" s="8"/>
      <c r="C230" s="8"/>
      <c r="D230" s="8"/>
      <c r="E230" s="8"/>
      <c r="F230" s="8"/>
      <c r="G230" s="8"/>
      <c r="H230" s="8"/>
      <c r="I230" s="8"/>
      <c r="J230" s="8"/>
      <c r="K230" s="8"/>
      <c r="L230" s="8"/>
      <c r="M230" s="8"/>
      <c r="N230" s="8"/>
      <c r="O230" s="8"/>
      <c r="P230" s="9"/>
    </row>
    <row r="231" spans="2:22" x14ac:dyDescent="0.25">
      <c r="B231" s="8"/>
      <c r="C231" s="8"/>
      <c r="D231" s="15" t="s">
        <v>192</v>
      </c>
      <c r="E231" s="1165" t="str">
        <f>Translations!$B$910</f>
        <v>CWT throughput data</v>
      </c>
      <c r="F231" s="1176"/>
      <c r="G231" s="1176"/>
      <c r="H231" s="1176"/>
      <c r="I231" s="1176"/>
      <c r="J231" s="1176"/>
      <c r="K231" s="1176"/>
      <c r="L231" s="1176"/>
      <c r="M231" s="1176"/>
      <c r="N231" s="1176"/>
      <c r="O231" s="8"/>
      <c r="P231" s="9"/>
    </row>
    <row r="232" spans="2:22" x14ac:dyDescent="0.25">
      <c r="B232" s="8"/>
      <c r="C232" s="8"/>
      <c r="D232" s="17"/>
      <c r="E232" s="1223" t="str">
        <f>Translations!$B$911</f>
        <v>Please enter here the annual throughput data for each CWT function.</v>
      </c>
      <c r="F232" s="1176"/>
      <c r="G232" s="1176"/>
      <c r="H232" s="1176"/>
      <c r="I232" s="1176"/>
      <c r="J232" s="1176"/>
      <c r="K232" s="1176"/>
      <c r="L232" s="1176"/>
      <c r="M232" s="1176"/>
      <c r="N232" s="1176"/>
      <c r="O232" s="8"/>
      <c r="P232" s="9"/>
    </row>
    <row r="233" spans="2:22" x14ac:dyDescent="0.25">
      <c r="B233" s="8"/>
      <c r="C233" s="8"/>
      <c r="D233" s="17"/>
      <c r="E233" s="1223" t="s">
        <v>514</v>
      </c>
      <c r="F233" s="1176"/>
      <c r="G233" s="1176"/>
      <c r="H233" s="1176"/>
      <c r="I233" s="1176"/>
      <c r="J233" s="1176"/>
      <c r="K233" s="1176"/>
      <c r="L233" s="1176"/>
      <c r="M233" s="1176"/>
      <c r="N233" s="1176"/>
      <c r="O233" s="8"/>
      <c r="P233" s="9"/>
    </row>
    <row r="234" spans="2:22" x14ac:dyDescent="0.25">
      <c r="B234" s="8"/>
      <c r="C234" s="8"/>
      <c r="D234" s="17"/>
      <c r="E234" s="1223" t="str">
        <f>Translations!$B$913</f>
        <v>For the basis the following abbreviations are used:</v>
      </c>
      <c r="F234" s="1176"/>
      <c r="G234" s="1176"/>
      <c r="H234" s="1176"/>
      <c r="I234" s="1176"/>
      <c r="J234" s="1176"/>
      <c r="K234" s="1176"/>
      <c r="L234" s="1176"/>
      <c r="M234" s="1176"/>
      <c r="N234" s="1176"/>
      <c r="O234" s="8"/>
      <c r="P234" s="9"/>
    </row>
    <row r="235" spans="2:22" x14ac:dyDescent="0.25">
      <c r="B235" s="8"/>
      <c r="C235" s="8"/>
      <c r="D235" s="17"/>
      <c r="E235" s="958" t="s">
        <v>488</v>
      </c>
      <c r="F235" s="1223" t="str">
        <f>Translations!$B$914</f>
        <v>Net fresh feed</v>
      </c>
      <c r="G235" s="1176"/>
      <c r="H235" s="1176"/>
      <c r="I235" s="1176"/>
      <c r="J235" s="1176"/>
      <c r="K235" s="1176"/>
      <c r="L235" s="1176"/>
      <c r="M235" s="1176"/>
      <c r="N235" s="1176"/>
      <c r="O235" s="8"/>
      <c r="P235" s="9"/>
    </row>
    <row r="236" spans="2:22" x14ac:dyDescent="0.25">
      <c r="B236" s="8"/>
      <c r="C236" s="8"/>
      <c r="D236" s="17"/>
      <c r="E236" s="958" t="s">
        <v>490</v>
      </c>
      <c r="F236" s="1223" t="str">
        <f>Translations!$B$916</f>
        <v>Product feed</v>
      </c>
      <c r="G236" s="1176"/>
      <c r="H236" s="1176"/>
      <c r="I236" s="1176"/>
      <c r="J236" s="1176"/>
      <c r="K236" s="1176"/>
      <c r="L236" s="1176"/>
      <c r="M236" s="1176"/>
      <c r="N236" s="1176"/>
      <c r="O236" s="8"/>
      <c r="P236" s="9"/>
    </row>
    <row r="237" spans="2:22" x14ac:dyDescent="0.25">
      <c r="B237" s="8"/>
      <c r="C237" s="8"/>
      <c r="D237" s="884"/>
      <c r="E237" s="1378" t="s">
        <v>492</v>
      </c>
      <c r="F237" s="1176"/>
      <c r="G237" s="1176"/>
      <c r="H237" s="1176"/>
      <c r="I237" s="1176"/>
      <c r="J237" s="1176"/>
      <c r="K237" s="1176"/>
      <c r="L237" s="1176"/>
      <c r="M237" s="1176"/>
      <c r="N237" s="1176"/>
      <c r="O237" s="8"/>
      <c r="P237" s="9"/>
      <c r="V237" s="145" t="s">
        <v>394</v>
      </c>
    </row>
    <row r="238" spans="2:22" ht="5.0999999999999996" customHeight="1" thickBot="1" x14ac:dyDescent="0.3">
      <c r="B238" s="8"/>
      <c r="C238" s="8"/>
      <c r="D238" s="8"/>
      <c r="E238" s="8"/>
      <c r="F238" s="8"/>
      <c r="G238" s="8"/>
      <c r="H238" s="8"/>
      <c r="I238" s="8"/>
      <c r="J238" s="8"/>
      <c r="K238" s="8"/>
      <c r="L238" s="8"/>
      <c r="M238" s="8"/>
      <c r="N238" s="8"/>
      <c r="O238" s="8"/>
      <c r="P238" s="9"/>
    </row>
    <row r="239" spans="2:22" x14ac:dyDescent="0.25">
      <c r="B239" s="17"/>
      <c r="C239" s="17"/>
      <c r="D239" s="17"/>
      <c r="E239" s="1259" t="str">
        <f>Translations!$B$919</f>
        <v>CWT function</v>
      </c>
      <c r="F239" s="1259"/>
      <c r="G239" s="29" t="str">
        <f>Translations!$B$920</f>
        <v>Basis (kt/a)</v>
      </c>
      <c r="H239" s="42" t="str">
        <f>Translations!$B$921</f>
        <v>CWT factor</v>
      </c>
      <c r="I239" s="149">
        <f>I$391</f>
        <v>2019</v>
      </c>
      <c r="J239" s="149">
        <f>J$391</f>
        <v>2020</v>
      </c>
      <c r="K239" s="149">
        <f>K$391</f>
        <v>2021</v>
      </c>
      <c r="L239" s="149">
        <f>L$391</f>
        <v>2022</v>
      </c>
      <c r="M239" s="149">
        <f>M$391</f>
        <v>2023</v>
      </c>
      <c r="N239" s="376" t="str">
        <f>IF(L227&lt;&gt;EUconst_Relevant,"",IF(T239,YEAR(INDEX(CNTR_SubInstStartDate,MATCH(Q227,CNTR_SubInstListBMnumbers,0)))+1,""))</f>
        <v/>
      </c>
      <c r="O239" s="8"/>
      <c r="S239" s="124" t="s">
        <v>304</v>
      </c>
      <c r="T239" s="626" t="str">
        <f>IF(L227&lt;&gt;EUconst_Relevant,"",INDEX(CNTR_SubInstLess1Year,MATCH(Q227,CNTR_SubInstListBMnumbers,0)))</f>
        <v/>
      </c>
      <c r="V239" s="284" t="b">
        <f>IF(CNTR_ExistSubInstEntries,IF(L227=EUconst_Relevant,NOT(T239),TRUE),FALSE)</f>
        <v>0</v>
      </c>
    </row>
    <row r="240" spans="2:22" ht="25.5" customHeight="1" x14ac:dyDescent="0.25">
      <c r="B240" s="17"/>
      <c r="C240" s="17"/>
      <c r="D240" s="17"/>
      <c r="E240" s="1251" t="str">
        <f>Translations!$B$1049</f>
        <v>Naphtha/Gasoline Hydrotreater</v>
      </c>
      <c r="F240" s="1251"/>
      <c r="G240" s="858" t="s">
        <v>488</v>
      </c>
      <c r="H240" s="968">
        <v>1.1000000000000001</v>
      </c>
      <c r="I240" s="998"/>
      <c r="J240" s="998"/>
      <c r="K240" s="998"/>
      <c r="L240" s="998"/>
      <c r="M240" s="998"/>
      <c r="N240" s="977"/>
      <c r="O240" s="8"/>
      <c r="V240" s="285" t="b">
        <f>V239</f>
        <v>0</v>
      </c>
    </row>
    <row r="241" spans="2:22" x14ac:dyDescent="0.25">
      <c r="B241" s="17"/>
      <c r="C241" s="17"/>
      <c r="D241" s="17"/>
      <c r="E241" s="1251" t="str">
        <f>Translations!$B$949</f>
        <v>Aromatic Solvent Extraction</v>
      </c>
      <c r="F241" s="1251"/>
      <c r="G241" s="858" t="s">
        <v>488</v>
      </c>
      <c r="H241" s="968">
        <v>5.25</v>
      </c>
      <c r="I241" s="998"/>
      <c r="J241" s="998"/>
      <c r="K241" s="998"/>
      <c r="L241" s="998"/>
      <c r="M241" s="998"/>
      <c r="N241" s="971"/>
      <c r="O241" s="8"/>
      <c r="V241" s="285" t="b">
        <f t="shared" ref="V241:V247" si="10">V240</f>
        <v>0</v>
      </c>
    </row>
    <row r="242" spans="2:22" x14ac:dyDescent="0.25">
      <c r="B242" s="17"/>
      <c r="C242" s="17"/>
      <c r="D242" s="17"/>
      <c r="E242" s="1251" t="str">
        <f>Translations!$B$951</f>
        <v>TDP/ TDA</v>
      </c>
      <c r="F242" s="1251"/>
      <c r="G242" s="858" t="s">
        <v>488</v>
      </c>
      <c r="H242" s="968">
        <v>1.85</v>
      </c>
      <c r="I242" s="998"/>
      <c r="J242" s="998"/>
      <c r="K242" s="998"/>
      <c r="L242" s="998"/>
      <c r="M242" s="998"/>
      <c r="N242" s="971"/>
      <c r="O242" s="8"/>
      <c r="V242" s="285" t="b">
        <f t="shared" si="10"/>
        <v>0</v>
      </c>
    </row>
    <row r="243" spans="2:22" x14ac:dyDescent="0.25">
      <c r="B243" s="17"/>
      <c r="C243" s="17"/>
      <c r="D243" s="17"/>
      <c r="E243" s="1251" t="str">
        <f>Translations!$B$950</f>
        <v>Hydrodealkylation</v>
      </c>
      <c r="F243" s="1251"/>
      <c r="G243" s="858" t="s">
        <v>488</v>
      </c>
      <c r="H243" s="968">
        <v>2.4500000000000002</v>
      </c>
      <c r="I243" s="998"/>
      <c r="J243" s="998"/>
      <c r="K243" s="998"/>
      <c r="L243" s="998"/>
      <c r="M243" s="998"/>
      <c r="N243" s="971"/>
      <c r="O243" s="8"/>
      <c r="V243" s="285" t="b">
        <f t="shared" si="10"/>
        <v>0</v>
      </c>
    </row>
    <row r="244" spans="2:22" x14ac:dyDescent="0.25">
      <c r="B244" s="17"/>
      <c r="C244" s="17"/>
      <c r="D244" s="17"/>
      <c r="E244" s="1251" t="str">
        <f>Translations!$B$953</f>
        <v>Xylene Isomerisation</v>
      </c>
      <c r="F244" s="1251"/>
      <c r="G244" s="858" t="s">
        <v>488</v>
      </c>
      <c r="H244" s="968">
        <v>1.85</v>
      </c>
      <c r="I244" s="998"/>
      <c r="J244" s="998"/>
      <c r="K244" s="998"/>
      <c r="L244" s="998"/>
      <c r="M244" s="998"/>
      <c r="N244" s="971"/>
      <c r="O244" s="8"/>
      <c r="V244" s="285" t="b">
        <f t="shared" si="10"/>
        <v>0</v>
      </c>
    </row>
    <row r="245" spans="2:22" x14ac:dyDescent="0.25">
      <c r="B245" s="17"/>
      <c r="C245" s="17"/>
      <c r="D245" s="17"/>
      <c r="E245" s="1251" t="str">
        <f>Translations!$B$954</f>
        <v>Paraxylene production</v>
      </c>
      <c r="F245" s="1251"/>
      <c r="G245" s="858" t="s">
        <v>490</v>
      </c>
      <c r="H245" s="968">
        <v>6.4</v>
      </c>
      <c r="I245" s="998"/>
      <c r="J245" s="998"/>
      <c r="K245" s="998"/>
      <c r="L245" s="998"/>
      <c r="M245" s="998"/>
      <c r="N245" s="971"/>
      <c r="O245" s="8"/>
      <c r="V245" s="285" t="b">
        <f t="shared" si="10"/>
        <v>0</v>
      </c>
    </row>
    <row r="246" spans="2:22" x14ac:dyDescent="0.25">
      <c r="B246" s="17"/>
      <c r="C246" s="17"/>
      <c r="D246" s="17"/>
      <c r="E246" s="1251" t="str">
        <f>Translations!$B$952</f>
        <v>Cyclohexane production</v>
      </c>
      <c r="F246" s="1251"/>
      <c r="G246" s="858" t="s">
        <v>490</v>
      </c>
      <c r="H246" s="968">
        <v>3</v>
      </c>
      <c r="I246" s="998"/>
      <c r="J246" s="998"/>
      <c r="K246" s="998"/>
      <c r="L246" s="998"/>
      <c r="M246" s="998"/>
      <c r="N246" s="971"/>
      <c r="O246" s="8"/>
      <c r="V246" s="285" t="b">
        <f t="shared" si="10"/>
        <v>0</v>
      </c>
    </row>
    <row r="247" spans="2:22" ht="13.8" thickBot="1" x14ac:dyDescent="0.3">
      <c r="B247" s="17"/>
      <c r="C247" s="17"/>
      <c r="D247" s="17"/>
      <c r="E247" s="1254" t="str">
        <f>Translations!$B$959</f>
        <v>Cumene production</v>
      </c>
      <c r="F247" s="1254"/>
      <c r="G247" s="860" t="s">
        <v>490</v>
      </c>
      <c r="H247" s="972">
        <v>5</v>
      </c>
      <c r="I247" s="999"/>
      <c r="J247" s="999"/>
      <c r="K247" s="999"/>
      <c r="L247" s="999"/>
      <c r="M247" s="999"/>
      <c r="N247" s="975"/>
      <c r="O247" s="8"/>
      <c r="V247" s="286" t="b">
        <f t="shared" si="10"/>
        <v>0</v>
      </c>
    </row>
    <row r="248" spans="2:22" ht="5.0999999999999996" customHeight="1" x14ac:dyDescent="0.25">
      <c r="B248" s="8"/>
      <c r="C248" s="8"/>
      <c r="D248" s="8"/>
      <c r="E248" s="8"/>
      <c r="F248" s="8"/>
      <c r="G248" s="8"/>
      <c r="H248" s="8"/>
      <c r="I248" s="8"/>
      <c r="J248" s="8"/>
      <c r="K248" s="8"/>
      <c r="L248" s="8"/>
      <c r="M248" s="8"/>
      <c r="N248" s="17"/>
      <c r="O248" s="8"/>
      <c r="P248" s="9"/>
    </row>
    <row r="249" spans="2:22" x14ac:dyDescent="0.25">
      <c r="B249" s="8"/>
      <c r="C249" s="8"/>
      <c r="D249" s="15" t="s">
        <v>195</v>
      </c>
      <c r="E249" s="1165" t="str">
        <f>Translations!$B$1050</f>
        <v>Result: Activity levels for the aromatics benchmark expressed as CWT</v>
      </c>
      <c r="F249" s="1176"/>
      <c r="G249" s="1176"/>
      <c r="H249" s="1176"/>
      <c r="I249" s="1176"/>
      <c r="J249" s="1176"/>
      <c r="K249" s="1176"/>
      <c r="L249" s="1176"/>
      <c r="M249" s="1176"/>
      <c r="N249" s="1176"/>
      <c r="O249" s="8"/>
      <c r="P249" s="9"/>
    </row>
    <row r="250" spans="2:22" x14ac:dyDescent="0.25">
      <c r="B250" s="8"/>
      <c r="C250" s="8"/>
      <c r="D250" s="17"/>
      <c r="E250" s="1223" t="s">
        <v>515</v>
      </c>
      <c r="F250" s="1176"/>
      <c r="G250" s="1176"/>
      <c r="H250" s="1176"/>
      <c r="I250" s="1176"/>
      <c r="J250" s="1176"/>
      <c r="K250" s="1176"/>
      <c r="L250" s="1176"/>
      <c r="M250" s="1176"/>
      <c r="N250" s="1176"/>
      <c r="O250" s="8"/>
      <c r="P250" s="9"/>
    </row>
    <row r="251" spans="2:22" x14ac:dyDescent="0.25">
      <c r="B251" s="8"/>
      <c r="C251" s="8"/>
      <c r="D251" s="17"/>
      <c r="E251" s="1378" t="str">
        <f>Translations!$B$1052</f>
        <v>Important note: The reporting is done in ktonnes, but the benchmark is expressed in t CO2/CWT, where CWT is expressed in tonnes.</v>
      </c>
      <c r="F251" s="1176"/>
      <c r="G251" s="1176"/>
      <c r="H251" s="1176"/>
      <c r="I251" s="1176"/>
      <c r="J251" s="1176"/>
      <c r="K251" s="1176"/>
      <c r="L251" s="1176"/>
      <c r="M251" s="1176"/>
      <c r="N251" s="1176"/>
      <c r="O251" s="8"/>
      <c r="P251" s="9"/>
    </row>
    <row r="252" spans="2:22" x14ac:dyDescent="0.25">
      <c r="B252" s="8"/>
      <c r="C252" s="8"/>
      <c r="D252" s="17"/>
      <c r="E252" s="1378" t="s">
        <v>516</v>
      </c>
      <c r="F252" s="1176"/>
      <c r="G252" s="1176"/>
      <c r="H252" s="1176"/>
      <c r="I252" s="1176"/>
      <c r="J252" s="1176"/>
      <c r="K252" s="1176"/>
      <c r="L252" s="1176"/>
      <c r="M252" s="1176"/>
      <c r="N252" s="1176"/>
      <c r="O252" s="8"/>
      <c r="P252" s="9"/>
    </row>
    <row r="253" spans="2:22" ht="13.8" thickBot="1" x14ac:dyDescent="0.3">
      <c r="B253" s="8"/>
      <c r="C253" s="8"/>
      <c r="D253" s="17"/>
      <c r="E253" s="1223" t="str">
        <f>Translations!$B$982</f>
        <v>The result of this tool is used in sheet "F_ProductBM", input line (a).ii of the appropriate sub-installation, from which the average is calculated.</v>
      </c>
      <c r="F253" s="1176"/>
      <c r="G253" s="1176"/>
      <c r="H253" s="1176"/>
      <c r="I253" s="1176"/>
      <c r="J253" s="1176"/>
      <c r="K253" s="1176"/>
      <c r="L253" s="1176"/>
      <c r="M253" s="1176"/>
      <c r="N253" s="1176"/>
      <c r="O253" s="8"/>
      <c r="P253" s="9"/>
    </row>
    <row r="254" spans="2:22" x14ac:dyDescent="0.25">
      <c r="B254" s="17"/>
      <c r="C254" s="17"/>
      <c r="D254" s="15"/>
      <c r="E254" s="78"/>
      <c r="F254" s="78"/>
      <c r="G254" s="78"/>
      <c r="H254" s="23" t="str">
        <f>EUconst_Unit</f>
        <v>Unit</v>
      </c>
      <c r="I254" s="149">
        <f>I$391</f>
        <v>2019</v>
      </c>
      <c r="J254" s="149">
        <f>J$391</f>
        <v>2020</v>
      </c>
      <c r="K254" s="149">
        <f>K$391</f>
        <v>2021</v>
      </c>
      <c r="L254" s="149">
        <f>L$391</f>
        <v>2022</v>
      </c>
      <c r="M254" s="394">
        <f>M$391</f>
        <v>2023</v>
      </c>
      <c r="N254" s="376" t="str">
        <f>N239</f>
        <v/>
      </c>
      <c r="O254" s="8"/>
      <c r="V254" s="391" t="b">
        <f>V247</f>
        <v>0</v>
      </c>
    </row>
    <row r="255" spans="2:22" ht="13.8" thickBot="1" x14ac:dyDescent="0.3">
      <c r="B255" s="17"/>
      <c r="C255" s="17"/>
      <c r="D255" s="17"/>
      <c r="E255" s="1412" t="str">
        <f>Translations!$B$1054</f>
        <v>Aromatics activity level</v>
      </c>
      <c r="F255" s="1412"/>
      <c r="G255" s="1412"/>
      <c r="H255" s="43" t="str">
        <f>EUconst_CWTpa</f>
        <v>CWT / year</v>
      </c>
      <c r="I255" s="148" t="str">
        <f t="shared" ref="I255:N255" si="11">IF(COUNT(I240:I247)&gt;0,1000*SUMPRODUCT($H240:$H247,I240:I247),"")</f>
        <v/>
      </c>
      <c r="J255" s="148" t="str">
        <f t="shared" si="11"/>
        <v/>
      </c>
      <c r="K255" s="148" t="str">
        <f t="shared" si="11"/>
        <v/>
      </c>
      <c r="L255" s="148" t="str">
        <f t="shared" si="11"/>
        <v/>
      </c>
      <c r="M255" s="923" t="str">
        <f t="shared" si="11"/>
        <v/>
      </c>
      <c r="N255" s="924" t="str">
        <f t="shared" si="11"/>
        <v/>
      </c>
      <c r="O255" s="8"/>
      <c r="P255" s="63" t="str">
        <f>IF(L227=EUconst_Relevant,EUconst_CNTR_HALspecial &amp; INDEX(EUconst_BMlistNames,Q227),"")</f>
        <v/>
      </c>
      <c r="V255" s="286" t="b">
        <f>V254</f>
        <v>0</v>
      </c>
    </row>
    <row r="256" spans="2:22" ht="5.0999999999999996" customHeight="1" x14ac:dyDescent="0.25">
      <c r="B256" s="8"/>
      <c r="C256" s="8"/>
      <c r="D256" s="8"/>
      <c r="E256" s="8"/>
      <c r="F256" s="8"/>
      <c r="G256" s="8"/>
      <c r="H256" s="8"/>
      <c r="I256" s="8"/>
      <c r="J256" s="8"/>
      <c r="K256" s="8"/>
      <c r="L256" s="8"/>
      <c r="M256" s="8"/>
      <c r="N256" s="8"/>
      <c r="O256" s="8"/>
      <c r="P256" s="9"/>
    </row>
    <row r="257" spans="2:17" x14ac:dyDescent="0.25">
      <c r="B257" s="8"/>
      <c r="C257" s="8"/>
      <c r="D257" s="8"/>
      <c r="E257" s="1647" t="str">
        <f>IF(L227=EUconst_Relevant,HYPERLINK(Q257,EUconst_MsgBackToSheetF),"")</f>
        <v/>
      </c>
      <c r="F257" s="1648"/>
      <c r="G257" s="1648"/>
      <c r="H257" s="1648"/>
      <c r="I257" s="1648"/>
      <c r="J257" s="1648"/>
      <c r="K257" s="1648"/>
      <c r="L257" s="1648"/>
      <c r="M257" s="1648"/>
      <c r="N257" s="1649"/>
      <c r="O257" s="8"/>
      <c r="P257" s="124" t="s">
        <v>486</v>
      </c>
      <c r="Q257" s="63" t="str">
        <f>Q229</f>
        <v/>
      </c>
    </row>
    <row r="258" spans="2:17" x14ac:dyDescent="0.25">
      <c r="B258" s="17"/>
      <c r="C258" s="17"/>
      <c r="D258" s="17"/>
      <c r="E258" s="17"/>
      <c r="F258" s="17"/>
      <c r="G258" s="17"/>
      <c r="H258" s="17"/>
      <c r="I258" s="17"/>
      <c r="J258" s="17"/>
      <c r="K258" s="17"/>
      <c r="L258" s="17"/>
      <c r="M258" s="17"/>
      <c r="N258" s="17"/>
      <c r="O258" s="8"/>
    </row>
    <row r="259" spans="2:17" ht="15.6" x14ac:dyDescent="0.3">
      <c r="B259" s="8"/>
      <c r="C259" s="13" t="s">
        <v>14</v>
      </c>
      <c r="D259" s="1175" t="str">
        <f>Translations!$B$1027</f>
        <v>Hydrogen</v>
      </c>
      <c r="E259" s="1175"/>
      <c r="F259" s="1175"/>
      <c r="G259" s="1175"/>
      <c r="H259" s="1175"/>
      <c r="I259" s="1175"/>
      <c r="J259" s="1175"/>
      <c r="K259" s="1175"/>
      <c r="L259" s="1175"/>
      <c r="M259" s="1175"/>
      <c r="N259" s="1175"/>
      <c r="O259" s="8"/>
      <c r="P259" s="9"/>
    </row>
    <row r="260" spans="2:17" ht="5.0999999999999996" customHeight="1" x14ac:dyDescent="0.25">
      <c r="B260" s="8"/>
      <c r="C260" s="8"/>
      <c r="D260" s="8"/>
      <c r="E260" s="8"/>
      <c r="F260" s="8"/>
      <c r="G260" s="8"/>
      <c r="H260" s="8"/>
      <c r="I260" s="8"/>
      <c r="J260" s="8"/>
      <c r="K260" s="8"/>
      <c r="L260" s="8"/>
      <c r="M260" s="8"/>
      <c r="N260" s="8"/>
      <c r="O260" s="8"/>
      <c r="P260" s="9"/>
    </row>
    <row r="261" spans="2:17" ht="13.8" x14ac:dyDescent="0.25">
      <c r="B261" s="8"/>
      <c r="C261" s="19"/>
      <c r="D261" s="1234" t="str">
        <f>Translations!$B$1055</f>
        <v>Tool for calculating the historical activity levels for hydrogen sub-installations</v>
      </c>
      <c r="E261" s="1176"/>
      <c r="F261" s="1176"/>
      <c r="G261" s="1176"/>
      <c r="H261" s="1176"/>
      <c r="I261" s="1176"/>
      <c r="J261" s="1176"/>
      <c r="K261" s="1176"/>
      <c r="L261" s="1176"/>
      <c r="M261" s="1176"/>
      <c r="N261" s="1176"/>
      <c r="O261" s="8"/>
      <c r="P261" s="9"/>
    </row>
    <row r="262" spans="2:17" ht="5.0999999999999996" customHeight="1" x14ac:dyDescent="0.25">
      <c r="B262" s="8"/>
      <c r="C262" s="8"/>
      <c r="D262" s="8"/>
      <c r="E262" s="8"/>
      <c r="F262" s="8"/>
      <c r="G262" s="8"/>
      <c r="H262" s="8"/>
      <c r="I262" s="8"/>
      <c r="J262" s="8"/>
      <c r="K262" s="8"/>
      <c r="L262" s="8"/>
      <c r="M262" s="8"/>
      <c r="N262" s="8"/>
      <c r="O262" s="8"/>
      <c r="P262" s="9"/>
    </row>
    <row r="263" spans="2:17" x14ac:dyDescent="0.25">
      <c r="B263" s="8"/>
      <c r="C263" s="8"/>
      <c r="D263" s="17"/>
      <c r="E263" s="1223" t="s">
        <v>517</v>
      </c>
      <c r="F263" s="1176"/>
      <c r="G263" s="1176"/>
      <c r="H263" s="1176"/>
      <c r="I263" s="1176"/>
      <c r="J263" s="1176"/>
      <c r="K263" s="1176"/>
      <c r="L263" s="1176"/>
      <c r="M263" s="1176"/>
      <c r="N263" s="1176"/>
      <c r="O263" s="8"/>
      <c r="P263" s="9"/>
    </row>
    <row r="264" spans="2:17" x14ac:dyDescent="0.25">
      <c r="B264" s="8"/>
      <c r="C264" s="8"/>
      <c r="D264" s="17"/>
      <c r="E264" s="1223" t="str">
        <f>Translations!$B$907</f>
        <v>The result of this tool is automatically copied into sheet "F_ProductBM", input line "(a).ii" of the appropriate sub-installation.</v>
      </c>
      <c r="F264" s="1176"/>
      <c r="G264" s="1176"/>
      <c r="H264" s="1176"/>
      <c r="I264" s="1176"/>
      <c r="J264" s="1176"/>
      <c r="K264" s="1176"/>
      <c r="L264" s="1176"/>
      <c r="M264" s="1176"/>
      <c r="N264" s="1176"/>
      <c r="O264" s="8"/>
      <c r="P264" s="9"/>
    </row>
    <row r="265" spans="2:17" x14ac:dyDescent="0.25">
      <c r="B265" s="8"/>
      <c r="C265" s="8"/>
      <c r="D265" s="17"/>
      <c r="E265" s="1378" t="str">
        <f>Translations!$B$1057</f>
        <v>Please note that percentages for Hydrogen content are to be expressed as Vol-%.</v>
      </c>
      <c r="F265" s="1176"/>
      <c r="G265" s="1176"/>
      <c r="H265" s="1176"/>
      <c r="I265" s="1176"/>
      <c r="J265" s="1176"/>
      <c r="K265" s="1176"/>
      <c r="L265" s="1176"/>
      <c r="M265" s="1176"/>
      <c r="N265" s="1176"/>
      <c r="O265" s="8"/>
      <c r="P265" s="9"/>
    </row>
    <row r="266" spans="2:17" ht="5.0999999999999996" customHeight="1" x14ac:dyDescent="0.25">
      <c r="B266" s="8"/>
      <c r="C266" s="8"/>
      <c r="D266" s="8"/>
      <c r="E266" s="8"/>
      <c r="F266" s="8"/>
      <c r="G266" s="8"/>
      <c r="H266" s="8"/>
      <c r="I266" s="8"/>
      <c r="J266" s="8"/>
      <c r="K266" s="8"/>
      <c r="L266" s="8"/>
      <c r="M266" s="8"/>
      <c r="N266" s="8"/>
      <c r="O266" s="8"/>
      <c r="P266" s="9"/>
    </row>
    <row r="267" spans="2:17" ht="13.8" x14ac:dyDescent="0.25">
      <c r="B267" s="8"/>
      <c r="C267" s="8"/>
      <c r="D267" s="15" t="s">
        <v>190</v>
      </c>
      <c r="E267" s="1165" t="str">
        <f>Translations!$B$908</f>
        <v>Relevance of this tool in your installation:</v>
      </c>
      <c r="F267" s="1165"/>
      <c r="G267" s="1165"/>
      <c r="H267" s="1165"/>
      <c r="I267" s="1165"/>
      <c r="J267" s="1165"/>
      <c r="K267" s="1425"/>
      <c r="L267" s="1650" t="str">
        <f>IF(CNTR_ExistSubInstEntries,IF(COUNTIF(CNTR_SubInstListNames,INDEX(EUconst_BMlistNames,Q267))&gt;0,EUconst_Relevant,EUconst_NotRelevant),"")</f>
        <v/>
      </c>
      <c r="M267" s="1651"/>
      <c r="N267" s="1652"/>
      <c r="O267" s="8"/>
      <c r="P267" s="124" t="s">
        <v>485</v>
      </c>
      <c r="Q267" s="115">
        <v>50</v>
      </c>
    </row>
    <row r="268" spans="2:17" x14ac:dyDescent="0.25">
      <c r="B268" s="8"/>
      <c r="C268" s="8"/>
      <c r="D268" s="17"/>
      <c r="E268" s="1211" t="str">
        <f>Translations!$B$909</f>
        <v>This message is automatically generated based on your inputs in sheet "A_InstallationData", section A.III.1.</v>
      </c>
      <c r="F268" s="1212"/>
      <c r="G268" s="1212"/>
      <c r="H268" s="1212"/>
      <c r="I268" s="1212"/>
      <c r="J268" s="1212"/>
      <c r="K268" s="1212"/>
      <c r="L268" s="1212"/>
      <c r="M268" s="1212"/>
      <c r="N268" s="1212"/>
      <c r="O268" s="8"/>
      <c r="P268" s="9"/>
    </row>
    <row r="269" spans="2:17" x14ac:dyDescent="0.25">
      <c r="B269" s="8"/>
      <c r="C269" s="8"/>
      <c r="D269" s="8"/>
      <c r="E269" s="1647" t="str">
        <f>IF(L267=EUconst_Relevant,HYPERLINK(Q269,EUconst_MsgBackToSheetF),"")</f>
        <v/>
      </c>
      <c r="F269" s="1648"/>
      <c r="G269" s="1648"/>
      <c r="H269" s="1648"/>
      <c r="I269" s="1648"/>
      <c r="J269" s="1648"/>
      <c r="K269" s="1648"/>
      <c r="L269" s="1648"/>
      <c r="M269" s="1648"/>
      <c r="N269" s="1649"/>
      <c r="O269" s="8"/>
      <c r="P269" s="124" t="s">
        <v>486</v>
      </c>
      <c r="Q269" s="63" t="str">
        <f>IF(ISNUMBER(MATCH(Q267,CNTR_SubInstListBMnumbers,0)),"#JUMP_F"&amp;MATCH(Q267,CNTR_SubInstListBMnumbers,0),"")</f>
        <v/>
      </c>
    </row>
    <row r="270" spans="2:17" ht="5.0999999999999996" customHeight="1" x14ac:dyDescent="0.25">
      <c r="B270" s="8"/>
      <c r="C270" s="8"/>
      <c r="D270" s="8"/>
      <c r="E270" s="8"/>
      <c r="F270" s="8"/>
      <c r="G270" s="8"/>
      <c r="H270" s="8"/>
      <c r="I270" s="8"/>
      <c r="J270" s="8"/>
      <c r="K270" s="8"/>
      <c r="L270" s="8"/>
      <c r="M270" s="8"/>
      <c r="N270" s="8"/>
      <c r="O270" s="8"/>
      <c r="P270" s="9"/>
    </row>
    <row r="271" spans="2:17" x14ac:dyDescent="0.25">
      <c r="B271" s="8"/>
      <c r="C271" s="8"/>
      <c r="D271" s="15" t="s">
        <v>192</v>
      </c>
      <c r="E271" s="1165" t="str">
        <f>Translations!$B$1058</f>
        <v>Volume of total production of hydrogen (uncorrected)</v>
      </c>
      <c r="F271" s="1176"/>
      <c r="G271" s="1176"/>
      <c r="H271" s="1176"/>
      <c r="I271" s="1176"/>
      <c r="J271" s="1176"/>
      <c r="K271" s="1176"/>
      <c r="L271" s="1176"/>
      <c r="M271" s="1176"/>
      <c r="N271" s="1176"/>
      <c r="O271" s="8"/>
      <c r="P271" s="9"/>
    </row>
    <row r="272" spans="2:17" x14ac:dyDescent="0.25">
      <c r="B272" s="8"/>
      <c r="C272" s="8"/>
      <c r="D272" s="17"/>
      <c r="E272" s="1223" t="str">
        <f>Translations!$B$1059</f>
        <v>Please enter here the annual production data of hydrogen referred to historical hydrogen content in each year of the baseline period.</v>
      </c>
      <c r="F272" s="1176"/>
      <c r="G272" s="1176"/>
      <c r="H272" s="1176"/>
      <c r="I272" s="1176"/>
      <c r="J272" s="1176"/>
      <c r="K272" s="1176"/>
      <c r="L272" s="1176"/>
      <c r="M272" s="1176"/>
      <c r="N272" s="1176"/>
      <c r="O272" s="8"/>
      <c r="P272" s="9"/>
    </row>
    <row r="273" spans="2:22" ht="13.8" thickBot="1" x14ac:dyDescent="0.3">
      <c r="B273" s="8"/>
      <c r="C273" s="8"/>
      <c r="D273" s="17"/>
      <c r="E273" s="1378" t="str">
        <f>Translations!$B$1060</f>
        <v>Due to the very big figures for m3, the figures are to be entered as 1000 Nm3 (norm cubic meters referring to 0°C and 101.325 kPa).</v>
      </c>
      <c r="F273" s="1176"/>
      <c r="G273" s="1176"/>
      <c r="H273" s="1176"/>
      <c r="I273" s="1176"/>
      <c r="J273" s="1176"/>
      <c r="K273" s="1176"/>
      <c r="L273" s="1176"/>
      <c r="M273" s="1176"/>
      <c r="N273" s="1176"/>
      <c r="O273" s="8"/>
      <c r="P273" s="9"/>
      <c r="V273" s="145" t="s">
        <v>394</v>
      </c>
    </row>
    <row r="274" spans="2:22" x14ac:dyDescent="0.25">
      <c r="B274" s="17"/>
      <c r="C274" s="17"/>
      <c r="D274" s="15"/>
      <c r="E274" s="22"/>
      <c r="F274" s="78"/>
      <c r="G274" s="78"/>
      <c r="H274" s="23" t="str">
        <f>EUconst_Unit</f>
        <v>Unit</v>
      </c>
      <c r="I274" s="149">
        <f>I$391</f>
        <v>2019</v>
      </c>
      <c r="J274" s="149">
        <f>J$391</f>
        <v>2020</v>
      </c>
      <c r="K274" s="149">
        <f>K$391</f>
        <v>2021</v>
      </c>
      <c r="L274" s="149">
        <f>L$391</f>
        <v>2022</v>
      </c>
      <c r="M274" s="394">
        <f>M$391</f>
        <v>2023</v>
      </c>
      <c r="N274" s="376" t="str">
        <f>IF(L267&lt;&gt;EUconst_Relevant,"",IF(T274,YEAR(INDEX(CNTR_SubInstStartDate,MATCH(Q267,CNTR_SubInstListBMnumbers,0)))+1,""))</f>
        <v/>
      </c>
      <c r="O274" s="8"/>
      <c r="S274" s="124" t="s">
        <v>304</v>
      </c>
      <c r="T274" s="626" t="str">
        <f>IF(L267&lt;&gt;EUconst_Relevant,"",INDEX(CNTR_SubInstLess1Year,MATCH(Q267,CNTR_SubInstListBMnumbers,0)))</f>
        <v/>
      </c>
      <c r="V274" s="284" t="b">
        <f>IF(CNTR_ExistSubInstEntries,IF(L267=EUconst_Relevant,NOT(T274),TRUE),FALSE)</f>
        <v>0</v>
      </c>
    </row>
    <row r="275" spans="2:22" ht="13.8" thickBot="1" x14ac:dyDescent="0.3">
      <c r="B275" s="17"/>
      <c r="C275" s="17"/>
      <c r="D275" s="17"/>
      <c r="E275" s="1412" t="str">
        <f>Translations!$B$1061</f>
        <v>Total hydrogen production</v>
      </c>
      <c r="F275" s="1412"/>
      <c r="G275" s="1412"/>
      <c r="H275" s="43" t="str">
        <f>EUconst_kNm3pa</f>
        <v>1000Nm3/year</v>
      </c>
      <c r="I275" s="293"/>
      <c r="J275" s="293"/>
      <c r="K275" s="293"/>
      <c r="L275" s="293"/>
      <c r="M275" s="931"/>
      <c r="N275" s="397"/>
      <c r="O275" s="8"/>
      <c r="V275" s="1000" t="b">
        <f>V274</f>
        <v>0</v>
      </c>
    </row>
    <row r="276" spans="2:22" ht="5.0999999999999996" customHeight="1" x14ac:dyDescent="0.25">
      <c r="B276" s="8"/>
      <c r="C276" s="8"/>
      <c r="D276" s="8"/>
      <c r="E276" s="8"/>
      <c r="F276" s="8"/>
      <c r="G276" s="8"/>
      <c r="H276" s="8"/>
      <c r="I276" s="8"/>
      <c r="J276" s="8"/>
      <c r="K276" s="8"/>
      <c r="L276" s="8"/>
      <c r="M276" s="8"/>
      <c r="N276" s="8"/>
      <c r="O276" s="8"/>
      <c r="P276" s="9"/>
    </row>
    <row r="277" spans="2:22" x14ac:dyDescent="0.25">
      <c r="B277" s="8"/>
      <c r="C277" s="8"/>
      <c r="D277" s="15" t="s">
        <v>195</v>
      </c>
      <c r="E277" s="1165" t="str">
        <f>Translations!$B$1062</f>
        <v>Hydrogen volume fraction VF(H2)</v>
      </c>
      <c r="F277" s="1176"/>
      <c r="G277" s="1176"/>
      <c r="H277" s="1176"/>
      <c r="I277" s="1176"/>
      <c r="J277" s="1176"/>
      <c r="K277" s="1176"/>
      <c r="L277" s="1176"/>
      <c r="M277" s="1176"/>
      <c r="N277" s="1176"/>
      <c r="O277" s="8"/>
      <c r="P277" s="9"/>
    </row>
    <row r="278" spans="2:22" x14ac:dyDescent="0.25">
      <c r="B278" s="8"/>
      <c r="C278" s="8"/>
      <c r="D278" s="17"/>
      <c r="E278" s="1223" t="str">
        <f>Translations!$B$1063</f>
        <v>Please enter here the historical production volume fraction of pure hydrogen in each year of the baseline period. This is a dimensionless figure.</v>
      </c>
      <c r="F278" s="1176"/>
      <c r="G278" s="1176"/>
      <c r="H278" s="1176"/>
      <c r="I278" s="1176"/>
      <c r="J278" s="1176"/>
      <c r="K278" s="1176"/>
      <c r="L278" s="1176"/>
      <c r="M278" s="1176"/>
      <c r="N278" s="1176"/>
      <c r="O278" s="8"/>
      <c r="P278" s="9"/>
    </row>
    <row r="279" spans="2:22" ht="13.8" thickBot="1" x14ac:dyDescent="0.3">
      <c r="B279" s="8"/>
      <c r="C279" s="8"/>
      <c r="D279" s="17"/>
      <c r="E279" s="1223" t="str">
        <f>Translations!$B$1064</f>
        <v xml:space="preserve">You can enter the figure of 95% either as "0.95" or as "95%". </v>
      </c>
      <c r="F279" s="1176"/>
      <c r="G279" s="1176"/>
      <c r="H279" s="1176"/>
      <c r="I279" s="1176"/>
      <c r="J279" s="1176"/>
      <c r="K279" s="1176"/>
      <c r="L279" s="1176"/>
      <c r="M279" s="1176"/>
      <c r="N279" s="1176"/>
      <c r="O279" s="8"/>
      <c r="P279" s="9"/>
    </row>
    <row r="280" spans="2:22" x14ac:dyDescent="0.25">
      <c r="B280" s="17"/>
      <c r="C280" s="17"/>
      <c r="D280" s="15"/>
      <c r="E280" s="22"/>
      <c r="F280" s="78"/>
      <c r="G280" s="78"/>
      <c r="H280" s="23" t="str">
        <f>EUconst_Unit</f>
        <v>Unit</v>
      </c>
      <c r="I280" s="149">
        <f>I$391</f>
        <v>2019</v>
      </c>
      <c r="J280" s="149">
        <f>J$391</f>
        <v>2020</v>
      </c>
      <c r="K280" s="149">
        <f>K$391</f>
        <v>2021</v>
      </c>
      <c r="L280" s="149">
        <f>L$391</f>
        <v>2022</v>
      </c>
      <c r="M280" s="394">
        <f>M$391</f>
        <v>2023</v>
      </c>
      <c r="N280" s="376" t="str">
        <f>N274</f>
        <v/>
      </c>
      <c r="O280" s="8"/>
      <c r="V280" s="391" t="b">
        <f>V275</f>
        <v>0</v>
      </c>
    </row>
    <row r="281" spans="2:22" ht="13.8" thickBot="1" x14ac:dyDescent="0.3">
      <c r="B281" s="17"/>
      <c r="C281" s="17"/>
      <c r="D281" s="17"/>
      <c r="E281" s="1412" t="str">
        <f>Translations!$B$1065</f>
        <v>Volume fraction of hydrogen</v>
      </c>
      <c r="F281" s="1412"/>
      <c r="G281" s="1412"/>
      <c r="H281" s="151" t="s">
        <v>214</v>
      </c>
      <c r="I281" s="1001"/>
      <c r="J281" s="1001"/>
      <c r="K281" s="1001"/>
      <c r="L281" s="1001"/>
      <c r="M281" s="1002"/>
      <c r="N281" s="1003"/>
      <c r="O281" s="8"/>
      <c r="V281" s="286" t="b">
        <f>V280</f>
        <v>0</v>
      </c>
    </row>
    <row r="282" spans="2:22" ht="5.0999999999999996" customHeight="1" x14ac:dyDescent="0.25">
      <c r="B282" s="8"/>
      <c r="C282" s="8"/>
      <c r="D282" s="8"/>
      <c r="E282" s="8"/>
      <c r="F282" s="8"/>
      <c r="G282" s="8"/>
      <c r="H282" s="8"/>
      <c r="I282" s="8"/>
      <c r="J282" s="8"/>
      <c r="K282" s="8"/>
      <c r="L282" s="8"/>
      <c r="M282" s="8"/>
      <c r="N282" s="8"/>
      <c r="O282" s="8"/>
      <c r="P282" s="9"/>
    </row>
    <row r="283" spans="2:22" x14ac:dyDescent="0.25">
      <c r="B283" s="8"/>
      <c r="C283" s="8"/>
      <c r="D283" s="15" t="s">
        <v>197</v>
      </c>
      <c r="E283" s="1165" t="str">
        <f>Translations!$B$1066</f>
        <v>Result: Activity levels for hydrogen referred to as tonnes 100% H2</v>
      </c>
      <c r="F283" s="1176"/>
      <c r="G283" s="1176"/>
      <c r="H283" s="1176"/>
      <c r="I283" s="1176"/>
      <c r="J283" s="1176"/>
      <c r="K283" s="1176"/>
      <c r="L283" s="1176"/>
      <c r="M283" s="1176"/>
      <c r="N283" s="1176"/>
      <c r="O283" s="8"/>
      <c r="P283" s="9"/>
    </row>
    <row r="284" spans="2:22" x14ac:dyDescent="0.25">
      <c r="B284" s="8"/>
      <c r="C284" s="8"/>
      <c r="D284" s="17"/>
      <c r="E284" s="1223" t="s">
        <v>518</v>
      </c>
      <c r="F284" s="1176"/>
      <c r="G284" s="1176"/>
      <c r="H284" s="1176"/>
      <c r="I284" s="1176"/>
      <c r="J284" s="1176"/>
      <c r="K284" s="1176"/>
      <c r="L284" s="1176"/>
      <c r="M284" s="1176"/>
      <c r="N284" s="1176"/>
      <c r="O284" s="8"/>
      <c r="P284" s="9"/>
    </row>
    <row r="285" spans="2:22" x14ac:dyDescent="0.25">
      <c r="B285" s="8"/>
      <c r="C285" s="8"/>
      <c r="D285" s="17"/>
      <c r="E285" s="1223" t="str">
        <f>Translations!$B$1068</f>
        <v>If the formula results in a negative value, it is replaced by zero.</v>
      </c>
      <c r="F285" s="1176"/>
      <c r="G285" s="1176"/>
      <c r="H285" s="1176"/>
      <c r="I285" s="1176"/>
      <c r="J285" s="1176"/>
      <c r="K285" s="1176"/>
      <c r="L285" s="1176"/>
      <c r="M285" s="1176"/>
      <c r="N285" s="1176"/>
      <c r="O285" s="8"/>
      <c r="P285" s="9"/>
    </row>
    <row r="286" spans="2:22" ht="13.8" thickBot="1" x14ac:dyDescent="0.3">
      <c r="B286" s="8"/>
      <c r="C286" s="8"/>
      <c r="D286" s="17"/>
      <c r="E286" s="1223" t="str">
        <f>Translations!$B$982</f>
        <v>The result of this tool is used in sheet "F_ProductBM", input line (a).ii of the appropriate sub-installation, from which the average is calculated.</v>
      </c>
      <c r="F286" s="1176"/>
      <c r="G286" s="1176"/>
      <c r="H286" s="1176"/>
      <c r="I286" s="1176"/>
      <c r="J286" s="1176"/>
      <c r="K286" s="1176"/>
      <c r="L286" s="1176"/>
      <c r="M286" s="1176"/>
      <c r="N286" s="1176"/>
      <c r="O286" s="8"/>
      <c r="P286" s="9"/>
    </row>
    <row r="287" spans="2:22" x14ac:dyDescent="0.25">
      <c r="B287" s="17"/>
      <c r="C287" s="17"/>
      <c r="D287" s="15"/>
      <c r="E287" s="78"/>
      <c r="F287" s="78"/>
      <c r="G287" s="78"/>
      <c r="H287" s="23" t="str">
        <f>EUconst_Unit</f>
        <v>Unit</v>
      </c>
      <c r="I287" s="149">
        <f>I$391</f>
        <v>2019</v>
      </c>
      <c r="J287" s="149">
        <f>J$391</f>
        <v>2020</v>
      </c>
      <c r="K287" s="149">
        <f>K$391</f>
        <v>2021</v>
      </c>
      <c r="L287" s="149">
        <f>L$391</f>
        <v>2022</v>
      </c>
      <c r="M287" s="394">
        <f>M$391</f>
        <v>2023</v>
      </c>
      <c r="N287" s="376" t="str">
        <f>N280</f>
        <v/>
      </c>
      <c r="O287" s="8"/>
      <c r="V287" s="391" t="b">
        <f>V281</f>
        <v>0</v>
      </c>
    </row>
    <row r="288" spans="2:22" ht="13.8" thickBot="1" x14ac:dyDescent="0.3">
      <c r="B288" s="17"/>
      <c r="C288" s="17"/>
      <c r="D288" s="17"/>
      <c r="E288" s="1412" t="str">
        <f>Translations!$B$1069</f>
        <v>Hydrogen (as 100% pure H2)</v>
      </c>
      <c r="F288" s="1412"/>
      <c r="G288" s="1412"/>
      <c r="H288" s="43" t="str">
        <f>EUconst_tpa</f>
        <v>t / year</v>
      </c>
      <c r="I288" s="818" t="str">
        <f t="shared" ref="I288:N288" si="12">IF(AND(ISNUMBER(I275),ISNUMBER(I281)),IF((I275*0.08987*(1-(1-I281)/0.4027)&gt;0),I275*0.08987*(1-(1-I281)/0.4027),0),"")</f>
        <v/>
      </c>
      <c r="J288" s="818" t="str">
        <f t="shared" si="12"/>
        <v/>
      </c>
      <c r="K288" s="818" t="str">
        <f t="shared" si="12"/>
        <v/>
      </c>
      <c r="L288" s="818" t="str">
        <f t="shared" si="12"/>
        <v/>
      </c>
      <c r="M288" s="881" t="str">
        <f t="shared" si="12"/>
        <v/>
      </c>
      <c r="N288" s="1004" t="str">
        <f t="shared" si="12"/>
        <v/>
      </c>
      <c r="O288" s="8"/>
      <c r="P288" s="63" t="str">
        <f>IF(L267=EUconst_Relevant,EUconst_CNTR_HALspecial &amp; INDEX(EUconst_BMlistNames,Q267),"")</f>
        <v/>
      </c>
      <c r="V288" s="286" t="b">
        <f>V287</f>
        <v>0</v>
      </c>
    </row>
    <row r="289" spans="2:17" ht="5.0999999999999996" customHeight="1" x14ac:dyDescent="0.25">
      <c r="B289" s="8"/>
      <c r="C289" s="8"/>
      <c r="D289" s="8"/>
      <c r="E289" s="8"/>
      <c r="F289" s="8"/>
      <c r="G289" s="8"/>
      <c r="H289" s="8"/>
      <c r="I289" s="8"/>
      <c r="J289" s="8"/>
      <c r="K289" s="8"/>
      <c r="L289" s="8"/>
      <c r="M289" s="8"/>
      <c r="N289" s="8"/>
      <c r="O289" s="8"/>
      <c r="P289" s="9"/>
    </row>
    <row r="290" spans="2:17" x14ac:dyDescent="0.25">
      <c r="B290" s="8"/>
      <c r="C290" s="8"/>
      <c r="D290" s="8"/>
      <c r="E290" s="1647" t="str">
        <f>IF(L267=EUconst_Relevant,HYPERLINK(Q290,EUconst_MsgBackToSheetF),"")</f>
        <v/>
      </c>
      <c r="F290" s="1648"/>
      <c r="G290" s="1648"/>
      <c r="H290" s="1648"/>
      <c r="I290" s="1648"/>
      <c r="J290" s="1648"/>
      <c r="K290" s="1648"/>
      <c r="L290" s="1648"/>
      <c r="M290" s="1648"/>
      <c r="N290" s="1649"/>
      <c r="O290" s="8"/>
      <c r="P290" s="124" t="s">
        <v>486</v>
      </c>
      <c r="Q290" s="63" t="str">
        <f>Q269</f>
        <v/>
      </c>
    </row>
    <row r="291" spans="2:17" x14ac:dyDescent="0.25">
      <c r="B291" s="17"/>
      <c r="C291" s="17"/>
      <c r="D291" s="17"/>
      <c r="E291" s="17"/>
      <c r="F291" s="17"/>
      <c r="G291" s="17"/>
      <c r="H291" s="17"/>
      <c r="I291" s="17"/>
      <c r="J291" s="17"/>
      <c r="K291" s="17"/>
      <c r="L291" s="17"/>
      <c r="M291" s="17"/>
      <c r="N291" s="17"/>
      <c r="O291" s="8"/>
    </row>
    <row r="292" spans="2:17" ht="15.6" x14ac:dyDescent="0.3">
      <c r="B292" s="8"/>
      <c r="C292" s="13" t="s">
        <v>15</v>
      </c>
      <c r="D292" s="1175" t="str">
        <f>Translations!$B$1070</f>
        <v>Synthesis gas</v>
      </c>
      <c r="E292" s="1175"/>
      <c r="F292" s="1175"/>
      <c r="G292" s="1175"/>
      <c r="H292" s="1175"/>
      <c r="I292" s="1175"/>
      <c r="J292" s="1175"/>
      <c r="K292" s="1175"/>
      <c r="L292" s="1175"/>
      <c r="M292" s="1175"/>
      <c r="N292" s="1175"/>
      <c r="O292" s="8"/>
      <c r="P292" s="9"/>
    </row>
    <row r="293" spans="2:17" ht="5.0999999999999996" customHeight="1" x14ac:dyDescent="0.25">
      <c r="B293" s="8"/>
      <c r="C293" s="8"/>
      <c r="D293" s="8"/>
      <c r="E293" s="8"/>
      <c r="F293" s="8"/>
      <c r="G293" s="8"/>
      <c r="H293" s="8"/>
      <c r="I293" s="8"/>
      <c r="J293" s="8"/>
      <c r="K293" s="8"/>
      <c r="L293" s="8"/>
      <c r="M293" s="8"/>
      <c r="N293" s="8"/>
      <c r="O293" s="8"/>
      <c r="P293" s="9"/>
    </row>
    <row r="294" spans="2:17" ht="13.8" x14ac:dyDescent="0.25">
      <c r="B294" s="8"/>
      <c r="C294" s="19"/>
      <c r="D294" s="1234" t="str">
        <f>Translations!$B$1071</f>
        <v>Tool for calculating the historical activity levels for synthesis gas sub-installations</v>
      </c>
      <c r="E294" s="1176"/>
      <c r="F294" s="1176"/>
      <c r="G294" s="1176"/>
      <c r="H294" s="1176"/>
      <c r="I294" s="1176"/>
      <c r="J294" s="1176"/>
      <c r="K294" s="1176"/>
      <c r="L294" s="1176"/>
      <c r="M294" s="1176"/>
      <c r="N294" s="1176"/>
      <c r="O294" s="8"/>
      <c r="P294" s="9"/>
    </row>
    <row r="295" spans="2:17" ht="5.0999999999999996" customHeight="1" x14ac:dyDescent="0.25">
      <c r="B295" s="8"/>
      <c r="C295" s="8"/>
      <c r="D295" s="8"/>
      <c r="E295" s="8"/>
      <c r="F295" s="8"/>
      <c r="G295" s="8"/>
      <c r="H295" s="8"/>
      <c r="I295" s="8"/>
      <c r="J295" s="8"/>
      <c r="K295" s="8"/>
      <c r="L295" s="8"/>
      <c r="M295" s="8"/>
      <c r="N295" s="8"/>
      <c r="O295" s="8"/>
      <c r="P295" s="9"/>
    </row>
    <row r="296" spans="2:17" x14ac:dyDescent="0.25">
      <c r="B296" s="8"/>
      <c r="C296" s="8"/>
      <c r="D296" s="17"/>
      <c r="E296" s="1223" t="s">
        <v>519</v>
      </c>
      <c r="F296" s="1176"/>
      <c r="G296" s="1176"/>
      <c r="H296" s="1176"/>
      <c r="I296" s="1176"/>
      <c r="J296" s="1176"/>
      <c r="K296" s="1176"/>
      <c r="L296" s="1176"/>
      <c r="M296" s="1176"/>
      <c r="N296" s="1176"/>
      <c r="O296" s="8"/>
      <c r="P296" s="9"/>
    </row>
    <row r="297" spans="2:17" x14ac:dyDescent="0.25">
      <c r="B297" s="8"/>
      <c r="C297" s="8"/>
      <c r="D297" s="17"/>
      <c r="E297" s="1223" t="str">
        <f>Translations!$B$907</f>
        <v>The result of this tool is automatically copied into sheet "F_ProductBM", input line "(a).ii" of the appropriate sub-installation.</v>
      </c>
      <c r="F297" s="1176"/>
      <c r="G297" s="1176"/>
      <c r="H297" s="1176"/>
      <c r="I297" s="1176"/>
      <c r="J297" s="1176"/>
      <c r="K297" s="1176"/>
      <c r="L297" s="1176"/>
      <c r="M297" s="1176"/>
      <c r="N297" s="1176"/>
      <c r="O297" s="8"/>
      <c r="P297" s="9"/>
    </row>
    <row r="298" spans="2:17" x14ac:dyDescent="0.25">
      <c r="B298" s="8"/>
      <c r="C298" s="8"/>
      <c r="D298" s="17"/>
      <c r="E298" s="1378" t="str">
        <f>Translations!$B$1073</f>
        <v>Please note that percentages for hydrogen content are to be expressed as Vol-%.</v>
      </c>
      <c r="F298" s="1176"/>
      <c r="G298" s="1176"/>
      <c r="H298" s="1176"/>
      <c r="I298" s="1176"/>
      <c r="J298" s="1176"/>
      <c r="K298" s="1176"/>
      <c r="L298" s="1176"/>
      <c r="M298" s="1176"/>
      <c r="N298" s="1176"/>
      <c r="O298" s="8"/>
      <c r="P298" s="9"/>
    </row>
    <row r="299" spans="2:17" ht="5.0999999999999996" customHeight="1" x14ac:dyDescent="0.25">
      <c r="B299" s="8"/>
      <c r="C299" s="8"/>
      <c r="D299" s="8"/>
      <c r="E299" s="8"/>
      <c r="F299" s="8"/>
      <c r="G299" s="8"/>
      <c r="H299" s="8"/>
      <c r="I299" s="8"/>
      <c r="J299" s="8"/>
      <c r="K299" s="8"/>
      <c r="L299" s="8"/>
      <c r="M299" s="8"/>
      <c r="N299" s="8"/>
      <c r="O299" s="8"/>
      <c r="P299" s="9"/>
    </row>
    <row r="300" spans="2:17" ht="13.8" x14ac:dyDescent="0.25">
      <c r="B300" s="8"/>
      <c r="C300" s="8"/>
      <c r="D300" s="15" t="s">
        <v>190</v>
      </c>
      <c r="E300" s="1165" t="str">
        <f>Translations!$B$908</f>
        <v>Relevance of this tool in your installation:</v>
      </c>
      <c r="F300" s="1165"/>
      <c r="G300" s="1165"/>
      <c r="H300" s="1165"/>
      <c r="I300" s="1165"/>
      <c r="J300" s="1165"/>
      <c r="K300" s="1425"/>
      <c r="L300" s="1650" t="str">
        <f>IF(CNTR_ExistSubInstEntries,IF(COUNTIF(CNTR_SubInstListNames,INDEX(EUconst_BMlistNames,Q300))&gt;0,EUconst_Relevant,EUconst_NotRelevant),"")</f>
        <v/>
      </c>
      <c r="M300" s="1651"/>
      <c r="N300" s="1652"/>
      <c r="O300" s="8"/>
      <c r="P300" s="124" t="s">
        <v>485</v>
      </c>
      <c r="Q300" s="115">
        <v>51</v>
      </c>
    </row>
    <row r="301" spans="2:17" x14ac:dyDescent="0.25">
      <c r="B301" s="8"/>
      <c r="C301" s="8"/>
      <c r="D301" s="17"/>
      <c r="E301" s="1211" t="str">
        <f>Translations!$B$909</f>
        <v>This message is automatically generated based on your inputs in sheet "A_InstallationData", section A.III.1.</v>
      </c>
      <c r="F301" s="1212"/>
      <c r="G301" s="1212"/>
      <c r="H301" s="1212"/>
      <c r="I301" s="1212"/>
      <c r="J301" s="1212"/>
      <c r="K301" s="1212"/>
      <c r="L301" s="1212"/>
      <c r="M301" s="1212"/>
      <c r="N301" s="1212"/>
      <c r="O301" s="8"/>
      <c r="P301" s="9"/>
    </row>
    <row r="302" spans="2:17" x14ac:dyDescent="0.25">
      <c r="B302" s="8"/>
      <c r="C302" s="8"/>
      <c r="D302" s="8"/>
      <c r="E302" s="1647" t="str">
        <f>IF(L300=EUconst_Relevant,HYPERLINK(Q302,EUconst_MsgBackToSheetF),"")</f>
        <v/>
      </c>
      <c r="F302" s="1648"/>
      <c r="G302" s="1648"/>
      <c r="H302" s="1648"/>
      <c r="I302" s="1648"/>
      <c r="J302" s="1648"/>
      <c r="K302" s="1648"/>
      <c r="L302" s="1648"/>
      <c r="M302" s="1648"/>
      <c r="N302" s="1649"/>
      <c r="O302" s="8"/>
      <c r="P302" s="124" t="s">
        <v>486</v>
      </c>
      <c r="Q302" s="63" t="str">
        <f>IF(ISNUMBER(MATCH(Q300,CNTR_SubInstListBMnumbers,0)),"#JUMP_F"&amp;MATCH(Q300,CNTR_SubInstListBMnumbers,0),"")</f>
        <v/>
      </c>
    </row>
    <row r="303" spans="2:17" ht="5.0999999999999996" customHeight="1" x14ac:dyDescent="0.25">
      <c r="B303" s="8"/>
      <c r="C303" s="8"/>
      <c r="D303" s="8"/>
      <c r="E303" s="8"/>
      <c r="F303" s="8"/>
      <c r="G303" s="8"/>
      <c r="H303" s="8"/>
      <c r="I303" s="8"/>
      <c r="J303" s="8"/>
      <c r="K303" s="8"/>
      <c r="L303" s="8"/>
      <c r="M303" s="8"/>
      <c r="N303" s="8"/>
      <c r="O303" s="8"/>
      <c r="P303" s="9"/>
    </row>
    <row r="304" spans="2:17" x14ac:dyDescent="0.25">
      <c r="B304" s="8"/>
      <c r="C304" s="8"/>
      <c r="D304" s="15" t="s">
        <v>192</v>
      </c>
      <c r="E304" s="1165" t="str">
        <f>Translations!$B$1074</f>
        <v>Volume of total production of synthesis gas (uncorrected)</v>
      </c>
      <c r="F304" s="1176"/>
      <c r="G304" s="1176"/>
      <c r="H304" s="1176"/>
      <c r="I304" s="1176"/>
      <c r="J304" s="1176"/>
      <c r="K304" s="1176"/>
      <c r="L304" s="1176"/>
      <c r="M304" s="1176"/>
      <c r="N304" s="1176"/>
      <c r="O304" s="8"/>
      <c r="P304" s="9"/>
    </row>
    <row r="305" spans="2:22" x14ac:dyDescent="0.25">
      <c r="B305" s="8"/>
      <c r="C305" s="8"/>
      <c r="D305" s="17"/>
      <c r="E305" s="1223" t="str">
        <f>Translations!$B$1075</f>
        <v>Please enter here the annual production data of synthesis gas referred to historical hydrogen content in each year of the baseline period.</v>
      </c>
      <c r="F305" s="1176"/>
      <c r="G305" s="1176"/>
      <c r="H305" s="1176"/>
      <c r="I305" s="1176"/>
      <c r="J305" s="1176"/>
      <c r="K305" s="1176"/>
      <c r="L305" s="1176"/>
      <c r="M305" s="1176"/>
      <c r="N305" s="1176"/>
      <c r="O305" s="8"/>
      <c r="P305" s="9"/>
    </row>
    <row r="306" spans="2:22" ht="13.8" thickBot="1" x14ac:dyDescent="0.3">
      <c r="B306" s="8"/>
      <c r="C306" s="8"/>
      <c r="D306" s="17"/>
      <c r="E306" s="1378" t="str">
        <f>Translations!$B$1060</f>
        <v>Due to the very big figures for m3, the figures are to be entered as 1000 Nm3 (norm cubic meters referring to 0°C and 101.325 kPa).</v>
      </c>
      <c r="F306" s="1176"/>
      <c r="G306" s="1176"/>
      <c r="H306" s="1176"/>
      <c r="I306" s="1176"/>
      <c r="J306" s="1176"/>
      <c r="K306" s="1176"/>
      <c r="L306" s="1176"/>
      <c r="M306" s="1176"/>
      <c r="N306" s="1176"/>
      <c r="O306" s="8"/>
      <c r="P306" s="9"/>
      <c r="V306" s="145" t="s">
        <v>394</v>
      </c>
    </row>
    <row r="307" spans="2:22" x14ac:dyDescent="0.25">
      <c r="B307" s="17"/>
      <c r="C307" s="17"/>
      <c r="D307" s="15"/>
      <c r="E307" s="22"/>
      <c r="F307" s="78"/>
      <c r="G307" s="78"/>
      <c r="H307" s="23" t="str">
        <f>EUconst_Unit</f>
        <v>Unit</v>
      </c>
      <c r="I307" s="149">
        <f>I$391</f>
        <v>2019</v>
      </c>
      <c r="J307" s="149">
        <f>J$391</f>
        <v>2020</v>
      </c>
      <c r="K307" s="149">
        <f>K$391</f>
        <v>2021</v>
      </c>
      <c r="L307" s="149">
        <f>L$391</f>
        <v>2022</v>
      </c>
      <c r="M307" s="394">
        <f>M$391</f>
        <v>2023</v>
      </c>
      <c r="N307" s="376" t="str">
        <f>IF(L300&lt;&gt;EUconst_Relevant,"",IF(T307,YEAR(INDEX(CNTR_SubInstStartDate,MATCH(Q300,CNTR_SubInstListBMnumbers,0)))+1,""))</f>
        <v/>
      </c>
      <c r="O307" s="8"/>
      <c r="S307" s="124" t="s">
        <v>304</v>
      </c>
      <c r="T307" s="626" t="str">
        <f>IF(L300&lt;&gt;EUconst_Relevant,"",INDEX(CNTR_SubInstLess1Year,MATCH(Q300,CNTR_SubInstListBMnumbers,0)))</f>
        <v/>
      </c>
      <c r="V307" s="284" t="b">
        <f>IF(CNTR_ExistSubInstEntries,IF(L300=EUconst_Relevant,NOT(T307),TRUE),FALSE)</f>
        <v>0</v>
      </c>
    </row>
    <row r="308" spans="2:22" ht="13.8" thickBot="1" x14ac:dyDescent="0.3">
      <c r="B308" s="17"/>
      <c r="C308" s="17"/>
      <c r="D308" s="17"/>
      <c r="E308" s="1412" t="str">
        <f>Translations!$B$1076</f>
        <v>Total synthesis gas production</v>
      </c>
      <c r="F308" s="1412"/>
      <c r="G308" s="1412"/>
      <c r="H308" s="43" t="str">
        <f>EUconst_kNm3pa</f>
        <v>1000Nm3/year</v>
      </c>
      <c r="I308" s="293"/>
      <c r="J308" s="293"/>
      <c r="K308" s="293"/>
      <c r="L308" s="293"/>
      <c r="M308" s="931"/>
      <c r="N308" s="397"/>
      <c r="O308" s="8"/>
      <c r="V308" s="286" t="b">
        <f>V307</f>
        <v>0</v>
      </c>
    </row>
    <row r="309" spans="2:22" ht="5.0999999999999996" customHeight="1" x14ac:dyDescent="0.25">
      <c r="B309" s="8"/>
      <c r="C309" s="8"/>
      <c r="D309" s="8"/>
      <c r="E309" s="8"/>
      <c r="F309" s="8"/>
      <c r="G309" s="8"/>
      <c r="H309" s="8"/>
      <c r="I309" s="8"/>
      <c r="J309" s="8"/>
      <c r="K309" s="8"/>
      <c r="L309" s="8"/>
      <c r="M309" s="8"/>
      <c r="N309" s="8"/>
      <c r="O309" s="8"/>
      <c r="P309" s="9"/>
    </row>
    <row r="310" spans="2:22" x14ac:dyDescent="0.25">
      <c r="B310" s="8"/>
      <c r="C310" s="8"/>
      <c r="D310" s="15" t="s">
        <v>195</v>
      </c>
      <c r="E310" s="1165" t="str">
        <f>Translations!$B$1062</f>
        <v>Hydrogen volume fraction VF(H2)</v>
      </c>
      <c r="F310" s="1176"/>
      <c r="G310" s="1176"/>
      <c r="H310" s="1176"/>
      <c r="I310" s="1176"/>
      <c r="J310" s="1176"/>
      <c r="K310" s="1176"/>
      <c r="L310" s="1176"/>
      <c r="M310" s="1176"/>
      <c r="N310" s="1176"/>
      <c r="O310" s="8"/>
      <c r="P310" s="9"/>
    </row>
    <row r="311" spans="2:22" x14ac:dyDescent="0.25">
      <c r="B311" s="8"/>
      <c r="C311" s="8"/>
      <c r="D311" s="17"/>
      <c r="E311" s="1223" t="str">
        <f>Translations!$B$1063</f>
        <v>Please enter here the historical production volume fraction of pure hydrogen in each year of the baseline period. This is a dimensionless figure.</v>
      </c>
      <c r="F311" s="1176"/>
      <c r="G311" s="1176"/>
      <c r="H311" s="1176"/>
      <c r="I311" s="1176"/>
      <c r="J311" s="1176"/>
      <c r="K311" s="1176"/>
      <c r="L311" s="1176"/>
      <c r="M311" s="1176"/>
      <c r="N311" s="1176"/>
      <c r="O311" s="8"/>
      <c r="P311" s="9"/>
    </row>
    <row r="312" spans="2:22" ht="13.8" thickBot="1" x14ac:dyDescent="0.3">
      <c r="B312" s="8"/>
      <c r="C312" s="8"/>
      <c r="D312" s="17"/>
      <c r="E312" s="1223" t="str">
        <f>Translations!$B$1077</f>
        <v xml:space="preserve">You can enter the figure of 50% either as "0.50" or as "50%". </v>
      </c>
      <c r="F312" s="1176"/>
      <c r="G312" s="1176"/>
      <c r="H312" s="1176"/>
      <c r="I312" s="1176"/>
      <c r="J312" s="1176"/>
      <c r="K312" s="1176"/>
      <c r="L312" s="1176"/>
      <c r="M312" s="1176"/>
      <c r="N312" s="1176"/>
      <c r="O312" s="8"/>
      <c r="P312" s="9"/>
    </row>
    <row r="313" spans="2:22" x14ac:dyDescent="0.25">
      <c r="B313" s="17"/>
      <c r="C313" s="17"/>
      <c r="D313" s="15"/>
      <c r="E313" s="22"/>
      <c r="F313" s="78"/>
      <c r="G313" s="78"/>
      <c r="H313" s="23" t="str">
        <f>EUconst_Unit</f>
        <v>Unit</v>
      </c>
      <c r="I313" s="149">
        <f>I$391</f>
        <v>2019</v>
      </c>
      <c r="J313" s="149">
        <f>J$391</f>
        <v>2020</v>
      </c>
      <c r="K313" s="149">
        <f>K$391</f>
        <v>2021</v>
      </c>
      <c r="L313" s="149">
        <f>L$391</f>
        <v>2022</v>
      </c>
      <c r="M313" s="394">
        <f>M$391</f>
        <v>2023</v>
      </c>
      <c r="N313" s="376" t="str">
        <f>IF(L306&lt;&gt;EUconst_Relevant,"",IF(T313,YEAR(INDEX(CNTR_SubInstStartDate,MATCH(Q306,CNTR_SubInstListBMnumbers,0)))+1,""))</f>
        <v/>
      </c>
      <c r="O313" s="8"/>
      <c r="V313" s="391" t="b">
        <f>V308</f>
        <v>0</v>
      </c>
    </row>
    <row r="314" spans="2:22" ht="13.8" thickBot="1" x14ac:dyDescent="0.3">
      <c r="B314" s="17"/>
      <c r="C314" s="17"/>
      <c r="D314" s="17"/>
      <c r="E314" s="1412" t="str">
        <f>Translations!$B$1065</f>
        <v>Volume fraction of hydrogen</v>
      </c>
      <c r="F314" s="1412"/>
      <c r="G314" s="1412"/>
      <c r="H314" s="151" t="s">
        <v>214</v>
      </c>
      <c r="I314" s="1001"/>
      <c r="J314" s="1001"/>
      <c r="K314" s="1001"/>
      <c r="L314" s="1001"/>
      <c r="M314" s="1002"/>
      <c r="N314" s="1003"/>
      <c r="O314" s="8"/>
      <c r="V314" s="286" t="b">
        <f>V313</f>
        <v>0</v>
      </c>
    </row>
    <row r="315" spans="2:22" ht="5.0999999999999996" customHeight="1" x14ac:dyDescent="0.25">
      <c r="B315" s="8"/>
      <c r="C315" s="8"/>
      <c r="D315" s="8"/>
      <c r="E315" s="8"/>
      <c r="F315" s="8"/>
      <c r="G315" s="8"/>
      <c r="H315" s="8"/>
      <c r="I315" s="8"/>
      <c r="J315" s="8"/>
      <c r="K315" s="8"/>
      <c r="L315" s="8"/>
      <c r="M315" s="8"/>
      <c r="N315" s="8"/>
      <c r="O315" s="8"/>
      <c r="P315" s="9"/>
    </row>
    <row r="316" spans="2:22" x14ac:dyDescent="0.25">
      <c r="B316" s="8"/>
      <c r="C316" s="8"/>
      <c r="D316" s="15" t="s">
        <v>197</v>
      </c>
      <c r="E316" s="1165" t="str">
        <f>Translations!$B$1078</f>
        <v>Result: Activity levels for synthesis gas referred to as tonnes with 47% hydrogen content</v>
      </c>
      <c r="F316" s="1176"/>
      <c r="G316" s="1176"/>
      <c r="H316" s="1176"/>
      <c r="I316" s="1176"/>
      <c r="J316" s="1176"/>
      <c r="K316" s="1176"/>
      <c r="L316" s="1176"/>
      <c r="M316" s="1176"/>
      <c r="N316" s="1176"/>
      <c r="O316" s="8"/>
      <c r="P316" s="9"/>
    </row>
    <row r="317" spans="2:22" x14ac:dyDescent="0.25">
      <c r="B317" s="8"/>
      <c r="C317" s="8"/>
      <c r="D317" s="17"/>
      <c r="E317" s="1223" t="s">
        <v>520</v>
      </c>
      <c r="F317" s="1176"/>
      <c r="G317" s="1176"/>
      <c r="H317" s="1176"/>
      <c r="I317" s="1176"/>
      <c r="J317" s="1176"/>
      <c r="K317" s="1176"/>
      <c r="L317" s="1176"/>
      <c r="M317" s="1176"/>
      <c r="N317" s="1176"/>
      <c r="O317" s="8"/>
      <c r="P317" s="9"/>
    </row>
    <row r="318" spans="2:22" x14ac:dyDescent="0.25">
      <c r="B318" s="8"/>
      <c r="C318" s="8"/>
      <c r="D318" s="17"/>
      <c r="E318" s="1223" t="str">
        <f>Translations!$B$1068</f>
        <v>If the formula results in a negative value, it is replaced by zero.</v>
      </c>
      <c r="F318" s="1176"/>
      <c r="G318" s="1176"/>
      <c r="H318" s="1176"/>
      <c r="I318" s="1176"/>
      <c r="J318" s="1176"/>
      <c r="K318" s="1176"/>
      <c r="L318" s="1176"/>
      <c r="M318" s="1176"/>
      <c r="N318" s="1176"/>
      <c r="O318" s="8"/>
      <c r="P318" s="9"/>
    </row>
    <row r="319" spans="2:22" ht="13.8" thickBot="1" x14ac:dyDescent="0.3">
      <c r="B319" s="8"/>
      <c r="C319" s="8"/>
      <c r="D319" s="17"/>
      <c r="E319" s="1223" t="str">
        <f>Translations!$B$982</f>
        <v>The result of this tool is used in sheet "F_ProductBM", input line (a).ii of the appropriate sub-installation, from which the average is calculated.</v>
      </c>
      <c r="F319" s="1176"/>
      <c r="G319" s="1176"/>
      <c r="H319" s="1176"/>
      <c r="I319" s="1176"/>
      <c r="J319" s="1176"/>
      <c r="K319" s="1176"/>
      <c r="L319" s="1176"/>
      <c r="M319" s="1176"/>
      <c r="N319" s="1176"/>
      <c r="O319" s="8"/>
      <c r="P319" s="9"/>
    </row>
    <row r="320" spans="2:22" x14ac:dyDescent="0.25">
      <c r="B320" s="17"/>
      <c r="C320" s="17"/>
      <c r="D320" s="15"/>
      <c r="E320" s="78"/>
      <c r="F320" s="78"/>
      <c r="G320" s="78"/>
      <c r="H320" s="23" t="str">
        <f>EUconst_Unit</f>
        <v>Unit</v>
      </c>
      <c r="I320" s="149">
        <f>I$391</f>
        <v>2019</v>
      </c>
      <c r="J320" s="149">
        <f>J$391</f>
        <v>2020</v>
      </c>
      <c r="K320" s="149">
        <f>K$391</f>
        <v>2021</v>
      </c>
      <c r="L320" s="149">
        <f>L$391</f>
        <v>2022</v>
      </c>
      <c r="M320" s="394">
        <f>M$391</f>
        <v>2023</v>
      </c>
      <c r="N320" s="376" t="str">
        <f>IF(L313&lt;&gt;EUconst_Relevant,"",IF(T320,YEAR(INDEX(CNTR_SubInstStartDate,MATCH(Q313,CNTR_SubInstListBMnumbers,0)))+1,""))</f>
        <v/>
      </c>
      <c r="O320" s="8"/>
      <c r="V320" s="391" t="b">
        <f>V314</f>
        <v>0</v>
      </c>
    </row>
    <row r="321" spans="2:22" ht="13.8" thickBot="1" x14ac:dyDescent="0.3">
      <c r="B321" s="17"/>
      <c r="C321" s="17"/>
      <c r="D321" s="17"/>
      <c r="E321" s="1412" t="str">
        <f>Translations!$B$1080</f>
        <v>Synthesis gas (47% H2 content)</v>
      </c>
      <c r="F321" s="1412"/>
      <c r="G321" s="1412"/>
      <c r="H321" s="43" t="str">
        <f>EUconst_tpa</f>
        <v>t / year</v>
      </c>
      <c r="I321" s="818" t="str">
        <f t="shared" ref="I321:N321" si="13">IF(AND(ISNUMBER(I308),ISNUMBER(I314)),IF((I308*0.7047*(1-(0.47-I314)/0.0863))&gt;0,I308*0.7047*(1-(0.47-I314)/0.0863),0),"")</f>
        <v/>
      </c>
      <c r="J321" s="818" t="str">
        <f t="shared" si="13"/>
        <v/>
      </c>
      <c r="K321" s="818" t="str">
        <f t="shared" si="13"/>
        <v/>
      </c>
      <c r="L321" s="818" t="str">
        <f t="shared" si="13"/>
        <v/>
      </c>
      <c r="M321" s="881" t="str">
        <f t="shared" si="13"/>
        <v/>
      </c>
      <c r="N321" s="1004" t="str">
        <f t="shared" si="13"/>
        <v/>
      </c>
      <c r="O321" s="8"/>
      <c r="P321" s="63" t="str">
        <f>IF(L300=EUconst_Relevant,EUconst_CNTR_HALspecial &amp; INDEX(EUconst_BMlistNames,Q300),"")</f>
        <v/>
      </c>
      <c r="V321" s="286" t="b">
        <f>V320</f>
        <v>0</v>
      </c>
    </row>
    <row r="322" spans="2:22" ht="5.0999999999999996" customHeight="1" x14ac:dyDescent="0.25">
      <c r="B322" s="8"/>
      <c r="C322" s="8"/>
      <c r="D322" s="8"/>
      <c r="E322" s="8"/>
      <c r="F322" s="8"/>
      <c r="G322" s="8"/>
      <c r="H322" s="8"/>
      <c r="I322" s="8"/>
      <c r="J322" s="8"/>
      <c r="K322" s="8"/>
      <c r="L322" s="8"/>
      <c r="M322" s="8"/>
      <c r="N322" s="8"/>
      <c r="O322" s="8"/>
      <c r="P322" s="9"/>
    </row>
    <row r="323" spans="2:22" x14ac:dyDescent="0.25">
      <c r="B323" s="8"/>
      <c r="C323" s="8"/>
      <c r="D323" s="8"/>
      <c r="E323" s="1647" t="str">
        <f>IF(L300=EUconst_Relevant,HYPERLINK(Q323,EUconst_MsgBackToSheetF),"")</f>
        <v/>
      </c>
      <c r="F323" s="1648"/>
      <c r="G323" s="1648"/>
      <c r="H323" s="1648"/>
      <c r="I323" s="1648"/>
      <c r="J323" s="1648"/>
      <c r="K323" s="1648"/>
      <c r="L323" s="1648"/>
      <c r="M323" s="1648"/>
      <c r="N323" s="1649"/>
      <c r="O323" s="8"/>
      <c r="P323" s="124" t="s">
        <v>486</v>
      </c>
      <c r="Q323" s="63" t="str">
        <f>Q302</f>
        <v/>
      </c>
    </row>
    <row r="324" spans="2:22" x14ac:dyDescent="0.25">
      <c r="B324" s="17"/>
      <c r="C324" s="17"/>
      <c r="D324" s="17"/>
      <c r="E324" s="17"/>
      <c r="F324" s="17"/>
      <c r="G324" s="17"/>
      <c r="H324" s="17"/>
      <c r="I324" s="17"/>
      <c r="J324" s="17"/>
      <c r="K324" s="17"/>
      <c r="L324" s="17"/>
      <c r="M324" s="17"/>
      <c r="N324" s="17"/>
      <c r="O324" s="8"/>
    </row>
    <row r="325" spans="2:22" ht="15.6" x14ac:dyDescent="0.3">
      <c r="B325" s="8"/>
      <c r="C325" s="13" t="s">
        <v>16</v>
      </c>
      <c r="D325" s="1175" t="str">
        <f>Translations!$B$1081</f>
        <v>Ethylene oxide / glycols</v>
      </c>
      <c r="E325" s="1175"/>
      <c r="F325" s="1175"/>
      <c r="G325" s="1175"/>
      <c r="H325" s="1175"/>
      <c r="I325" s="1175"/>
      <c r="J325" s="1175"/>
      <c r="K325" s="1175"/>
      <c r="L325" s="1175"/>
      <c r="M325" s="1175"/>
      <c r="N325" s="1175"/>
      <c r="O325" s="8"/>
      <c r="P325" s="9"/>
    </row>
    <row r="326" spans="2:22" ht="5.0999999999999996" customHeight="1" x14ac:dyDescent="0.25">
      <c r="B326" s="8"/>
      <c r="C326" s="8"/>
      <c r="D326" s="8"/>
      <c r="E326" s="8"/>
      <c r="F326" s="8"/>
      <c r="G326" s="8"/>
      <c r="H326" s="8"/>
      <c r="I326" s="8"/>
      <c r="J326" s="8"/>
      <c r="K326" s="8"/>
      <c r="L326" s="8"/>
      <c r="M326" s="8"/>
      <c r="N326" s="8"/>
      <c r="O326" s="8"/>
      <c r="P326" s="9"/>
    </row>
    <row r="327" spans="2:22" ht="13.8" x14ac:dyDescent="0.25">
      <c r="B327" s="8"/>
      <c r="C327" s="19"/>
      <c r="D327" s="1234" t="str">
        <f>Translations!$B$1082</f>
        <v>Tool for calculating the historical activity levels for ethylene oxide / ethylene glycols sub-installations</v>
      </c>
      <c r="E327" s="1176"/>
      <c r="F327" s="1176"/>
      <c r="G327" s="1176"/>
      <c r="H327" s="1176"/>
      <c r="I327" s="1176"/>
      <c r="J327" s="1176"/>
      <c r="K327" s="1176"/>
      <c r="L327" s="1176"/>
      <c r="M327" s="1176"/>
      <c r="N327" s="1176"/>
      <c r="O327" s="8"/>
      <c r="P327" s="9"/>
    </row>
    <row r="328" spans="2:22" ht="5.0999999999999996" customHeight="1" x14ac:dyDescent="0.25">
      <c r="B328" s="8"/>
      <c r="C328" s="8"/>
      <c r="D328" s="8"/>
      <c r="E328" s="8"/>
      <c r="F328" s="8"/>
      <c r="G328" s="8"/>
      <c r="H328" s="8"/>
      <c r="I328" s="8"/>
      <c r="J328" s="8"/>
      <c r="K328" s="8"/>
      <c r="L328" s="8"/>
      <c r="M328" s="8"/>
      <c r="N328" s="8"/>
      <c r="O328" s="8"/>
      <c r="P328" s="9"/>
    </row>
    <row r="329" spans="2:22" x14ac:dyDescent="0.25">
      <c r="B329" s="8"/>
      <c r="C329" s="8"/>
      <c r="D329" s="17"/>
      <c r="E329" s="1223" t="s">
        <v>521</v>
      </c>
      <c r="F329" s="1176"/>
      <c r="G329" s="1176"/>
      <c r="H329" s="1176"/>
      <c r="I329" s="1176"/>
      <c r="J329" s="1176"/>
      <c r="K329" s="1176"/>
      <c r="L329" s="1176"/>
      <c r="M329" s="1176"/>
      <c r="N329" s="1176"/>
      <c r="O329" s="8"/>
      <c r="P329" s="9"/>
    </row>
    <row r="330" spans="2:22" x14ac:dyDescent="0.25">
      <c r="B330" s="8"/>
      <c r="C330" s="8"/>
      <c r="D330" s="17"/>
      <c r="E330" s="1223" t="str">
        <f>Translations!$B$907</f>
        <v>The result of this tool is automatically copied into sheet "F_ProductBM", input line "(a).ii" of the appropriate sub-installation.</v>
      </c>
      <c r="F330" s="1176"/>
      <c r="G330" s="1176"/>
      <c r="H330" s="1176"/>
      <c r="I330" s="1176"/>
      <c r="J330" s="1176"/>
      <c r="K330" s="1176"/>
      <c r="L330" s="1176"/>
      <c r="M330" s="1176"/>
      <c r="N330" s="1176"/>
      <c r="O330" s="8"/>
      <c r="P330" s="9"/>
    </row>
    <row r="331" spans="2:22" ht="5.0999999999999996" customHeight="1" x14ac:dyDescent="0.25">
      <c r="B331" s="8"/>
      <c r="C331" s="8"/>
      <c r="D331" s="8"/>
      <c r="E331" s="8"/>
      <c r="F331" s="8"/>
      <c r="G331" s="8"/>
      <c r="H331" s="8"/>
      <c r="I331" s="8"/>
      <c r="J331" s="8"/>
      <c r="K331" s="8"/>
      <c r="L331" s="8"/>
      <c r="M331" s="8"/>
      <c r="N331" s="8"/>
      <c r="O331" s="8"/>
      <c r="P331" s="9"/>
    </row>
    <row r="332" spans="2:22" ht="13.8" x14ac:dyDescent="0.25">
      <c r="B332" s="8"/>
      <c r="C332" s="8"/>
      <c r="D332" s="15" t="s">
        <v>190</v>
      </c>
      <c r="E332" s="1165" t="str">
        <f>Translations!$B$908</f>
        <v>Relevance of this tool in your installation:</v>
      </c>
      <c r="F332" s="1165"/>
      <c r="G332" s="1165"/>
      <c r="H332" s="1165"/>
      <c r="I332" s="1165"/>
      <c r="J332" s="1165"/>
      <c r="K332" s="1425"/>
      <c r="L332" s="1650" t="str">
        <f>IF(CNTR_ExistSubInstEntries,IF(COUNTIF(CNTR_SubInstListNames,INDEX(EUconst_BMlistNames,Q332))&gt;0,EUconst_Relevant,EUconst_NotRelevant),"")</f>
        <v/>
      </c>
      <c r="M332" s="1651"/>
      <c r="N332" s="1652"/>
      <c r="O332" s="8"/>
      <c r="P332" s="124" t="s">
        <v>485</v>
      </c>
      <c r="Q332" s="115">
        <v>46</v>
      </c>
    </row>
    <row r="333" spans="2:22" x14ac:dyDescent="0.25">
      <c r="B333" s="8"/>
      <c r="C333" s="8"/>
      <c r="D333" s="17"/>
      <c r="E333" s="1211" t="str">
        <f>Translations!$B$909</f>
        <v>This message is automatically generated based on your inputs in sheet "A_InstallationData", section A.III.1.</v>
      </c>
      <c r="F333" s="1212"/>
      <c r="G333" s="1212"/>
      <c r="H333" s="1212"/>
      <c r="I333" s="1212"/>
      <c r="J333" s="1212"/>
      <c r="K333" s="1212"/>
      <c r="L333" s="1212"/>
      <c r="M333" s="1212"/>
      <c r="N333" s="1212"/>
      <c r="O333" s="8"/>
      <c r="P333" s="9"/>
    </row>
    <row r="334" spans="2:22" x14ac:dyDescent="0.25">
      <c r="B334" s="8"/>
      <c r="C334" s="8"/>
      <c r="D334" s="8"/>
      <c r="E334" s="1647" t="str">
        <f>IF(L332=EUconst_Relevant,HYPERLINK(Q334,EUconst_MsgBackToSheetF),"")</f>
        <v/>
      </c>
      <c r="F334" s="1648"/>
      <c r="G334" s="1648"/>
      <c r="H334" s="1648"/>
      <c r="I334" s="1648"/>
      <c r="J334" s="1648"/>
      <c r="K334" s="1648"/>
      <c r="L334" s="1648"/>
      <c r="M334" s="1648"/>
      <c r="N334" s="1649"/>
      <c r="O334" s="8"/>
      <c r="P334" s="124" t="s">
        <v>486</v>
      </c>
      <c r="Q334" s="63" t="str">
        <f>IF(ISNUMBER(MATCH(Q332,CNTR_SubInstListBMnumbers,0)),"#JUMP_F"&amp;MATCH(Q332,CNTR_SubInstListBMnumbers,0),"")</f>
        <v/>
      </c>
    </row>
    <row r="335" spans="2:22" ht="5.0999999999999996" customHeight="1" x14ac:dyDescent="0.25">
      <c r="B335" s="8"/>
      <c r="C335" s="8"/>
      <c r="D335" s="8"/>
      <c r="E335" s="8"/>
      <c r="F335" s="8"/>
      <c r="G335" s="8"/>
      <c r="H335" s="8"/>
      <c r="I335" s="8"/>
      <c r="J335" s="8"/>
      <c r="K335" s="8"/>
      <c r="L335" s="8"/>
      <c r="M335" s="8"/>
      <c r="N335" s="8"/>
      <c r="O335" s="8"/>
      <c r="P335" s="9"/>
    </row>
    <row r="336" spans="2:22" x14ac:dyDescent="0.25">
      <c r="B336" s="8"/>
      <c r="C336" s="8"/>
      <c r="D336" s="15" t="s">
        <v>192</v>
      </c>
      <c r="E336" s="1165" t="str">
        <f>Translations!$B$1084</f>
        <v>Production data of Ethylene oxide and glycols:</v>
      </c>
      <c r="F336" s="1176"/>
      <c r="G336" s="1176"/>
      <c r="H336" s="1176"/>
      <c r="I336" s="1176"/>
      <c r="J336" s="1176"/>
      <c r="K336" s="1176"/>
      <c r="L336" s="1176"/>
      <c r="M336" s="1176"/>
      <c r="N336" s="1176"/>
      <c r="O336" s="8"/>
      <c r="P336" s="9"/>
    </row>
    <row r="337" spans="2:22" x14ac:dyDescent="0.25">
      <c r="B337" s="8"/>
      <c r="C337" s="8"/>
      <c r="D337" s="17"/>
      <c r="E337" s="1223" t="str">
        <f>Translations!$B$1085</f>
        <v>Please enter here the annual production data of the different products covered by this benchmark in each year of the baseline period.</v>
      </c>
      <c r="F337" s="1176"/>
      <c r="G337" s="1176"/>
      <c r="H337" s="1176"/>
      <c r="I337" s="1176"/>
      <c r="J337" s="1176"/>
      <c r="K337" s="1176"/>
      <c r="L337" s="1176"/>
      <c r="M337" s="1176"/>
      <c r="N337" s="1176"/>
      <c r="O337" s="8"/>
      <c r="P337" s="9"/>
    </row>
    <row r="338" spans="2:22" ht="13.8" thickBot="1" x14ac:dyDescent="0.3">
      <c r="B338" s="8"/>
      <c r="C338" s="8"/>
      <c r="D338" s="17"/>
      <c r="E338" s="1223" t="str">
        <f>Translations!$B$1086</f>
        <v>The table also displays the values of CF(EOE) used for calculation. CF(EOE) is the conversion factor for each substance relative to ethylene oxide.</v>
      </c>
      <c r="F338" s="1176"/>
      <c r="G338" s="1176"/>
      <c r="H338" s="1176"/>
      <c r="I338" s="1176"/>
      <c r="J338" s="1176"/>
      <c r="K338" s="1176"/>
      <c r="L338" s="1176"/>
      <c r="M338" s="1176"/>
      <c r="N338" s="1176"/>
      <c r="O338" s="8"/>
      <c r="P338" s="9"/>
    </row>
    <row r="339" spans="2:22" x14ac:dyDescent="0.25">
      <c r="B339" s="17"/>
      <c r="C339" s="17"/>
      <c r="D339" s="15"/>
      <c r="E339" s="22"/>
      <c r="F339" s="78"/>
      <c r="G339" s="1005" t="s">
        <v>522</v>
      </c>
      <c r="H339" s="23" t="str">
        <f>EUconst_Unit</f>
        <v>Unit</v>
      </c>
      <c r="I339" s="149">
        <f>I$391</f>
        <v>2019</v>
      </c>
      <c r="J339" s="149">
        <f>J$391</f>
        <v>2020</v>
      </c>
      <c r="K339" s="149">
        <f>K$391</f>
        <v>2021</v>
      </c>
      <c r="L339" s="149">
        <f>L$391</f>
        <v>2022</v>
      </c>
      <c r="M339" s="394">
        <f>M$391</f>
        <v>2023</v>
      </c>
      <c r="N339" s="376" t="str">
        <f>IF(L332&lt;&gt;EUconst_Relevant,"",IF(T339,YEAR(INDEX(CNTR_SubInstStartDate,MATCH(Q332,CNTR_SubInstListBMnumbers,0)))+1,""))</f>
        <v/>
      </c>
      <c r="O339" s="8"/>
      <c r="S339" s="124" t="s">
        <v>304</v>
      </c>
      <c r="T339" s="626" t="str">
        <f>IF(L332&lt;&gt;EUconst_Relevant,"",INDEX(CNTR_SubInstLess1Year,MATCH(Q332,CNTR_SubInstListBMnumbers,0)))</f>
        <v/>
      </c>
      <c r="V339" s="284" t="b">
        <f>IF(CNTR_ExistSubInstEntries,IF(L332=EUconst_Relevant,NOT(T339),TRUE),FALSE)</f>
        <v>0</v>
      </c>
    </row>
    <row r="340" spans="2:22" x14ac:dyDescent="0.25">
      <c r="B340" s="17"/>
      <c r="C340" s="17"/>
      <c r="D340" s="17"/>
      <c r="E340" s="1248" t="str">
        <f>Translations!$B$1087</f>
        <v>Ethylene oxide</v>
      </c>
      <c r="F340" s="1347"/>
      <c r="G340" s="1006">
        <v>1</v>
      </c>
      <c r="H340" s="856" t="str">
        <f>EUconst_tpa</f>
        <v>t / year</v>
      </c>
      <c r="I340" s="1007"/>
      <c r="J340" s="1007"/>
      <c r="K340" s="1007"/>
      <c r="L340" s="1007"/>
      <c r="M340" s="1008"/>
      <c r="N340" s="1009"/>
      <c r="O340" s="8"/>
      <c r="V340" s="285" t="b">
        <f>V339</f>
        <v>0</v>
      </c>
    </row>
    <row r="341" spans="2:22" x14ac:dyDescent="0.25">
      <c r="B341" s="17"/>
      <c r="C341" s="17"/>
      <c r="D341" s="17"/>
      <c r="E341" s="1251" t="str">
        <f>Translations!$B$1088</f>
        <v>Monoethylene glycol</v>
      </c>
      <c r="F341" s="1353"/>
      <c r="G341" s="1010">
        <v>0.71</v>
      </c>
      <c r="H341" s="858" t="str">
        <f>EUconst_tpa</f>
        <v>t / year</v>
      </c>
      <c r="I341" s="1011"/>
      <c r="J341" s="1011"/>
      <c r="K341" s="1011"/>
      <c r="L341" s="1011"/>
      <c r="M341" s="1012"/>
      <c r="N341" s="1013"/>
      <c r="O341" s="8"/>
      <c r="V341" s="285" t="b">
        <f>V340</f>
        <v>0</v>
      </c>
    </row>
    <row r="342" spans="2:22" x14ac:dyDescent="0.25">
      <c r="B342" s="17"/>
      <c r="C342" s="17"/>
      <c r="D342" s="17"/>
      <c r="E342" s="1251" t="str">
        <f>Translations!$B$1089</f>
        <v>Diethylene glycol</v>
      </c>
      <c r="F342" s="1353"/>
      <c r="G342" s="1010">
        <v>0.83</v>
      </c>
      <c r="H342" s="858" t="str">
        <f>EUconst_tpa</f>
        <v>t / year</v>
      </c>
      <c r="I342" s="1011"/>
      <c r="J342" s="1011"/>
      <c r="K342" s="1011"/>
      <c r="L342" s="1011"/>
      <c r="M342" s="1012"/>
      <c r="N342" s="1013"/>
      <c r="O342" s="8"/>
      <c r="V342" s="285" t="b">
        <f>V341</f>
        <v>0</v>
      </c>
    </row>
    <row r="343" spans="2:22" x14ac:dyDescent="0.25">
      <c r="B343" s="17"/>
      <c r="C343" s="17"/>
      <c r="D343" s="17"/>
      <c r="E343" s="1254" t="str">
        <f>Translations!$B$1090</f>
        <v>Triethylene glycol</v>
      </c>
      <c r="F343" s="1348"/>
      <c r="G343" s="1014">
        <v>0.88</v>
      </c>
      <c r="H343" s="860" t="str">
        <f>EUconst_tpa</f>
        <v>t / year</v>
      </c>
      <c r="I343" s="1015"/>
      <c r="J343" s="1015"/>
      <c r="K343" s="1015"/>
      <c r="L343" s="1015"/>
      <c r="M343" s="1016"/>
      <c r="N343" s="1017"/>
      <c r="O343" s="8"/>
      <c r="V343" s="285" t="b">
        <f>V342</f>
        <v>0</v>
      </c>
    </row>
    <row r="344" spans="2:22" ht="13.8" thickBot="1" x14ac:dyDescent="0.3">
      <c r="B344" s="17"/>
      <c r="C344" s="17"/>
      <c r="D344" s="17"/>
      <c r="E344" s="1412" t="str">
        <f>Translations!$B$1091</f>
        <v>Sum of products</v>
      </c>
      <c r="F344" s="1412"/>
      <c r="G344" s="1412"/>
      <c r="H344" s="860" t="str">
        <f>EUconst_tpa</f>
        <v>t / year</v>
      </c>
      <c r="I344" s="228" t="str">
        <f t="shared" ref="I344:N344" si="14">IF(COUNT(I340:I343)&gt;0,SUM(I340:I343),"")</f>
        <v/>
      </c>
      <c r="J344" s="228" t="str">
        <f t="shared" si="14"/>
        <v/>
      </c>
      <c r="K344" s="228" t="str">
        <f t="shared" si="14"/>
        <v/>
      </c>
      <c r="L344" s="228" t="str">
        <f t="shared" si="14"/>
        <v/>
      </c>
      <c r="M344" s="380" t="str">
        <f t="shared" si="14"/>
        <v/>
      </c>
      <c r="N344" s="382" t="str">
        <f t="shared" si="14"/>
        <v/>
      </c>
      <c r="O344" s="8"/>
      <c r="V344" s="286" t="b">
        <f>V343</f>
        <v>0</v>
      </c>
    </row>
    <row r="345" spans="2:22" ht="5.0999999999999996" customHeight="1" x14ac:dyDescent="0.25">
      <c r="B345" s="8"/>
      <c r="C345" s="8"/>
      <c r="D345" s="8"/>
      <c r="E345" s="8"/>
      <c r="F345" s="8"/>
      <c r="G345" s="8"/>
      <c r="H345" s="8"/>
      <c r="I345" s="8"/>
      <c r="J345" s="8"/>
      <c r="K345" s="8"/>
      <c r="L345" s="8"/>
      <c r="M345" s="8"/>
      <c r="N345" s="8"/>
      <c r="O345" s="8"/>
      <c r="P345" s="9"/>
    </row>
    <row r="346" spans="2:22" x14ac:dyDescent="0.25">
      <c r="B346" s="8"/>
      <c r="C346" s="8"/>
      <c r="D346" s="15" t="s">
        <v>195</v>
      </c>
      <c r="E346" s="1165" t="str">
        <f>Translations!$B$1092</f>
        <v>Result: Activity levels for the ethylene oxide / ethylene glycols product benchmark sub-installation:</v>
      </c>
      <c r="F346" s="1176"/>
      <c r="G346" s="1176"/>
      <c r="H346" s="1176"/>
      <c r="I346" s="1176"/>
      <c r="J346" s="1176"/>
      <c r="K346" s="1176"/>
      <c r="L346" s="1176"/>
      <c r="M346" s="1176"/>
      <c r="N346" s="1176"/>
      <c r="O346" s="8"/>
      <c r="P346" s="9"/>
    </row>
    <row r="347" spans="2:22" x14ac:dyDescent="0.25">
      <c r="B347" s="8"/>
      <c r="C347" s="8"/>
      <c r="D347" s="17"/>
      <c r="E347" s="1223" t="s">
        <v>523</v>
      </c>
      <c r="F347" s="1176"/>
      <c r="G347" s="1176"/>
      <c r="H347" s="1176"/>
      <c r="I347" s="1176"/>
      <c r="J347" s="1176"/>
      <c r="K347" s="1176"/>
      <c r="L347" s="1176"/>
      <c r="M347" s="1176"/>
      <c r="N347" s="1176"/>
      <c r="O347" s="8"/>
      <c r="P347" s="9"/>
    </row>
    <row r="348" spans="2:22" ht="13.8" thickBot="1" x14ac:dyDescent="0.3">
      <c r="B348" s="8"/>
      <c r="C348" s="8"/>
      <c r="D348" s="17"/>
      <c r="E348" s="1223" t="str">
        <f>Translations!$B$982</f>
        <v>The result of this tool is used in sheet "F_ProductBM", input line (a).ii of the appropriate sub-installation, from which the average is calculated.</v>
      </c>
      <c r="F348" s="1176"/>
      <c r="G348" s="1176"/>
      <c r="H348" s="1176"/>
      <c r="I348" s="1176"/>
      <c r="J348" s="1176"/>
      <c r="K348" s="1176"/>
      <c r="L348" s="1176"/>
      <c r="M348" s="1176"/>
      <c r="N348" s="1176"/>
      <c r="O348" s="8"/>
      <c r="P348" s="9"/>
    </row>
    <row r="349" spans="2:22" x14ac:dyDescent="0.25">
      <c r="B349" s="17"/>
      <c r="C349" s="17"/>
      <c r="D349" s="15"/>
      <c r="E349" s="78"/>
      <c r="F349" s="78"/>
      <c r="G349" s="78"/>
      <c r="H349" s="23" t="str">
        <f>EUconst_Unit</f>
        <v>Unit</v>
      </c>
      <c r="I349" s="149">
        <f>I$391</f>
        <v>2019</v>
      </c>
      <c r="J349" s="149">
        <f>J$391</f>
        <v>2020</v>
      </c>
      <c r="K349" s="149">
        <f>K$391</f>
        <v>2021</v>
      </c>
      <c r="L349" s="149">
        <f>L$391</f>
        <v>2022</v>
      </c>
      <c r="M349" s="394">
        <f>M$391</f>
        <v>2023</v>
      </c>
      <c r="N349" s="376" t="str">
        <f>N339</f>
        <v/>
      </c>
      <c r="O349" s="8"/>
      <c r="V349" s="391" t="b">
        <f>V344</f>
        <v>0</v>
      </c>
    </row>
    <row r="350" spans="2:22" ht="13.8" thickBot="1" x14ac:dyDescent="0.3">
      <c r="B350" s="17"/>
      <c r="C350" s="17"/>
      <c r="D350" s="17"/>
      <c r="E350" s="1412" t="str">
        <f>Translations!$B$1094</f>
        <v>Total Ethylene oxide equivalents</v>
      </c>
      <c r="F350" s="1412"/>
      <c r="G350" s="1412"/>
      <c r="H350" s="43" t="str">
        <f>EUconst_tpa</f>
        <v>t / year</v>
      </c>
      <c r="I350" s="148" t="str">
        <f t="shared" ref="I350:N350" si="15">IF(ISNUMBER(I344),SUMPRODUCT($G$340:$G$343,I340:I343),"")</f>
        <v/>
      </c>
      <c r="J350" s="148" t="str">
        <f t="shared" si="15"/>
        <v/>
      </c>
      <c r="K350" s="148" t="str">
        <f t="shared" si="15"/>
        <v/>
      </c>
      <c r="L350" s="148" t="str">
        <f t="shared" si="15"/>
        <v/>
      </c>
      <c r="M350" s="923" t="str">
        <f t="shared" si="15"/>
        <v/>
      </c>
      <c r="N350" s="924" t="str">
        <f t="shared" si="15"/>
        <v/>
      </c>
      <c r="O350" s="8"/>
      <c r="P350" s="63" t="str">
        <f>IF(L332=EUconst_Relevant,EUconst_CNTR_HALspecial &amp; INDEX(EUconst_BMlistNames,Q332),"")</f>
        <v/>
      </c>
      <c r="V350" s="286" t="b">
        <f>V349</f>
        <v>0</v>
      </c>
    </row>
    <row r="351" spans="2:22" ht="5.0999999999999996" customHeight="1" x14ac:dyDescent="0.25">
      <c r="B351" s="8"/>
      <c r="C351" s="8"/>
      <c r="D351" s="8"/>
      <c r="E351" s="8"/>
      <c r="F351" s="8"/>
      <c r="G351" s="8"/>
      <c r="H351" s="8"/>
      <c r="I351" s="8"/>
      <c r="J351" s="8"/>
      <c r="K351" s="8"/>
      <c r="L351" s="8"/>
      <c r="M351" s="8"/>
      <c r="N351" s="8"/>
      <c r="O351" s="8"/>
      <c r="P351" s="9"/>
    </row>
    <row r="352" spans="2:22" x14ac:dyDescent="0.25">
      <c r="B352" s="8"/>
      <c r="C352" s="8"/>
      <c r="D352" s="8"/>
      <c r="E352" s="1647" t="str">
        <f>IF(L332=EUconst_Relevant,HYPERLINK(Q352,EUconst_MsgBackToSheetF),"")</f>
        <v/>
      </c>
      <c r="F352" s="1648"/>
      <c r="G352" s="1648"/>
      <c r="H352" s="1648"/>
      <c r="I352" s="1648"/>
      <c r="J352" s="1648"/>
      <c r="K352" s="1648"/>
      <c r="L352" s="1648"/>
      <c r="M352" s="1648"/>
      <c r="N352" s="1649"/>
      <c r="O352" s="8"/>
      <c r="P352" s="124" t="s">
        <v>486</v>
      </c>
      <c r="Q352" s="63" t="str">
        <f>Q334</f>
        <v/>
      </c>
    </row>
    <row r="353" spans="2:17" x14ac:dyDescent="0.25">
      <c r="B353" s="17"/>
      <c r="C353" s="17"/>
      <c r="D353" s="17"/>
      <c r="E353" s="17"/>
      <c r="F353" s="17"/>
      <c r="G353" s="17"/>
      <c r="H353" s="17"/>
      <c r="I353" s="17"/>
      <c r="J353" s="17"/>
      <c r="K353" s="17"/>
      <c r="L353" s="17"/>
      <c r="M353" s="17"/>
      <c r="N353" s="17"/>
      <c r="O353" s="8"/>
    </row>
    <row r="354" spans="2:17" ht="15.6" x14ac:dyDescent="0.3">
      <c r="B354" s="8"/>
      <c r="C354" s="13" t="s">
        <v>17</v>
      </c>
      <c r="D354" s="1175" t="str">
        <f>Translations!$B$1095</f>
        <v>Vinyl chloride monomer (VCM)</v>
      </c>
      <c r="E354" s="1175"/>
      <c r="F354" s="1175"/>
      <c r="G354" s="1175"/>
      <c r="H354" s="1175"/>
      <c r="I354" s="1175"/>
      <c r="J354" s="1175"/>
      <c r="K354" s="1175"/>
      <c r="L354" s="1175"/>
      <c r="M354" s="1175"/>
      <c r="N354" s="1175"/>
      <c r="O354" s="8"/>
      <c r="P354" s="9"/>
    </row>
    <row r="355" spans="2:17" ht="5.0999999999999996" customHeight="1" x14ac:dyDescent="0.25">
      <c r="B355" s="8"/>
      <c r="C355" s="8"/>
      <c r="D355" s="8"/>
      <c r="E355" s="8"/>
      <c r="F355" s="8"/>
      <c r="G355" s="8"/>
      <c r="H355" s="8"/>
      <c r="I355" s="8"/>
      <c r="J355" s="8"/>
      <c r="K355" s="8"/>
      <c r="L355" s="8"/>
      <c r="M355" s="8"/>
      <c r="N355" s="8"/>
      <c r="O355" s="8"/>
      <c r="P355" s="9"/>
    </row>
    <row r="356" spans="2:17" ht="13.8" x14ac:dyDescent="0.25">
      <c r="B356" s="8"/>
      <c r="C356" s="19"/>
      <c r="D356" s="1234" t="s">
        <v>524</v>
      </c>
      <c r="E356" s="1176"/>
      <c r="F356" s="1176"/>
      <c r="G356" s="1176"/>
      <c r="H356" s="1176"/>
      <c r="I356" s="1176"/>
      <c r="J356" s="1176"/>
      <c r="K356" s="1176"/>
      <c r="L356" s="1176"/>
      <c r="M356" s="1176"/>
      <c r="N356" s="1176"/>
      <c r="O356" s="8"/>
      <c r="P356" s="9"/>
    </row>
    <row r="357" spans="2:17" ht="5.0999999999999996" customHeight="1" x14ac:dyDescent="0.25">
      <c r="B357" s="8"/>
      <c r="C357" s="8"/>
      <c r="D357" s="8"/>
      <c r="E357" s="8"/>
      <c r="F357" s="8"/>
      <c r="G357" s="8"/>
      <c r="H357" s="8"/>
      <c r="I357" s="8"/>
      <c r="J357" s="8"/>
      <c r="K357" s="8"/>
      <c r="L357" s="8"/>
      <c r="M357" s="8"/>
      <c r="N357" s="8"/>
      <c r="O357" s="8"/>
      <c r="P357" s="9"/>
    </row>
    <row r="358" spans="2:17" x14ac:dyDescent="0.25">
      <c r="B358" s="8"/>
      <c r="C358" s="8"/>
      <c r="D358" s="17"/>
      <c r="E358" s="1223" t="s">
        <v>525</v>
      </c>
      <c r="F358" s="1176"/>
      <c r="G358" s="1176"/>
      <c r="H358" s="1176"/>
      <c r="I358" s="1176"/>
      <c r="J358" s="1176"/>
      <c r="K358" s="1176"/>
      <c r="L358" s="1176"/>
      <c r="M358" s="1176"/>
      <c r="N358" s="1176"/>
      <c r="O358" s="8"/>
      <c r="P358" s="9"/>
    </row>
    <row r="359" spans="2:17" x14ac:dyDescent="0.25">
      <c r="B359" s="8"/>
      <c r="C359" s="8"/>
      <c r="D359" s="17"/>
      <c r="E359" s="1223" t="str">
        <f>Translations!$B$1098</f>
        <v>The following data is required:</v>
      </c>
      <c r="F359" s="1176"/>
      <c r="G359" s="1176"/>
      <c r="H359" s="1176"/>
      <c r="I359" s="1176"/>
      <c r="J359" s="1176"/>
      <c r="K359" s="1176"/>
      <c r="L359" s="1176"/>
      <c r="M359" s="1176"/>
      <c r="N359" s="1176"/>
      <c r="O359" s="8"/>
      <c r="P359" s="9"/>
    </row>
    <row r="360" spans="2:17" x14ac:dyDescent="0.25">
      <c r="B360" s="8"/>
      <c r="C360" s="8"/>
      <c r="D360" s="17"/>
      <c r="E360" s="630" t="s">
        <v>214</v>
      </c>
      <c r="F360" s="1223" t="str">
        <f>Translations!$B$1099</f>
        <v>The activity levels as input in sheet "ProductBM", section (a), under the appropriate sub-installation;</v>
      </c>
      <c r="G360" s="1176"/>
      <c r="H360" s="1176"/>
      <c r="I360" s="1176"/>
      <c r="J360" s="1176"/>
      <c r="K360" s="1176"/>
      <c r="L360" s="1176"/>
      <c r="M360" s="1176"/>
      <c r="N360" s="1176"/>
      <c r="O360" s="8"/>
      <c r="P360" s="9"/>
    </row>
    <row r="361" spans="2:17" x14ac:dyDescent="0.25">
      <c r="B361" s="8"/>
      <c r="C361" s="8"/>
      <c r="D361" s="17"/>
      <c r="E361" s="630" t="s">
        <v>214</v>
      </c>
      <c r="F361" s="1223" t="str">
        <f>Translations!$B$1100</f>
        <v>The direct emissions attributed to this sub-installation;</v>
      </c>
      <c r="G361" s="1176"/>
      <c r="H361" s="1176"/>
      <c r="I361" s="1176"/>
      <c r="J361" s="1176"/>
      <c r="K361" s="1176"/>
      <c r="L361" s="1176"/>
      <c r="M361" s="1176"/>
      <c r="N361" s="1176"/>
      <c r="O361" s="8"/>
      <c r="P361" s="9"/>
    </row>
    <row r="362" spans="2:17" x14ac:dyDescent="0.25">
      <c r="B362" s="8"/>
      <c r="C362" s="8"/>
      <c r="D362" s="17"/>
      <c r="E362" s="630" t="s">
        <v>214</v>
      </c>
      <c r="F362" s="1223" t="str">
        <f>Translations!$B$1101</f>
        <v>Net amount of measurable heat imported by this sub-installation from other ETS installations;</v>
      </c>
      <c r="G362" s="1176"/>
      <c r="H362" s="1176"/>
      <c r="I362" s="1176"/>
      <c r="J362" s="1176"/>
      <c r="K362" s="1176"/>
      <c r="L362" s="1176"/>
      <c r="M362" s="1176"/>
      <c r="N362" s="1176"/>
      <c r="O362" s="8"/>
      <c r="P362" s="9"/>
    </row>
    <row r="363" spans="2:17" ht="12.75" customHeight="1" x14ac:dyDescent="0.25">
      <c r="B363" s="8"/>
      <c r="C363" s="8"/>
      <c r="D363" s="17"/>
      <c r="E363" s="630" t="s">
        <v>214</v>
      </c>
      <c r="F363" s="1223" t="str">
        <f>Translations!$B$1102</f>
        <v>Hydrogen related emissions: I.e. historical heat consumption from hydrogen combustion multiplied with the heat benchmark.</v>
      </c>
      <c r="G363" s="1223"/>
      <c r="H363" s="1223"/>
      <c r="I363" s="1223"/>
      <c r="J363" s="1223"/>
      <c r="K363" s="1223"/>
      <c r="L363" s="1223"/>
      <c r="M363" s="1223"/>
      <c r="N363" s="1223"/>
      <c r="O363" s="8"/>
      <c r="P363" s="9"/>
    </row>
    <row r="364" spans="2:17" ht="5.0999999999999996" customHeight="1" x14ac:dyDescent="0.25">
      <c r="B364" s="8"/>
      <c r="C364" s="8"/>
      <c r="D364" s="8"/>
      <c r="E364" s="8"/>
      <c r="F364" s="8"/>
      <c r="G364" s="8"/>
      <c r="H364" s="8"/>
      <c r="I364" s="8"/>
      <c r="J364" s="8"/>
      <c r="K364" s="8"/>
      <c r="L364" s="8"/>
      <c r="M364" s="8"/>
      <c r="N364" s="8"/>
      <c r="O364" s="8"/>
      <c r="P364" s="9"/>
    </row>
    <row r="365" spans="2:17" ht="13.8" x14ac:dyDescent="0.25">
      <c r="B365" s="8"/>
      <c r="C365" s="8"/>
      <c r="D365" s="15" t="s">
        <v>190</v>
      </c>
      <c r="E365" s="1165" t="str">
        <f>Translations!$B$908</f>
        <v>Relevance of this tool in your installation:</v>
      </c>
      <c r="F365" s="1165"/>
      <c r="G365" s="1165"/>
      <c r="H365" s="1165"/>
      <c r="I365" s="1165"/>
      <c r="J365" s="1165"/>
      <c r="K365" s="1425"/>
      <c r="L365" s="1650" t="str">
        <f>IF(CNTR_ExistSubInstEntries,IF(COUNTIF(CNTR_SubInstListNames,INDEX(EUconst_BMlistNames,Q365))&gt;0,EUconst_Relevant,EUconst_NotRelevant),"")</f>
        <v/>
      </c>
      <c r="M365" s="1651"/>
      <c r="N365" s="1652"/>
      <c r="O365" s="8"/>
      <c r="P365" s="124" t="s">
        <v>485</v>
      </c>
      <c r="Q365" s="115">
        <v>47</v>
      </c>
    </row>
    <row r="366" spans="2:17" x14ac:dyDescent="0.25">
      <c r="B366" s="8"/>
      <c r="C366" s="8"/>
      <c r="D366" s="17"/>
      <c r="E366" s="1211" t="str">
        <f>Translations!$B$909</f>
        <v>This message is automatically generated based on your inputs in sheet "A_InstallationData", section A.III.1.</v>
      </c>
      <c r="F366" s="1212"/>
      <c r="G366" s="1212"/>
      <c r="H366" s="1212"/>
      <c r="I366" s="1212"/>
      <c r="J366" s="1212"/>
      <c r="K366" s="1212"/>
      <c r="L366" s="1212"/>
      <c r="M366" s="1212"/>
      <c r="N366" s="1212"/>
      <c r="O366" s="8"/>
      <c r="P366" s="9"/>
    </row>
    <row r="367" spans="2:17" x14ac:dyDescent="0.25">
      <c r="B367" s="8"/>
      <c r="C367" s="8"/>
      <c r="D367" s="8"/>
      <c r="E367" s="1647" t="str">
        <f>IF(L365=EUconst_Relevant,HYPERLINK(Q367,EUconst_MsgBackToSheetF),"")</f>
        <v/>
      </c>
      <c r="F367" s="1648"/>
      <c r="G367" s="1648"/>
      <c r="H367" s="1648"/>
      <c r="I367" s="1648"/>
      <c r="J367" s="1648"/>
      <c r="K367" s="1648"/>
      <c r="L367" s="1648"/>
      <c r="M367" s="1648"/>
      <c r="N367" s="1649"/>
      <c r="O367" s="8"/>
      <c r="P367" s="124" t="s">
        <v>486</v>
      </c>
      <c r="Q367" s="63" t="str">
        <f>IF(ISNUMBER(MATCH(Q365,CNTR_SubInstListBMnumbers,0)),"#JUMP_F"&amp;MATCH(Q365,CNTR_SubInstListBMnumbers,0),"")</f>
        <v/>
      </c>
    </row>
    <row r="368" spans="2:17" ht="5.0999999999999996" customHeight="1" x14ac:dyDescent="0.25">
      <c r="B368" s="8"/>
      <c r="C368" s="8"/>
      <c r="D368" s="8"/>
      <c r="E368" s="8"/>
      <c r="F368" s="8"/>
      <c r="G368" s="8"/>
      <c r="H368" s="8"/>
      <c r="I368" s="8"/>
      <c r="J368" s="8"/>
      <c r="K368" s="8"/>
      <c r="L368" s="8"/>
      <c r="M368" s="8"/>
      <c r="N368" s="8"/>
      <c r="O368" s="8"/>
      <c r="P368" s="9"/>
    </row>
    <row r="369" spans="1:24" x14ac:dyDescent="0.25">
      <c r="B369" s="17"/>
      <c r="C369" s="17"/>
      <c r="D369" s="15" t="s">
        <v>192</v>
      </c>
      <c r="E369" s="1165" t="str">
        <f>Translations!$B$1103</f>
        <v>Emission related data:</v>
      </c>
      <c r="F369" s="1176"/>
      <c r="G369" s="1176"/>
      <c r="H369" s="1176"/>
      <c r="I369" s="1176"/>
      <c r="J369" s="1176"/>
      <c r="K369" s="1176"/>
      <c r="L369" s="1176"/>
      <c r="M369" s="1176"/>
      <c r="N369" s="1176"/>
      <c r="O369" s="8"/>
    </row>
    <row r="370" spans="1:24" ht="13.8" thickBot="1" x14ac:dyDescent="0.3">
      <c r="B370" s="8"/>
      <c r="C370" s="8"/>
      <c r="D370" s="17"/>
      <c r="E370" s="1223" t="str">
        <f>Translations!$B$1104</f>
        <v>Please enter here the data required as outlined above.</v>
      </c>
      <c r="F370" s="1176"/>
      <c r="G370" s="1176"/>
      <c r="H370" s="1176"/>
      <c r="I370" s="1176"/>
      <c r="J370" s="1176"/>
      <c r="K370" s="1176"/>
      <c r="L370" s="1176"/>
      <c r="M370" s="1176"/>
      <c r="N370" s="1176"/>
      <c r="O370" s="8"/>
      <c r="P370" s="9"/>
      <c r="V370" s="145" t="s">
        <v>394</v>
      </c>
    </row>
    <row r="371" spans="1:24" ht="13.8" thickBot="1" x14ac:dyDescent="0.3">
      <c r="B371" s="17"/>
      <c r="C371" s="17"/>
      <c r="D371" s="15"/>
      <c r="E371" s="1259" t="str">
        <f>Translations!$B$686</f>
        <v>Parameter</v>
      </c>
      <c r="F371" s="1212"/>
      <c r="G371" s="1212"/>
      <c r="H371" s="23" t="str">
        <f>EUconst_Unit</f>
        <v>Unit</v>
      </c>
      <c r="I371" s="128">
        <f>I$391</f>
        <v>2019</v>
      </c>
      <c r="J371" s="128">
        <f>J$391</f>
        <v>2020</v>
      </c>
      <c r="K371" s="128">
        <f>K$391</f>
        <v>2021</v>
      </c>
      <c r="L371" s="128">
        <f>L$391</f>
        <v>2022</v>
      </c>
      <c r="M371" s="144">
        <f>M$391</f>
        <v>2023</v>
      </c>
      <c r="N371" s="376" t="str">
        <f>IF(L365&lt;&gt;EUconst_Relevant,"",IF(T371,YEAR(INDEX(CNTR_SubInstStartDate,MATCH(Q365,CNTR_SubInstListBMnumbers,0)))+1,""))</f>
        <v/>
      </c>
      <c r="O371" s="8"/>
      <c r="S371" s="124" t="s">
        <v>304</v>
      </c>
      <c r="T371" s="626" t="str">
        <f>IF(L365&lt;&gt;EUconst_Relevant,"",INDEX(CNTR_SubInstLess1Year,MATCH(Q365,CNTR_SubInstListBMnumbers,0)))</f>
        <v/>
      </c>
      <c r="V371" s="396" t="b">
        <f>IF(CNTR_ExistSubInstEntries,IF(L365=EUconst_Relevant,NOT(T371),TRUE),FALSE)</f>
        <v>0</v>
      </c>
    </row>
    <row r="372" spans="1:24" x14ac:dyDescent="0.25">
      <c r="B372" s="17"/>
      <c r="C372" s="17"/>
      <c r="D372" s="17"/>
      <c r="E372" s="1248" t="str">
        <f>Translations!$B$687</f>
        <v>Direct emissions</v>
      </c>
      <c r="F372" s="1248"/>
      <c r="G372" s="1248"/>
      <c r="H372" s="222" t="str">
        <f>EUconst_tCO2pa</f>
        <v>t CO2 / year</v>
      </c>
      <c r="I372" s="825"/>
      <c r="J372" s="825"/>
      <c r="K372" s="825"/>
      <c r="L372" s="825"/>
      <c r="M372" s="890"/>
      <c r="N372" s="981"/>
      <c r="O372" s="8"/>
      <c r="P372" s="116" t="str">
        <f>EUconst_CNTR_Emissions &amp; INDEX(EUconst_BMlistNames,Q365)</f>
        <v>DirEmissions_Vinyl chloride monomer</v>
      </c>
    </row>
    <row r="373" spans="1:24" x14ac:dyDescent="0.25">
      <c r="B373" s="17"/>
      <c r="C373" s="17"/>
      <c r="D373" s="17"/>
      <c r="E373" s="1251" t="str">
        <f>Translations!$B$1105</f>
        <v>Net measurable heat imported</v>
      </c>
      <c r="F373" s="1251"/>
      <c r="G373" s="1251"/>
      <c r="H373" s="225" t="str">
        <f>EUconst_TJpa</f>
        <v>TJ / year</v>
      </c>
      <c r="I373" s="1018" t="str">
        <f>IF($L365=EUconst_Relevant,INDEX(F_ProductBM!I:I,MATCH($P373,F_ProductBM!$P:$P,0)),"")</f>
        <v/>
      </c>
      <c r="J373" s="1018" t="str">
        <f>IF($L365=EUconst_Relevant,INDEX(F_ProductBM!J:J,MATCH($P373,F_ProductBM!$P:$P,0)),"")</f>
        <v/>
      </c>
      <c r="K373" s="1018" t="str">
        <f>IF($L365=EUconst_Relevant,INDEX(F_ProductBM!K:K,MATCH($P373,F_ProductBM!$P:$P,0)),"")</f>
        <v/>
      </c>
      <c r="L373" s="1018" t="str">
        <f>IF($L365=EUconst_Relevant,INDEX(F_ProductBM!L:L,MATCH($P373,F_ProductBM!$P:$P,0)),"")</f>
        <v/>
      </c>
      <c r="M373" s="1019" t="str">
        <f>IF($L365=EUconst_Relevant,INDEX(F_ProductBM!M:M,MATCH($P373,F_ProductBM!$P:$P,0)),"")</f>
        <v/>
      </c>
      <c r="N373" s="1020"/>
      <c r="O373" s="8"/>
      <c r="P373" s="116" t="str">
        <f>EUconst_CNTR_HeatImport&amp;INDEX(EUconst_BMlistNames,Q365)</f>
        <v>HeatIm_Vinyl chloride monomer</v>
      </c>
      <c r="R373" s="145" t="s">
        <v>526</v>
      </c>
    </row>
    <row r="374" spans="1:24" x14ac:dyDescent="0.25">
      <c r="B374" s="17"/>
      <c r="C374" s="17"/>
      <c r="D374" s="17"/>
      <c r="E374" s="1254" t="str">
        <f>Translations!$B$1106</f>
        <v>Heat consumption from H2 combustion</v>
      </c>
      <c r="F374" s="1254"/>
      <c r="G374" s="1254"/>
      <c r="H374" s="227" t="str">
        <f>EUconst_TJpa</f>
        <v>TJ / year</v>
      </c>
      <c r="I374" s="826"/>
      <c r="J374" s="826"/>
      <c r="K374" s="826"/>
      <c r="L374" s="826"/>
      <c r="M374" s="896"/>
      <c r="N374" s="930"/>
      <c r="O374" s="8"/>
      <c r="S374" s="145">
        <f>I$391</f>
        <v>2019</v>
      </c>
      <c r="T374" s="145">
        <f>J$391</f>
        <v>2020</v>
      </c>
      <c r="U374" s="145">
        <f>K$391</f>
        <v>2021</v>
      </c>
      <c r="V374" s="145">
        <f>L$391</f>
        <v>2022</v>
      </c>
      <c r="W374" s="145">
        <f>M$391</f>
        <v>2023</v>
      </c>
      <c r="X374" s="145" t="str">
        <f>N371</f>
        <v/>
      </c>
    </row>
    <row r="375" spans="1:24" ht="13.8" thickBot="1" x14ac:dyDescent="0.3">
      <c r="B375" s="17"/>
      <c r="C375" s="17"/>
      <c r="D375" s="17"/>
      <c r="E375" s="1248" t="str">
        <f>Translations!$B$690</f>
        <v>Total direct emissions</v>
      </c>
      <c r="F375" s="1248"/>
      <c r="G375" s="1248"/>
      <c r="H375" s="222" t="str">
        <f>EUconst_tCO2pa</f>
        <v>t CO2 / year</v>
      </c>
      <c r="I375" s="988" t="str">
        <f t="shared" ref="I375:N375" si="16">IF(OR(ISNUMBER(I372),ISNUMBER(I373)),I372+I373*EUconst_HeatBMvalue,"")</f>
        <v/>
      </c>
      <c r="J375" s="988" t="str">
        <f t="shared" si="16"/>
        <v/>
      </c>
      <c r="K375" s="988" t="str">
        <f t="shared" si="16"/>
        <v/>
      </c>
      <c r="L375" s="988" t="str">
        <f t="shared" si="16"/>
        <v/>
      </c>
      <c r="M375" s="989" t="str">
        <f t="shared" si="16"/>
        <v/>
      </c>
      <c r="N375" s="990" t="str">
        <f t="shared" si="16"/>
        <v/>
      </c>
      <c r="O375" s="8"/>
      <c r="P375" s="145" t="s">
        <v>397</v>
      </c>
      <c r="R375" s="1021" t="s">
        <v>527</v>
      </c>
      <c r="S375" s="880" t="str">
        <f t="shared" ref="S375:X375" si="17">IF(I$393,IF(ISNUMBER(I375),I375,0),"")</f>
        <v/>
      </c>
      <c r="T375" s="880" t="str">
        <f t="shared" si="17"/>
        <v/>
      </c>
      <c r="U375" s="880" t="str">
        <f t="shared" si="17"/>
        <v/>
      </c>
      <c r="V375" s="880" t="str">
        <f t="shared" si="17"/>
        <v/>
      </c>
      <c r="W375" s="880" t="str">
        <f t="shared" si="17"/>
        <v/>
      </c>
      <c r="X375" s="880" t="str">
        <f t="shared" si="17"/>
        <v/>
      </c>
    </row>
    <row r="376" spans="1:24" ht="13.8" thickBot="1" x14ac:dyDescent="0.3">
      <c r="B376" s="17"/>
      <c r="C376" s="17"/>
      <c r="D376" s="17"/>
      <c r="E376" s="1254" t="str">
        <f>Translations!$B$1107</f>
        <v>Hydrogen related emissions</v>
      </c>
      <c r="F376" s="1254"/>
      <c r="G376" s="1254"/>
      <c r="H376" s="227" t="str">
        <f>EUconst_tCO2pa</f>
        <v>t CO2 / year</v>
      </c>
      <c r="I376" s="994" t="str">
        <f t="shared" ref="I376:N376" si="18">IF(ISNUMBER(I374),I374*EUconst_HeatBMvalue,"")</f>
        <v/>
      </c>
      <c r="J376" s="994" t="str">
        <f t="shared" si="18"/>
        <v/>
      </c>
      <c r="K376" s="994" t="str">
        <f t="shared" si="18"/>
        <v/>
      </c>
      <c r="L376" s="994" t="str">
        <f t="shared" si="18"/>
        <v/>
      </c>
      <c r="M376" s="995" t="str">
        <f t="shared" si="18"/>
        <v/>
      </c>
      <c r="N376" s="996" t="str">
        <f t="shared" si="18"/>
        <v/>
      </c>
      <c r="O376" s="8"/>
      <c r="P376" s="63" t="str">
        <f>EUconst_CNTR_VCM</f>
        <v>VCM_</v>
      </c>
      <c r="Q376" s="126" t="str">
        <f>IF(SUM(S376:X376)&lt;&gt;0,SUM(S375:X375)/SUM(S376:X376),EUconst_NA)</f>
        <v>N.A.</v>
      </c>
      <c r="R376" s="1021" t="s">
        <v>528</v>
      </c>
      <c r="S376" s="880" t="str">
        <f t="shared" ref="S376:X376" si="19">IF(I$393,IF(COUNT(I375:I376)&gt;0,SUM(I375:I376),0),"")</f>
        <v/>
      </c>
      <c r="T376" s="880" t="str">
        <f t="shared" si="19"/>
        <v/>
      </c>
      <c r="U376" s="880" t="str">
        <f t="shared" si="19"/>
        <v/>
      </c>
      <c r="V376" s="880" t="str">
        <f t="shared" si="19"/>
        <v/>
      </c>
      <c r="W376" s="880" t="str">
        <f t="shared" si="19"/>
        <v/>
      </c>
      <c r="X376" s="880" t="str">
        <f t="shared" si="19"/>
        <v/>
      </c>
    </row>
    <row r="377" spans="1:24" ht="5.0999999999999996" customHeight="1" x14ac:dyDescent="0.25">
      <c r="B377" s="8"/>
      <c r="C377" s="8"/>
      <c r="D377" s="8"/>
      <c r="E377" s="8"/>
      <c r="F377" s="8"/>
      <c r="G377" s="8"/>
      <c r="H377" s="8"/>
      <c r="I377" s="8"/>
      <c r="J377" s="8"/>
      <c r="K377" s="8"/>
      <c r="L377" s="8"/>
      <c r="M377" s="8"/>
      <c r="N377" s="8"/>
      <c r="O377" s="8"/>
      <c r="P377" s="9"/>
    </row>
    <row r="378" spans="1:24" x14ac:dyDescent="0.25">
      <c r="B378" s="8"/>
      <c r="C378" s="8"/>
      <c r="D378" s="8"/>
      <c r="E378" s="1647" t="str">
        <f>IF(L365=EUconst_Relevant,HYPERLINK(Q378,EUconst_MsgBackToSheetF),"")</f>
        <v/>
      </c>
      <c r="F378" s="1648"/>
      <c r="G378" s="1648"/>
      <c r="H378" s="1648"/>
      <c r="I378" s="1648"/>
      <c r="J378" s="1648"/>
      <c r="K378" s="1648"/>
      <c r="L378" s="1648"/>
      <c r="M378" s="1648"/>
      <c r="N378" s="1649"/>
      <c r="O378" s="8"/>
      <c r="P378" s="124" t="s">
        <v>486</v>
      </c>
      <c r="Q378" s="63" t="str">
        <f>Q367</f>
        <v/>
      </c>
    </row>
    <row r="379" spans="1:24" x14ac:dyDescent="0.25">
      <c r="B379" s="17"/>
      <c r="C379" s="17"/>
      <c r="D379" s="17"/>
      <c r="E379" s="17"/>
      <c r="F379" s="17"/>
      <c r="G379" s="17"/>
      <c r="H379" s="17"/>
      <c r="I379" s="17"/>
      <c r="J379" s="31"/>
      <c r="K379" s="17"/>
      <c r="L379" s="17"/>
      <c r="M379" s="17"/>
      <c r="N379" s="17"/>
      <c r="O379" s="8"/>
      <c r="S379" s="28"/>
    </row>
    <row r="380" spans="1:24" x14ac:dyDescent="0.25">
      <c r="B380" s="17"/>
      <c r="C380" s="17"/>
      <c r="D380" s="17"/>
      <c r="E380" s="17"/>
      <c r="F380" s="17"/>
      <c r="G380" s="17"/>
      <c r="H380" s="17"/>
      <c r="I380" s="17"/>
      <c r="J380" s="17"/>
      <c r="K380" s="17"/>
      <c r="L380" s="17"/>
      <c r="M380" s="17"/>
      <c r="N380" s="17"/>
      <c r="O380" s="8"/>
    </row>
    <row r="381" spans="1:24" x14ac:dyDescent="0.25">
      <c r="B381" s="17"/>
      <c r="C381" s="17"/>
      <c r="D381" s="17"/>
      <c r="E381" s="17"/>
      <c r="F381" s="17"/>
      <c r="G381" s="17"/>
      <c r="H381" s="17"/>
      <c r="I381" s="17"/>
      <c r="J381" s="17"/>
      <c r="K381" s="17"/>
      <c r="L381" s="17"/>
      <c r="M381" s="17"/>
      <c r="N381" s="17"/>
      <c r="O381" s="8"/>
    </row>
    <row r="382" spans="1:24" x14ac:dyDescent="0.25">
      <c r="B382" s="17"/>
      <c r="C382" s="17"/>
      <c r="D382" s="1653" t="str">
        <f>Translations!$B$73</f>
        <v xml:space="preserve">&lt;&lt;&lt; Click here to proceed to next sheet &gt;&gt;&gt; </v>
      </c>
      <c r="E382" s="1413"/>
      <c r="F382" s="1413"/>
      <c r="G382" s="1413"/>
      <c r="H382" s="1413"/>
      <c r="I382" s="1413"/>
      <c r="J382" s="1413"/>
      <c r="K382" s="1413"/>
      <c r="L382" s="1413"/>
      <c r="M382" s="1413"/>
      <c r="N382" s="1413"/>
      <c r="O382" s="8"/>
    </row>
    <row r="383" spans="1:24" x14ac:dyDescent="0.25">
      <c r="B383" s="17"/>
      <c r="C383" s="17"/>
      <c r="D383" s="17"/>
      <c r="E383" s="17"/>
      <c r="F383" s="17"/>
      <c r="G383" s="17"/>
      <c r="H383" s="17"/>
      <c r="I383" s="17"/>
      <c r="J383" s="17"/>
      <c r="K383" s="17"/>
      <c r="L383" s="17"/>
      <c r="M383" s="17"/>
      <c r="N383" s="17"/>
      <c r="O383" s="8"/>
    </row>
    <row r="384" spans="1:24" hidden="1" x14ac:dyDescent="0.25">
      <c r="A384" s="145" t="s">
        <v>187</v>
      </c>
      <c r="B384" s="145" t="s">
        <v>287</v>
      </c>
      <c r="C384" s="145" t="s">
        <v>287</v>
      </c>
      <c r="D384" s="145" t="s">
        <v>287</v>
      </c>
      <c r="E384" s="145" t="s">
        <v>287</v>
      </c>
      <c r="F384" s="145" t="s">
        <v>287</v>
      </c>
      <c r="G384" s="145"/>
      <c r="H384" s="145" t="s">
        <v>287</v>
      </c>
      <c r="I384" s="145" t="s">
        <v>287</v>
      </c>
      <c r="J384" s="145" t="s">
        <v>287</v>
      </c>
      <c r="K384" s="145" t="s">
        <v>287</v>
      </c>
      <c r="L384" s="145" t="s">
        <v>287</v>
      </c>
      <c r="M384" s="145" t="s">
        <v>287</v>
      </c>
      <c r="N384" s="145" t="s">
        <v>287</v>
      </c>
      <c r="O384" s="145" t="s">
        <v>287</v>
      </c>
      <c r="P384" s="145" t="s">
        <v>287</v>
      </c>
      <c r="Q384" s="145" t="s">
        <v>287</v>
      </c>
      <c r="R384" s="145" t="s">
        <v>287</v>
      </c>
      <c r="S384" s="145" t="s">
        <v>287</v>
      </c>
      <c r="T384" s="145" t="s">
        <v>287</v>
      </c>
      <c r="U384" s="145" t="s">
        <v>287</v>
      </c>
      <c r="V384" s="145" t="s">
        <v>287</v>
      </c>
      <c r="W384" s="145" t="s">
        <v>287</v>
      </c>
      <c r="X384" s="145" t="s">
        <v>287</v>
      </c>
    </row>
    <row r="385" spans="1:15" hidden="1" x14ac:dyDescent="0.25">
      <c r="A385" s="145" t="s">
        <v>187</v>
      </c>
    </row>
    <row r="386" spans="1:15" hidden="1" x14ac:dyDescent="0.25">
      <c r="A386" s="145" t="s">
        <v>187</v>
      </c>
      <c r="B386" s="145"/>
      <c r="C386" s="145"/>
      <c r="D386" s="28" t="s">
        <v>288</v>
      </c>
      <c r="E386" s="145"/>
      <c r="F386" s="145"/>
      <c r="G386" s="145"/>
      <c r="H386" s="145"/>
      <c r="I386" s="145"/>
      <c r="J386" s="145"/>
      <c r="K386" s="145"/>
      <c r="L386" s="145"/>
      <c r="M386" s="145"/>
      <c r="N386" s="145"/>
      <c r="O386" s="145"/>
    </row>
    <row r="387" spans="1:15" ht="13.8" hidden="1" thickBot="1" x14ac:dyDescent="0.3">
      <c r="A387" s="145" t="s">
        <v>187</v>
      </c>
      <c r="D387" s="2"/>
    </row>
    <row r="388" spans="1:15" hidden="1" x14ac:dyDescent="0.25">
      <c r="A388" s="145" t="s">
        <v>187</v>
      </c>
      <c r="E388" s="55" t="s">
        <v>290</v>
      </c>
      <c r="F388" s="690"/>
      <c r="G388" s="690"/>
      <c r="H388" s="690"/>
      <c r="I388" s="690"/>
      <c r="J388" s="690"/>
      <c r="K388" s="690"/>
      <c r="L388" s="690"/>
      <c r="M388" s="690"/>
      <c r="N388" s="691"/>
    </row>
    <row r="389" spans="1:15" hidden="1" x14ac:dyDescent="0.25">
      <c r="A389" s="145" t="s">
        <v>187</v>
      </c>
      <c r="E389" s="49" t="s">
        <v>291</v>
      </c>
      <c r="F389" s="47"/>
      <c r="G389" s="47"/>
      <c r="H389" s="47"/>
      <c r="I389" s="48">
        <v>1</v>
      </c>
      <c r="J389" s="48">
        <v>2</v>
      </c>
      <c r="K389" s="48">
        <v>3</v>
      </c>
      <c r="L389" s="48">
        <v>4</v>
      </c>
      <c r="M389" s="48">
        <v>5</v>
      </c>
      <c r="N389" s="50"/>
    </row>
    <row r="390" spans="1:15" hidden="1" x14ac:dyDescent="0.25">
      <c r="A390" s="145" t="s">
        <v>187</v>
      </c>
      <c r="E390" s="49" t="s">
        <v>292</v>
      </c>
      <c r="F390" s="47"/>
      <c r="G390" s="47"/>
      <c r="H390" s="47"/>
      <c r="I390" s="48">
        <f>INDEX(EUconst_ReportingYears,I389)</f>
        <v>2014</v>
      </c>
      <c r="J390" s="48">
        <f>INDEX(EUconst_ReportingYears,J389)</f>
        <v>2015</v>
      </c>
      <c r="K390" s="48">
        <f>INDEX(EUconst_ReportingYears,K389)</f>
        <v>2016</v>
      </c>
      <c r="L390" s="48">
        <f>INDEX(EUconst_ReportingYears,L389)</f>
        <v>2017</v>
      </c>
      <c r="M390" s="48">
        <f>INDEX(EUconst_ReportingYears,M389)</f>
        <v>2018</v>
      </c>
      <c r="N390" s="50"/>
    </row>
    <row r="391" spans="1:15" hidden="1" x14ac:dyDescent="0.25">
      <c r="A391" s="145" t="s">
        <v>187</v>
      </c>
      <c r="E391" s="49" t="s">
        <v>293</v>
      </c>
      <c r="F391" s="47"/>
      <c r="G391" s="47"/>
      <c r="H391" s="47"/>
      <c r="I391" s="48">
        <f>IF(CNTR_BaselinePeriod=EUconst_NA,I390,INDEX(EUconst_ReportingYears,I389)+(CNTR_BaselinePeriod-1)*5)</f>
        <v>2019</v>
      </c>
      <c r="J391" s="48">
        <f>IF(CNTR_BaselinePeriod=EUconst_NA,J390,INDEX(EUconst_ReportingYears,J389)+(CNTR_BaselinePeriod-1)*5)</f>
        <v>2020</v>
      </c>
      <c r="K391" s="48">
        <f>IF(CNTR_BaselinePeriod=EUconst_NA,K390,INDEX(EUconst_ReportingYears,K389)+(CNTR_BaselinePeriod-1)*5)</f>
        <v>2021</v>
      </c>
      <c r="L391" s="48">
        <f>IF(CNTR_BaselinePeriod=EUconst_NA,L390,INDEX(EUconst_ReportingYears,L389)+(CNTR_BaselinePeriod-1)*5)</f>
        <v>2022</v>
      </c>
      <c r="M391" s="48">
        <f>IF(CNTR_BaselinePeriod=EUconst_NA,M390,INDEX(EUconst_ReportingYears,M389)+(CNTR_BaselinePeriod-1)*5)</f>
        <v>2023</v>
      </c>
      <c r="N391" s="50"/>
      <c r="O391" s="17"/>
    </row>
    <row r="392" spans="1:15" hidden="1" x14ac:dyDescent="0.25">
      <c r="A392" s="145" t="s">
        <v>187</v>
      </c>
      <c r="E392" s="49" t="s">
        <v>294</v>
      </c>
      <c r="F392" s="47"/>
      <c r="G392" s="47"/>
      <c r="H392" s="47"/>
      <c r="I392" s="48">
        <v>1</v>
      </c>
      <c r="J392" s="48">
        <v>1</v>
      </c>
      <c r="K392" s="48">
        <v>1</v>
      </c>
      <c r="L392" s="48">
        <v>1</v>
      </c>
      <c r="M392" s="48">
        <v>1</v>
      </c>
      <c r="N392" s="50"/>
    </row>
    <row r="393" spans="1:15" hidden="1" x14ac:dyDescent="0.25">
      <c r="A393" s="145" t="s">
        <v>187</v>
      </c>
      <c r="E393" s="49" t="s">
        <v>341</v>
      </c>
      <c r="F393" s="47"/>
      <c r="G393" s="47"/>
      <c r="H393" s="47"/>
      <c r="I393" s="47" t="b">
        <f>(I392=CNTR_BaselinePeriod)</f>
        <v>0</v>
      </c>
      <c r="J393" s="47" t="b">
        <f>(J392=CNTR_BaselinePeriod)</f>
        <v>0</v>
      </c>
      <c r="K393" s="47" t="b">
        <f>(K392=CNTR_BaselinePeriod)</f>
        <v>0</v>
      </c>
      <c r="L393" s="47" t="b">
        <f>(L392=CNTR_BaselinePeriod)</f>
        <v>0</v>
      </c>
      <c r="M393" s="47" t="b">
        <f>(M392=CNTR_BaselinePeriod)</f>
        <v>0</v>
      </c>
      <c r="N393" s="51"/>
    </row>
    <row r="394" spans="1:15" ht="13.8" hidden="1" thickBot="1" x14ac:dyDescent="0.3">
      <c r="A394" s="145" t="s">
        <v>187</v>
      </c>
      <c r="E394" s="52" t="s">
        <v>296</v>
      </c>
      <c r="F394" s="53"/>
      <c r="G394" s="53"/>
      <c r="H394" s="53"/>
      <c r="I394" s="53">
        <f>INDEX(CNTR_BaslineYearRelevant,I389)</f>
        <v>0</v>
      </c>
      <c r="J394" s="53">
        <f>INDEX(CNTR_BaslineYearRelevant,J389)</f>
        <v>0</v>
      </c>
      <c r="K394" s="53">
        <f>INDEX(CNTR_BaslineYearRelevant,K389)</f>
        <v>0</v>
      </c>
      <c r="L394" s="53">
        <f>INDEX(CNTR_BaslineYearRelevant,L389)</f>
        <v>0</v>
      </c>
      <c r="M394" s="53">
        <f>INDEX(CNTR_BaslineYearRelevant,M389)</f>
        <v>0</v>
      </c>
      <c r="N394" s="54"/>
    </row>
    <row r="395" spans="1:15" hidden="1" x14ac:dyDescent="0.25">
      <c r="A395" s="145" t="s">
        <v>187</v>
      </c>
    </row>
  </sheetData>
  <sheetProtection algorithmName="SHA-512" hashValue="iYlwnOY6VBb9fs9F3d8WLZlJitWGu1QB0c5BvvKRqB80DGMGoQ8tgrAkM2+rKI+90HDE+LqRQpaj3MhfMYfULQ==" saltValue="Gpcmc8fi+AyIutpT27LzJg==" spinCount="100000" sheet="1" objects="1" scenarios="1" formatColumns="0" formatRows="0"/>
  <mergeCells count="308">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48:F48"/>
    <mergeCell ref="E49:F49"/>
    <mergeCell ref="E50:F50"/>
    <mergeCell ref="E51:F51"/>
    <mergeCell ref="E73:F73"/>
    <mergeCell ref="E74:F74"/>
    <mergeCell ref="E68:F68"/>
    <mergeCell ref="E69:F69"/>
    <mergeCell ref="E70:F70"/>
    <mergeCell ref="E80:F80"/>
    <mergeCell ref="E72:F72"/>
    <mergeCell ref="E71:F71"/>
    <mergeCell ref="E54:F54"/>
    <mergeCell ref="E55:F55"/>
    <mergeCell ref="E66:F66"/>
    <mergeCell ref="E67:F67"/>
    <mergeCell ref="E56:F56"/>
    <mergeCell ref="E57:F57"/>
    <mergeCell ref="E58:F58"/>
    <mergeCell ref="E59:F59"/>
    <mergeCell ref="E60:F60"/>
    <mergeCell ref="E61:F61"/>
    <mergeCell ref="E62:F62"/>
    <mergeCell ref="E63:F63"/>
    <mergeCell ref="E64:F64"/>
    <mergeCell ref="E65:F65"/>
    <mergeCell ref="K4:L4"/>
    <mergeCell ref="E241:F241"/>
    <mergeCell ref="E242:F242"/>
    <mergeCell ref="E240:F240"/>
    <mergeCell ref="E87:F87"/>
    <mergeCell ref="L227:N227"/>
    <mergeCell ref="E83:F83"/>
    <mergeCell ref="E84:F84"/>
    <mergeCell ref="E85:F85"/>
    <mergeCell ref="E81:F8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M2:N2"/>
    <mergeCell ref="E3:F3"/>
    <mergeCell ref="G3:H3"/>
    <mergeCell ref="I3:J3"/>
    <mergeCell ref="K3:L3"/>
    <mergeCell ref="M3:N3"/>
    <mergeCell ref="G2:H2"/>
    <mergeCell ref="I2:J2"/>
    <mergeCell ref="K2:L2"/>
    <mergeCell ref="D382:N382"/>
    <mergeCell ref="M4:N4"/>
    <mergeCell ref="G5:H5"/>
    <mergeCell ref="I5:J5"/>
    <mergeCell ref="K5:L5"/>
    <mergeCell ref="M5:N5"/>
    <mergeCell ref="B2:D4"/>
    <mergeCell ref="E4:F4"/>
    <mergeCell ref="G4:H4"/>
    <mergeCell ref="I4:J4"/>
    <mergeCell ref="E165:N165"/>
    <mergeCell ref="E217:N217"/>
    <mergeCell ref="E207:F207"/>
    <mergeCell ref="E108:N108"/>
    <mergeCell ref="E142:N142"/>
    <mergeCell ref="E176:N176"/>
    <mergeCell ref="F120:N120"/>
    <mergeCell ref="E122:G122"/>
    <mergeCell ref="E123:G123"/>
    <mergeCell ref="E125:N125"/>
    <mergeCell ref="E378:N378"/>
    <mergeCell ref="D7:N7"/>
    <mergeCell ref="D9:N9"/>
    <mergeCell ref="D11:N11"/>
    <mergeCell ref="E86:F86"/>
    <mergeCell ref="E79:F79"/>
    <mergeCell ref="E138:N138"/>
    <mergeCell ref="E126:N126"/>
    <mergeCell ref="E129:G129"/>
    <mergeCell ref="D135:N135"/>
    <mergeCell ref="E137:N137"/>
    <mergeCell ref="E97:N97"/>
    <mergeCell ref="E131:N131"/>
    <mergeCell ref="L106:N106"/>
    <mergeCell ref="E116:N116"/>
    <mergeCell ref="F117:N117"/>
    <mergeCell ref="F118:N118"/>
    <mergeCell ref="F119:N119"/>
    <mergeCell ref="E93:N93"/>
    <mergeCell ref="E95:G95"/>
    <mergeCell ref="E104:N104"/>
    <mergeCell ref="E82:F82"/>
    <mergeCell ref="E127:N127"/>
    <mergeCell ref="D99:N99"/>
    <mergeCell ref="D101:N101"/>
    <mergeCell ref="E103:N103"/>
    <mergeCell ref="E106:K106"/>
    <mergeCell ref="E107:N107"/>
    <mergeCell ref="E195:N195"/>
    <mergeCell ref="E253:N253"/>
    <mergeCell ref="E286:N286"/>
    <mergeCell ref="E319:N319"/>
    <mergeCell ref="D133:N133"/>
    <mergeCell ref="E147:G147"/>
    <mergeCell ref="D167:N167"/>
    <mergeCell ref="D169:N169"/>
    <mergeCell ref="E171:N171"/>
    <mergeCell ref="E174:K174"/>
    <mergeCell ref="E172:N172"/>
    <mergeCell ref="E181:G181"/>
    <mergeCell ref="E183:N183"/>
    <mergeCell ref="E184:N184"/>
    <mergeCell ref="F185:N185"/>
    <mergeCell ref="L174:N174"/>
    <mergeCell ref="E179:N179"/>
    <mergeCell ref="E264:N264"/>
    <mergeCell ref="E149:N149"/>
    <mergeCell ref="E150:N150"/>
    <mergeCell ref="F151:N151"/>
    <mergeCell ref="E140:K140"/>
    <mergeCell ref="E297:N297"/>
    <mergeCell ref="D221:N221"/>
    <mergeCell ref="E330:N330"/>
    <mergeCell ref="E141:N141"/>
    <mergeCell ref="E144:N144"/>
    <mergeCell ref="E145:N145"/>
    <mergeCell ref="L140:N140"/>
    <mergeCell ref="E157:G157"/>
    <mergeCell ref="E159:N159"/>
    <mergeCell ref="E160:N160"/>
    <mergeCell ref="E163:G163"/>
    <mergeCell ref="F152:N152"/>
    <mergeCell ref="F153:N153"/>
    <mergeCell ref="F154:N154"/>
    <mergeCell ref="E156:G156"/>
    <mergeCell ref="E194:N194"/>
    <mergeCell ref="E203:N203"/>
    <mergeCell ref="E205:N205"/>
    <mergeCell ref="E206:N206"/>
    <mergeCell ref="E208:F208"/>
    <mergeCell ref="E197:G197"/>
    <mergeCell ref="D199:N199"/>
    <mergeCell ref="E201:N201"/>
    <mergeCell ref="E202:N202"/>
    <mergeCell ref="E215:G215"/>
    <mergeCell ref="D219:N219"/>
    <mergeCell ref="E110:N110"/>
    <mergeCell ref="E111:N111"/>
    <mergeCell ref="E113:G113"/>
    <mergeCell ref="E115:N115"/>
    <mergeCell ref="E175:N175"/>
    <mergeCell ref="E178:N178"/>
    <mergeCell ref="E190:G190"/>
    <mergeCell ref="E191:G191"/>
    <mergeCell ref="E193:N193"/>
    <mergeCell ref="F186:N186"/>
    <mergeCell ref="F187:N187"/>
    <mergeCell ref="E188:G188"/>
    <mergeCell ref="E189:G189"/>
    <mergeCell ref="E161:N161"/>
    <mergeCell ref="E223:N223"/>
    <mergeCell ref="E209:F209"/>
    <mergeCell ref="E210:F210"/>
    <mergeCell ref="E212:N212"/>
    <mergeCell ref="E213:N213"/>
    <mergeCell ref="E232:N232"/>
    <mergeCell ref="E233:N233"/>
    <mergeCell ref="E234:N234"/>
    <mergeCell ref="F235:N235"/>
    <mergeCell ref="E224:N224"/>
    <mergeCell ref="E227:K227"/>
    <mergeCell ref="E228:N228"/>
    <mergeCell ref="E231:N231"/>
    <mergeCell ref="E225:N225"/>
    <mergeCell ref="E229:N229"/>
    <mergeCell ref="F236:N236"/>
    <mergeCell ref="E237:N237"/>
    <mergeCell ref="E239:F239"/>
    <mergeCell ref="E249:N249"/>
    <mergeCell ref="E243:F243"/>
    <mergeCell ref="E247:F247"/>
    <mergeCell ref="E246:F246"/>
    <mergeCell ref="E244:F244"/>
    <mergeCell ref="E245:F245"/>
    <mergeCell ref="D259:N259"/>
    <mergeCell ref="D261:N261"/>
    <mergeCell ref="E263:N263"/>
    <mergeCell ref="E257:N257"/>
    <mergeCell ref="E250:N250"/>
    <mergeCell ref="E251:N251"/>
    <mergeCell ref="E252:N252"/>
    <mergeCell ref="E255:G255"/>
    <mergeCell ref="E265:N265"/>
    <mergeCell ref="E267:K267"/>
    <mergeCell ref="E268:N268"/>
    <mergeCell ref="E271:N271"/>
    <mergeCell ref="L267:N267"/>
    <mergeCell ref="E269:N269"/>
    <mergeCell ref="E278:N278"/>
    <mergeCell ref="E279:N279"/>
    <mergeCell ref="E281:G281"/>
    <mergeCell ref="E283:N283"/>
    <mergeCell ref="E272:N272"/>
    <mergeCell ref="E273:N273"/>
    <mergeCell ref="E275:G275"/>
    <mergeCell ref="E277:N277"/>
    <mergeCell ref="D294:N294"/>
    <mergeCell ref="E296:N296"/>
    <mergeCell ref="E298:N298"/>
    <mergeCell ref="E300:K300"/>
    <mergeCell ref="L300:N300"/>
    <mergeCell ref="E284:N284"/>
    <mergeCell ref="E285:N285"/>
    <mergeCell ref="E288:G288"/>
    <mergeCell ref="D292:N292"/>
    <mergeCell ref="E290:N290"/>
    <mergeCell ref="E308:G308"/>
    <mergeCell ref="E310:N310"/>
    <mergeCell ref="E311:N311"/>
    <mergeCell ref="E312:N312"/>
    <mergeCell ref="E301:N301"/>
    <mergeCell ref="E304:N304"/>
    <mergeCell ref="E305:N305"/>
    <mergeCell ref="E306:N306"/>
    <mergeCell ref="E302:N302"/>
    <mergeCell ref="E321:G321"/>
    <mergeCell ref="D325:N325"/>
    <mergeCell ref="D327:N327"/>
    <mergeCell ref="E329:N329"/>
    <mergeCell ref="E323:N323"/>
    <mergeCell ref="E314:G314"/>
    <mergeCell ref="E316:N316"/>
    <mergeCell ref="E317:N317"/>
    <mergeCell ref="E318:N318"/>
    <mergeCell ref="E332:K332"/>
    <mergeCell ref="E333:N333"/>
    <mergeCell ref="E336:N336"/>
    <mergeCell ref="E337:N337"/>
    <mergeCell ref="E334:N334"/>
    <mergeCell ref="L332:N332"/>
    <mergeCell ref="E343:F343"/>
    <mergeCell ref="E344:G344"/>
    <mergeCell ref="E346:N346"/>
    <mergeCell ref="E347:N347"/>
    <mergeCell ref="E338:N338"/>
    <mergeCell ref="E340:F340"/>
    <mergeCell ref="E341:F341"/>
    <mergeCell ref="E342:F342"/>
    <mergeCell ref="E359:N359"/>
    <mergeCell ref="F360:N360"/>
    <mergeCell ref="F361:N361"/>
    <mergeCell ref="F362:N362"/>
    <mergeCell ref="E350:G350"/>
    <mergeCell ref="D354:N354"/>
    <mergeCell ref="D356:N356"/>
    <mergeCell ref="E358:N358"/>
    <mergeCell ref="E352:N352"/>
    <mergeCell ref="E348:N348"/>
    <mergeCell ref="F363:N363"/>
    <mergeCell ref="E365:K365"/>
    <mergeCell ref="E366:N366"/>
    <mergeCell ref="E369:N369"/>
    <mergeCell ref="E367:N367"/>
    <mergeCell ref="L365:N365"/>
    <mergeCell ref="E374:G374"/>
    <mergeCell ref="E375:G375"/>
    <mergeCell ref="E376:G376"/>
    <mergeCell ref="E370:N370"/>
    <mergeCell ref="E371:G371"/>
    <mergeCell ref="E372:G372"/>
    <mergeCell ref="E373:G373"/>
  </mergeCells>
  <phoneticPr fontId="31" type="noConversion"/>
  <conditionalFormatting sqref="I32:M87">
    <cfRule type="expression" dxfId="86" priority="325" stopIfTrue="1">
      <formula>($L$17=EUconst_NotRelevant)</formula>
    </cfRule>
  </conditionalFormatting>
  <conditionalFormatting sqref="I308:M308 I314:M314">
    <cfRule type="expression" dxfId="85" priority="303" stopIfTrue="1">
      <formula>($L$300=EUconst_NotRelevant)</formula>
    </cfRule>
  </conditionalFormatting>
  <conditionalFormatting sqref="I340:M343">
    <cfRule type="expression" dxfId="84" priority="301" stopIfTrue="1">
      <formula>($L$332=EUconst_NotRelevant)</formula>
    </cfRule>
  </conditionalFormatting>
  <conditionalFormatting sqref="I372:M374">
    <cfRule type="expression" dxfId="83" priority="299" stopIfTrue="1">
      <formula>($L$365=EUconst_NotRelevant)</formula>
    </cfRule>
  </conditionalFormatting>
  <conditionalFormatting sqref="I113:N113">
    <cfRule type="expression" dxfId="82" priority="39" stopIfTrue="1">
      <formula>($L$106=EUconst_NotRelevant)</formula>
    </cfRule>
  </conditionalFormatting>
  <conditionalFormatting sqref="I122:N123">
    <cfRule type="expression" dxfId="81" priority="36" stopIfTrue="1">
      <formula>($L$106=EUconst_NotRelevant)</formula>
    </cfRule>
  </conditionalFormatting>
  <conditionalFormatting sqref="I147:N147 I156:N157">
    <cfRule type="expression" dxfId="80" priority="317" stopIfTrue="1">
      <formula>($L$140=EUconst_NotRelevant)</formula>
    </cfRule>
  </conditionalFormatting>
  <conditionalFormatting sqref="I181:N181 I189:N191">
    <cfRule type="expression" dxfId="79" priority="313" stopIfTrue="1">
      <formula>($L$174=EUconst_NotRelevant)</formula>
    </cfRule>
  </conditionalFormatting>
  <conditionalFormatting sqref="I240:N247">
    <cfRule type="expression" dxfId="78" priority="311" stopIfTrue="1">
      <formula>($L$227=EUconst_NotRelevant)</formula>
    </cfRule>
  </conditionalFormatting>
  <conditionalFormatting sqref="I275:N275 I281:N281">
    <cfRule type="expression" dxfId="77" priority="307" stopIfTrue="1">
      <formula>($L$267=EUconst_NotRelevant)</formula>
    </cfRule>
  </conditionalFormatting>
  <conditionalFormatting sqref="N31:N87">
    <cfRule type="expression" dxfId="76" priority="41" stopIfTrue="1">
      <formula>$V31</formula>
    </cfRule>
  </conditionalFormatting>
  <conditionalFormatting sqref="N94:N95">
    <cfRule type="expression" dxfId="75" priority="40" stopIfTrue="1">
      <formula>$V94</formula>
    </cfRule>
  </conditionalFormatting>
  <conditionalFormatting sqref="N112:N113">
    <cfRule type="expression" dxfId="74" priority="38" stopIfTrue="1">
      <formula>$V112</formula>
    </cfRule>
  </conditionalFormatting>
  <conditionalFormatting sqref="N121:N123">
    <cfRule type="expression" dxfId="73" priority="35" stopIfTrue="1">
      <formula>$V121</formula>
    </cfRule>
  </conditionalFormatting>
  <conditionalFormatting sqref="N128:N129">
    <cfRule type="expression" dxfId="72" priority="33" stopIfTrue="1">
      <formula>$V128</formula>
    </cfRule>
  </conditionalFormatting>
  <conditionalFormatting sqref="N146:N147">
    <cfRule type="expression" dxfId="71" priority="30" stopIfTrue="1">
      <formula>$V146</formula>
    </cfRule>
  </conditionalFormatting>
  <conditionalFormatting sqref="N155:N157">
    <cfRule type="expression" dxfId="70" priority="29" stopIfTrue="1">
      <formula>$V155</formula>
    </cfRule>
  </conditionalFormatting>
  <conditionalFormatting sqref="N162:N163">
    <cfRule type="expression" dxfId="69" priority="1" stopIfTrue="1">
      <formula>$V162</formula>
    </cfRule>
  </conditionalFormatting>
  <conditionalFormatting sqref="N180:N181">
    <cfRule type="expression" dxfId="68" priority="25" stopIfTrue="1">
      <formula>$V180</formula>
    </cfRule>
  </conditionalFormatting>
  <conditionalFormatting sqref="N188:N191">
    <cfRule type="expression" dxfId="67" priority="22" stopIfTrue="1">
      <formula>$V188</formula>
    </cfRule>
  </conditionalFormatting>
  <conditionalFormatting sqref="N196:N197">
    <cfRule type="expression" dxfId="66" priority="20" stopIfTrue="1">
      <formula>$V196</formula>
    </cfRule>
  </conditionalFormatting>
  <conditionalFormatting sqref="N207:N210">
    <cfRule type="expression" dxfId="65" priority="19" stopIfTrue="1">
      <formula>$V188</formula>
    </cfRule>
  </conditionalFormatting>
  <conditionalFormatting sqref="N239:N247">
    <cfRule type="expression" dxfId="64" priority="18" stopIfTrue="1">
      <formula>$V239</formula>
    </cfRule>
  </conditionalFormatting>
  <conditionalFormatting sqref="N254:N255">
    <cfRule type="expression" dxfId="63" priority="17" stopIfTrue="1">
      <formula>$V254</formula>
    </cfRule>
  </conditionalFormatting>
  <conditionalFormatting sqref="N274:N275">
    <cfRule type="expression" dxfId="62" priority="16" stopIfTrue="1">
      <formula>$V274</formula>
    </cfRule>
  </conditionalFormatting>
  <conditionalFormatting sqref="N280:N281">
    <cfRule type="expression" dxfId="61" priority="15" stopIfTrue="1">
      <formula>$V280</formula>
    </cfRule>
  </conditionalFormatting>
  <conditionalFormatting sqref="N287:N288">
    <cfRule type="expression" dxfId="60" priority="14" stopIfTrue="1">
      <formula>$V287</formula>
    </cfRule>
  </conditionalFormatting>
  <conditionalFormatting sqref="N307:N308">
    <cfRule type="expression" dxfId="59" priority="11" stopIfTrue="1">
      <formula>$V307</formula>
    </cfRule>
  </conditionalFormatting>
  <conditionalFormatting sqref="N313:N314">
    <cfRule type="expression" dxfId="58" priority="8" stopIfTrue="1">
      <formula>$V313</formula>
    </cfRule>
  </conditionalFormatting>
  <conditionalFormatting sqref="N320:N321">
    <cfRule type="expression" dxfId="57" priority="7" stopIfTrue="1">
      <formula>$V320</formula>
    </cfRule>
  </conditionalFormatting>
  <conditionalFormatting sqref="N339:N344">
    <cfRule type="expression" dxfId="56" priority="6" stopIfTrue="1">
      <formula>$V339</formula>
    </cfRule>
  </conditionalFormatting>
  <conditionalFormatting sqref="N349:N350">
    <cfRule type="expression" dxfId="55" priority="4" stopIfTrue="1">
      <formula>$V349</formula>
    </cfRule>
  </conditionalFormatting>
  <conditionalFormatting sqref="N371:N376">
    <cfRule type="expression" dxfId="54" priority="3" stopIfTrue="1">
      <formula>$V$371</formula>
    </cfRule>
  </conditionalFormatting>
  <dataValidations disablePrompts="1" count="2">
    <dataValidation type="decimal" allowBlank="1" showInputMessage="1" showErrorMessage="1" errorTitle="0 &lt; value &lt; 1" error="Values should be between 0 and 1." sqref="I281:N281 I314:N314" xr:uid="{A81EBABA-924C-40F2-A037-8E9A6FCBD1C7}">
      <formula1>0</formula1>
      <formula2>1</formula2>
    </dataValidation>
    <dataValidation type="decimal" allowBlank="1" showInputMessage="1" showErrorMessage="1" errorTitle="0 &lt; value &lt; 100" error="Values should be between 0 and 100." sqref="I156:N157 I122:N123" xr:uid="{0BC3A7B5-C5AD-4024-9EEC-CCD090775F2C}">
      <formula1>0</formula1>
      <formula2>100</formula2>
    </dataValidation>
  </dataValidations>
  <hyperlinks>
    <hyperlink ref="G2:H2" location="JUMP_TOC_Home" display="Table of contents" xr:uid="{AA023A7C-3D91-4F7D-BA0A-8175C8949CBB}"/>
    <hyperlink ref="M2:N2" location="JUMP_K_I" display="Summary" xr:uid="{5BF0EB72-2BEF-4794-BB89-7F629E21B4F4}"/>
    <hyperlink ref="E3:F3" location="JUMP_H_Top" display="Top of sheet" xr:uid="{88793A3A-4FD4-4E4E-98D2-EFC204C5FC2B}"/>
    <hyperlink ref="I2:J2" location="JUMP_G_Top" display="Previous sheet" xr:uid="{D045E7D2-E127-4442-AC54-2D1DF82B2D2D}"/>
    <hyperlink ref="G3:H3" location="JUMP_H_I" display="JUMP_H_I" xr:uid="{EA9938FB-4E90-4640-9F5B-AE7EF68EB870}"/>
    <hyperlink ref="I3:J3" location="JUMP_H_II" display="JUMP_H_II" xr:uid="{C24ED1A8-ED02-45E6-952A-1EAAC87BE342}"/>
    <hyperlink ref="K3:L3" location="JUMP_H_III" display="JUMP_H_III" xr:uid="{27ECA57C-46A7-4ACC-9075-AA5E629511CD}"/>
    <hyperlink ref="M3:N3" location="JUMP_H_IV" display="JUMP_H_IV" xr:uid="{9434F0F2-49C7-450C-A5C2-A3163AC1A4EE}"/>
    <hyperlink ref="G4:H4" location="JUMP_H_V" display="JUMP_H_V" xr:uid="{AEC0D0F1-38C5-4636-8BFF-8CECE9F54203}"/>
    <hyperlink ref="I4:J4" location="JUMP_H_VI" display="JUMP_H_VI" xr:uid="{312CB328-B4C0-45D9-9455-6F8B14BB8223}"/>
    <hyperlink ref="K4:L4" location="JUMP_H_VII" display="JUMP_H_VII" xr:uid="{8EAC20C2-F469-480C-A02D-8EABCDBDADE7}"/>
    <hyperlink ref="M4:N4" location="JUMP_H_VIII" display="JUMP_H_VIII" xr:uid="{583EC817-7DCF-482D-AC99-96752CB1D66D}"/>
    <hyperlink ref="G5:H5" location="JUMP_H_IX" display="JUMP_H_IX" xr:uid="{43552C2C-1CD7-47F0-90E5-117168038571}"/>
    <hyperlink ref="E4:F4" location="JUMP_H_Bottom" display="End of sheet" xr:uid="{F54413B7-2748-450B-BF3E-530E98B2D232}"/>
    <hyperlink ref="D382:N382" location="JUMP_I_Top" display="&lt;&lt;&lt; Click here to proceed to next sheet &gt;&gt;&gt; " xr:uid="{7925120E-D00D-4644-A8BA-93AA3F2A8B6F}"/>
    <hyperlink ref="K2:L2" location="JUMP_I_Top" display="Next sheet" xr:uid="{E22E0049-6FA1-406B-8099-4DE1D182090C}"/>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610B8-8C15-4F99-BC8C-9DB13D145587}">
  <sheetPr codeName="Tabelle18">
    <tabColor indexed="9"/>
    <pageSetUpPr fitToPage="1"/>
  </sheetPr>
  <dimension ref="A1:N139"/>
  <sheetViews>
    <sheetView zoomScaleNormal="100" workbookViewId="0">
      <pane ySplit="3" topLeftCell="A4" activePane="bottomLeft" state="frozen"/>
      <selection pane="bottomLeft" activeCell="A4" sqref="A4"/>
    </sheetView>
  </sheetViews>
  <sheetFormatPr defaultColWidth="0" defaultRowHeight="13.2" zeroHeight="1" x14ac:dyDescent="0.25"/>
  <cols>
    <col min="1" max="1" width="2.6640625" style="21" customWidth="1"/>
    <col min="2" max="3" width="4.6640625" style="21" customWidth="1"/>
    <col min="4" max="13" width="12.6640625" style="21" customWidth="1"/>
    <col min="14" max="14" width="11.6640625" style="21" customWidth="1"/>
    <col min="15" max="16384" width="11.44140625" style="21" hidden="1"/>
  </cols>
  <sheetData>
    <row r="1" spans="1:14" ht="13.8" thickBot="1" x14ac:dyDescent="0.3">
      <c r="A1" s="1282" t="s">
        <v>529</v>
      </c>
      <c r="B1" s="1283"/>
      <c r="C1" s="1284"/>
      <c r="D1" s="318" t="str">
        <f>Translations!$B$2</f>
        <v>Navigation area:</v>
      </c>
      <c r="E1" s="319"/>
      <c r="F1" s="1291" t="str">
        <f>Translations!$B$18</f>
        <v>Table of contents</v>
      </c>
      <c r="G1" s="1147"/>
      <c r="H1" s="1147" t="str">
        <f>Translations!$B$19</f>
        <v>Previous sheet</v>
      </c>
      <c r="I1" s="1147"/>
      <c r="J1" s="1147" t="str">
        <f>Translations!$B$3</f>
        <v>Next sheet</v>
      </c>
      <c r="K1" s="1147"/>
      <c r="L1" s="1147" t="str">
        <f>Translations!$B$4</f>
        <v>Summary</v>
      </c>
      <c r="M1" s="1147"/>
      <c r="N1" s="17"/>
    </row>
    <row r="2" spans="1:14" ht="13.8" thickBot="1" x14ac:dyDescent="0.3">
      <c r="A2" s="1665"/>
      <c r="B2" s="1666"/>
      <c r="C2" s="1667"/>
      <c r="D2" s="1147" t="str">
        <f>Translations!$B$5</f>
        <v>Top of sheet</v>
      </c>
      <c r="E2" s="1276"/>
      <c r="F2" s="1149"/>
      <c r="G2" s="1149"/>
      <c r="H2" s="1149"/>
      <c r="I2" s="1149"/>
      <c r="J2" s="1149"/>
      <c r="K2" s="1149"/>
      <c r="L2" s="1149"/>
      <c r="M2" s="1149"/>
      <c r="N2" s="17"/>
    </row>
    <row r="3" spans="1:14" ht="13.8" thickBot="1" x14ac:dyDescent="0.3">
      <c r="A3" s="1668"/>
      <c r="B3" s="1669"/>
      <c r="C3" s="1670"/>
      <c r="D3" s="1147" t="str">
        <f>Translations!$B$6</f>
        <v>End of sheet</v>
      </c>
      <c r="E3" s="1147"/>
      <c r="F3" s="1149"/>
      <c r="G3" s="1149"/>
      <c r="H3" s="1149"/>
      <c r="I3" s="1149"/>
      <c r="J3" s="1149"/>
      <c r="K3" s="1149"/>
      <c r="L3" s="1149"/>
      <c r="M3" s="1149"/>
      <c r="N3" s="17"/>
    </row>
    <row r="4" spans="1:14" x14ac:dyDescent="0.25">
      <c r="A4" s="5"/>
      <c r="B4" s="6"/>
      <c r="C4" s="5"/>
      <c r="D4" s="5"/>
      <c r="E4" s="7"/>
      <c r="F4" s="7"/>
      <c r="G4" s="7"/>
      <c r="H4" s="5"/>
      <c r="I4" s="5"/>
      <c r="J4" s="5"/>
      <c r="K4" s="5"/>
      <c r="L4" s="8"/>
      <c r="M4" s="8"/>
      <c r="N4" s="8"/>
    </row>
    <row r="5" spans="1:14" ht="23.25" customHeight="1" x14ac:dyDescent="0.25">
      <c r="A5" s="5"/>
      <c r="B5" s="10" t="s">
        <v>18</v>
      </c>
      <c r="C5" s="1674" t="s">
        <v>530</v>
      </c>
      <c r="D5" s="1674"/>
      <c r="E5" s="1674"/>
      <c r="F5" s="1674"/>
      <c r="G5" s="1674"/>
      <c r="H5" s="1674"/>
      <c r="I5" s="1674"/>
      <c r="J5" s="1674"/>
      <c r="K5" s="1674"/>
      <c r="L5" s="1674"/>
      <c r="M5" s="1674"/>
      <c r="N5" s="8"/>
    </row>
    <row r="6" spans="1:14" ht="23.25" customHeight="1" x14ac:dyDescent="0.3">
      <c r="A6" s="5"/>
      <c r="B6" s="13" t="s">
        <v>3</v>
      </c>
      <c r="C6" s="1673" t="s">
        <v>44</v>
      </c>
      <c r="D6" s="1673"/>
      <c r="E6" s="1673"/>
      <c r="F6" s="1673"/>
      <c r="G6" s="1673"/>
      <c r="H6" s="1673"/>
      <c r="I6" s="1673"/>
      <c r="J6" s="1673"/>
      <c r="K6" s="1673"/>
      <c r="L6" s="1673"/>
      <c r="M6" s="1673"/>
      <c r="N6" s="8"/>
    </row>
    <row r="7" spans="1:14" ht="7.95" customHeight="1" x14ac:dyDescent="0.25">
      <c r="A7" s="5"/>
      <c r="B7" s="10"/>
      <c r="C7" s="508"/>
      <c r="D7" s="508"/>
      <c r="E7" s="508"/>
      <c r="F7" s="508"/>
      <c r="G7" s="508"/>
      <c r="H7" s="508"/>
      <c r="I7" s="508"/>
      <c r="J7" s="508"/>
      <c r="K7" s="508"/>
      <c r="L7" s="508"/>
      <c r="M7" s="508"/>
      <c r="N7" s="8"/>
    </row>
    <row r="8" spans="1:14" ht="29.4" customHeight="1" x14ac:dyDescent="0.25">
      <c r="A8" s="5"/>
      <c r="B8" s="5"/>
      <c r="C8" s="16" t="s">
        <v>531</v>
      </c>
      <c r="D8" s="1208" t="s">
        <v>532</v>
      </c>
      <c r="E8" s="1208"/>
      <c r="F8" s="1208"/>
      <c r="G8" s="1208"/>
      <c r="H8" s="1208"/>
      <c r="I8" s="1208"/>
      <c r="J8" s="1208"/>
      <c r="K8" s="1208"/>
      <c r="L8" s="1208"/>
      <c r="M8" s="1208"/>
      <c r="N8" s="8"/>
    </row>
    <row r="9" spans="1:14" x14ac:dyDescent="0.25">
      <c r="A9" s="5"/>
      <c r="B9" s="5"/>
      <c r="C9" s="1671" t="s">
        <v>269</v>
      </c>
      <c r="D9" s="1671"/>
      <c r="E9" s="1075">
        <v>2024</v>
      </c>
      <c r="F9" s="1093"/>
      <c r="G9" s="1093"/>
      <c r="H9" s="1093"/>
      <c r="I9" s="1093"/>
      <c r="J9" s="1093"/>
      <c r="K9" s="1093"/>
      <c r="L9" s="1093"/>
      <c r="M9" s="1093"/>
      <c r="N9" s="8"/>
    </row>
    <row r="10" spans="1:14" x14ac:dyDescent="0.25">
      <c r="A10" s="5"/>
      <c r="B10" s="5"/>
      <c r="C10" s="1672" t="s">
        <v>533</v>
      </c>
      <c r="D10" s="1672"/>
      <c r="E10" s="1077"/>
      <c r="F10" s="1093"/>
      <c r="G10" s="1093"/>
      <c r="H10" s="1093"/>
      <c r="I10" s="1093"/>
      <c r="J10" s="1093"/>
      <c r="K10" s="1093"/>
      <c r="L10" s="1093"/>
      <c r="M10" s="1093"/>
      <c r="N10" s="8"/>
    </row>
    <row r="11" spans="1:14" x14ac:dyDescent="0.25">
      <c r="A11" s="5"/>
      <c r="B11" s="5"/>
      <c r="C11" s="17"/>
      <c r="D11" s="1093"/>
      <c r="E11" s="1093"/>
      <c r="F11" s="1093"/>
      <c r="G11" s="1093"/>
      <c r="H11" s="1093"/>
      <c r="I11" s="1093"/>
      <c r="J11" s="1093"/>
      <c r="K11" s="1093"/>
      <c r="L11" s="1093"/>
      <c r="M11" s="1093"/>
      <c r="N11" s="8"/>
    </row>
    <row r="12" spans="1:14" x14ac:dyDescent="0.25">
      <c r="A12" s="5"/>
      <c r="B12" s="5"/>
      <c r="C12" s="16">
        <v>2</v>
      </c>
      <c r="D12" s="1208" t="s">
        <v>534</v>
      </c>
      <c r="E12" s="1208"/>
      <c r="F12" s="1208"/>
      <c r="G12" s="1208"/>
      <c r="H12" s="1208"/>
      <c r="I12" s="1208"/>
      <c r="J12" s="1208"/>
      <c r="K12" s="1208"/>
      <c r="L12" s="1208"/>
      <c r="M12" s="1208"/>
      <c r="N12" s="8"/>
    </row>
    <row r="13" spans="1:14" ht="3.6" customHeight="1" x14ac:dyDescent="0.25">
      <c r="A13" s="5"/>
      <c r="B13" s="5"/>
      <c r="C13" s="17"/>
      <c r="D13" s="1093"/>
      <c r="E13" s="1093"/>
      <c r="F13" s="1093"/>
      <c r="G13" s="1093"/>
      <c r="H13" s="1093"/>
      <c r="I13" s="1093"/>
      <c r="J13" s="1093"/>
      <c r="K13" s="1093"/>
      <c r="L13" s="1093"/>
      <c r="M13" s="1093"/>
      <c r="N13" s="8"/>
    </row>
    <row r="14" spans="1:14" x14ac:dyDescent="0.25">
      <c r="A14" s="5"/>
      <c r="B14" s="5"/>
      <c r="C14" s="17"/>
      <c r="D14" s="1093"/>
      <c r="E14" s="1077"/>
      <c r="F14" s="1093"/>
      <c r="G14" s="1093"/>
      <c r="H14" s="1093"/>
      <c r="I14" s="1093"/>
      <c r="J14" s="1093"/>
      <c r="K14" s="1093"/>
      <c r="L14" s="1093"/>
      <c r="M14" s="1093"/>
      <c r="N14" s="8"/>
    </row>
    <row r="15" spans="1:14" x14ac:dyDescent="0.25">
      <c r="A15" s="5"/>
      <c r="B15" s="5"/>
      <c r="C15" s="17"/>
      <c r="D15" s="1093"/>
      <c r="E15" s="1093"/>
      <c r="F15" s="1093"/>
      <c r="G15" s="1093"/>
      <c r="H15" s="1093"/>
      <c r="I15" s="1093"/>
      <c r="J15" s="1093"/>
      <c r="K15" s="1093"/>
      <c r="L15" s="1093"/>
      <c r="M15" s="1093"/>
      <c r="N15" s="8"/>
    </row>
    <row r="16" spans="1:14" ht="15.6" x14ac:dyDescent="0.3">
      <c r="A16" s="5"/>
      <c r="B16" s="13" t="s">
        <v>4</v>
      </c>
      <c r="C16" s="1673" t="s">
        <v>49</v>
      </c>
      <c r="D16" s="1673"/>
      <c r="E16" s="1673"/>
      <c r="F16" s="1673"/>
      <c r="G16" s="1673"/>
      <c r="H16" s="1673"/>
      <c r="I16" s="1673"/>
      <c r="J16" s="1673"/>
      <c r="K16" s="1673"/>
      <c r="L16" s="1673"/>
      <c r="M16" s="1673"/>
      <c r="N16" s="8"/>
    </row>
    <row r="17" spans="1:14" ht="5.0999999999999996" customHeight="1" x14ac:dyDescent="0.25">
      <c r="A17" s="5"/>
      <c r="B17" s="5"/>
      <c r="C17" s="5"/>
      <c r="D17" s="5"/>
      <c r="E17" s="5"/>
      <c r="F17" s="5"/>
      <c r="G17" s="5"/>
      <c r="H17" s="5"/>
      <c r="I17" s="5"/>
      <c r="J17" s="5"/>
      <c r="K17" s="5"/>
      <c r="L17" s="8"/>
      <c r="M17" s="8"/>
      <c r="N17" s="8"/>
    </row>
    <row r="18" spans="1:14" ht="32.4" customHeight="1" x14ac:dyDescent="0.25">
      <c r="A18" s="17"/>
      <c r="B18" s="17"/>
      <c r="C18" s="1663" t="s">
        <v>535</v>
      </c>
      <c r="D18" s="1663"/>
      <c r="E18" s="1663"/>
      <c r="F18" s="1663"/>
      <c r="G18" s="1663"/>
      <c r="H18" s="1663"/>
      <c r="I18" s="1663"/>
      <c r="J18" s="1663"/>
      <c r="K18" s="1663"/>
      <c r="L18" s="1663"/>
      <c r="M18" s="1663"/>
      <c r="N18" s="17"/>
    </row>
    <row r="19" spans="1:14" x14ac:dyDescent="0.25">
      <c r="A19" s="17"/>
      <c r="B19" s="17"/>
      <c r="C19" s="1223" t="s">
        <v>536</v>
      </c>
      <c r="D19" s="1176"/>
      <c r="E19" s="1176"/>
      <c r="F19" s="1176"/>
      <c r="G19" s="1176"/>
      <c r="H19" s="1176"/>
      <c r="I19" s="1176"/>
      <c r="J19" s="1176"/>
      <c r="K19" s="1176"/>
      <c r="L19" s="1176"/>
      <c r="M19" s="17"/>
      <c r="N19" s="17"/>
    </row>
    <row r="20" spans="1:14" ht="97.95" customHeight="1" x14ac:dyDescent="0.25">
      <c r="A20" s="17"/>
      <c r="B20" s="17"/>
      <c r="C20" s="630"/>
      <c r="D20" s="1223" t="s">
        <v>537</v>
      </c>
      <c r="E20" s="1176"/>
      <c r="F20" s="1176"/>
      <c r="G20" s="1176"/>
      <c r="H20" s="1176"/>
      <c r="I20" s="1176"/>
      <c r="J20" s="1176"/>
      <c r="K20" s="1176"/>
      <c r="L20" s="1176"/>
      <c r="M20" s="17"/>
      <c r="N20" s="17"/>
    </row>
    <row r="21" spans="1:14" x14ac:dyDescent="0.25">
      <c r="A21" s="17"/>
      <c r="B21" s="17"/>
      <c r="C21" s="113" t="s">
        <v>206</v>
      </c>
      <c r="D21" s="1171" t="s">
        <v>538</v>
      </c>
      <c r="E21" s="1171"/>
      <c r="F21" s="1171"/>
      <c r="G21" s="1171"/>
      <c r="H21" s="1171"/>
      <c r="I21" s="1171"/>
      <c r="J21" s="1233"/>
      <c r="K21" s="1530"/>
      <c r="L21" s="1532"/>
      <c r="M21" s="17"/>
      <c r="N21" s="17"/>
    </row>
    <row r="22" spans="1:14" ht="6.6" customHeight="1" x14ac:dyDescent="0.25">
      <c r="A22" s="17"/>
      <c r="B22" s="17"/>
      <c r="C22" s="113"/>
      <c r="D22" s="493"/>
      <c r="E22" s="493"/>
      <c r="F22" s="493"/>
      <c r="G22" s="493"/>
      <c r="H22" s="493"/>
      <c r="I22" s="493"/>
      <c r="J22" s="493"/>
      <c r="K22" s="17"/>
      <c r="L22" s="17"/>
      <c r="M22" s="17"/>
      <c r="N22" s="17"/>
    </row>
    <row r="23" spans="1:14" ht="32.4" customHeight="1" x14ac:dyDescent="0.25">
      <c r="A23" s="17"/>
      <c r="B23" s="17"/>
      <c r="C23" s="630"/>
      <c r="D23" s="1378" t="s">
        <v>539</v>
      </c>
      <c r="E23" s="1168"/>
      <c r="F23" s="1168"/>
      <c r="G23" s="1168"/>
      <c r="H23" s="1168"/>
      <c r="I23" s="1168"/>
      <c r="J23" s="1168"/>
      <c r="K23" s="1168"/>
      <c r="L23" s="1168"/>
      <c r="M23" s="17"/>
      <c r="N23" s="17"/>
    </row>
    <row r="24" spans="1:14" ht="18" customHeight="1" x14ac:dyDescent="0.25">
      <c r="A24" s="17"/>
      <c r="B24" s="1659" t="s">
        <v>540</v>
      </c>
      <c r="C24" s="1659"/>
      <c r="D24" s="1659"/>
      <c r="E24" s="1659"/>
      <c r="F24" s="1659"/>
      <c r="G24" s="1659"/>
      <c r="H24" s="1659"/>
      <c r="I24" s="1659"/>
      <c r="J24" s="1659"/>
      <c r="K24" s="1659"/>
      <c r="L24" s="1659"/>
      <c r="M24" s="1659"/>
      <c r="N24" s="17"/>
    </row>
    <row r="25" spans="1:14" ht="13.2" customHeight="1" x14ac:dyDescent="0.25">
      <c r="A25" s="17"/>
      <c r="B25" s="17"/>
      <c r="C25" s="16">
        <v>1</v>
      </c>
      <c r="D25" s="1208" t="s">
        <v>541</v>
      </c>
      <c r="E25" s="1208"/>
      <c r="F25" s="1208"/>
      <c r="G25" s="1208"/>
      <c r="H25" s="1208"/>
      <c r="I25" s="1208"/>
      <c r="J25" s="1208"/>
      <c r="K25" s="1208"/>
      <c r="L25" s="1208"/>
      <c r="M25" s="1208"/>
      <c r="N25" s="1078"/>
    </row>
    <row r="26" spans="1:14" ht="4.2" customHeight="1" x14ac:dyDescent="0.25">
      <c r="A26" s="17"/>
      <c r="B26" s="17"/>
      <c r="C26" s="17"/>
      <c r="D26" s="17"/>
      <c r="E26" s="17"/>
      <c r="F26" s="17"/>
      <c r="G26" s="17"/>
      <c r="H26" s="17"/>
      <c r="I26" s="17"/>
      <c r="J26" s="17"/>
      <c r="K26" s="17"/>
      <c r="L26" s="17"/>
      <c r="M26" s="17"/>
      <c r="N26" s="17"/>
    </row>
    <row r="27" spans="1:14" x14ac:dyDescent="0.25">
      <c r="A27" s="17"/>
      <c r="B27" s="17"/>
      <c r="C27" s="1671" t="s">
        <v>269</v>
      </c>
      <c r="D27" s="1671"/>
      <c r="E27" s="1075">
        <v>2021</v>
      </c>
      <c r="F27" s="1075">
        <v>2022</v>
      </c>
      <c r="G27" s="1075">
        <v>2023</v>
      </c>
      <c r="H27" s="17"/>
      <c r="I27" s="17"/>
      <c r="J27" s="17"/>
      <c r="K27" s="17"/>
      <c r="L27" s="17"/>
      <c r="M27" s="17"/>
      <c r="N27" s="17"/>
    </row>
    <row r="28" spans="1:14" x14ac:dyDescent="0.25">
      <c r="A28" s="17"/>
      <c r="B28" s="17"/>
      <c r="C28" s="1672" t="s">
        <v>542</v>
      </c>
      <c r="D28" s="1672"/>
      <c r="E28" s="1077"/>
      <c r="F28" s="1077"/>
      <c r="G28" s="1077"/>
      <c r="H28" s="17"/>
      <c r="I28" s="17"/>
      <c r="J28" s="17"/>
      <c r="K28" s="17"/>
      <c r="L28" s="17"/>
      <c r="M28" s="17"/>
      <c r="N28" s="17"/>
    </row>
    <row r="29" spans="1:14" x14ac:dyDescent="0.25">
      <c r="A29" s="17"/>
      <c r="B29" s="17"/>
      <c r="C29" s="17"/>
      <c r="D29" s="17"/>
      <c r="E29" s="17"/>
      <c r="F29" s="17"/>
      <c r="G29" s="17"/>
      <c r="H29" s="17"/>
      <c r="I29" s="17"/>
      <c r="J29" s="17"/>
      <c r="K29" s="17"/>
      <c r="L29" s="17"/>
      <c r="M29" s="17"/>
      <c r="N29" s="17"/>
    </row>
    <row r="30" spans="1:14" ht="31.95" customHeight="1" x14ac:dyDescent="0.25">
      <c r="A30" s="17"/>
      <c r="B30" s="17"/>
      <c r="C30" s="16">
        <v>2</v>
      </c>
      <c r="D30" s="1208" t="s">
        <v>543</v>
      </c>
      <c r="E30" s="1208"/>
      <c r="F30" s="1208"/>
      <c r="G30" s="1208"/>
      <c r="H30" s="1208"/>
      <c r="I30" s="1208"/>
      <c r="J30" s="1208"/>
      <c r="K30" s="1208"/>
      <c r="L30" s="1208"/>
      <c r="M30" s="1208"/>
      <c r="N30" s="17"/>
    </row>
    <row r="31" spans="1:14" x14ac:dyDescent="0.25">
      <c r="A31" s="17"/>
      <c r="B31" s="17"/>
      <c r="C31" s="1671" t="s">
        <v>269</v>
      </c>
      <c r="D31" s="1671"/>
      <c r="E31" s="1075">
        <v>2026</v>
      </c>
      <c r="F31" s="17"/>
      <c r="G31" s="17"/>
      <c r="H31" s="17"/>
      <c r="I31" s="17"/>
      <c r="J31" s="17"/>
      <c r="K31" s="17"/>
      <c r="L31" s="17"/>
      <c r="M31" s="17"/>
      <c r="N31" s="17"/>
    </row>
    <row r="32" spans="1:14" x14ac:dyDescent="0.25">
      <c r="A32" s="17"/>
      <c r="B32" s="17"/>
      <c r="C32" s="1672" t="s">
        <v>533</v>
      </c>
      <c r="D32" s="1672"/>
      <c r="E32" s="1077"/>
      <c r="F32" s="17"/>
      <c r="G32" s="17"/>
      <c r="H32" s="17"/>
      <c r="I32" s="17"/>
      <c r="J32" s="17"/>
      <c r="K32" s="17"/>
      <c r="L32" s="17"/>
      <c r="M32" s="17"/>
      <c r="N32" s="17"/>
    </row>
    <row r="33" spans="2:14" x14ac:dyDescent="0.25">
      <c r="B33" s="17"/>
      <c r="C33" s="17"/>
      <c r="D33" s="17"/>
      <c r="E33" s="17"/>
      <c r="F33" s="17"/>
      <c r="G33" s="17"/>
      <c r="H33" s="17"/>
      <c r="I33" s="17"/>
      <c r="J33" s="17"/>
      <c r="K33" s="17"/>
      <c r="L33" s="17"/>
      <c r="M33" s="17"/>
      <c r="N33" s="17"/>
    </row>
    <row r="34" spans="2:14" ht="17.399999999999999" customHeight="1" x14ac:dyDescent="0.25">
      <c r="B34" s="1659" t="s">
        <v>544</v>
      </c>
      <c r="C34" s="1659"/>
      <c r="D34" s="1659"/>
      <c r="E34" s="1659"/>
      <c r="F34" s="1659"/>
      <c r="G34" s="1659"/>
      <c r="H34" s="1659"/>
      <c r="I34" s="1659"/>
      <c r="J34" s="1659"/>
      <c r="K34" s="1659"/>
      <c r="L34" s="1659"/>
      <c r="M34" s="1659"/>
      <c r="N34" s="17"/>
    </row>
    <row r="35" spans="2:14" ht="13.2" customHeight="1" x14ac:dyDescent="0.25">
      <c r="B35" s="17"/>
      <c r="C35" s="16">
        <v>3</v>
      </c>
      <c r="D35" s="1208" t="s">
        <v>541</v>
      </c>
      <c r="E35" s="1208"/>
      <c r="F35" s="1208"/>
      <c r="G35" s="1208"/>
      <c r="H35" s="1208"/>
      <c r="I35" s="1208"/>
      <c r="J35" s="1208"/>
      <c r="K35" s="1208"/>
      <c r="L35" s="1208"/>
      <c r="M35" s="1208"/>
      <c r="N35" s="17"/>
    </row>
    <row r="36" spans="2:14" ht="4.2" customHeight="1" x14ac:dyDescent="0.25">
      <c r="B36" s="17"/>
      <c r="C36" s="17"/>
      <c r="D36" s="17"/>
      <c r="E36" s="17"/>
      <c r="F36" s="17"/>
      <c r="G36" s="17"/>
      <c r="H36" s="17"/>
      <c r="I36" s="17"/>
      <c r="J36" s="17"/>
      <c r="K36" s="17"/>
      <c r="L36" s="17"/>
      <c r="M36" s="17"/>
      <c r="N36" s="17"/>
    </row>
    <row r="37" spans="2:14" x14ac:dyDescent="0.25">
      <c r="B37" s="17"/>
      <c r="C37" s="1671" t="s">
        <v>269</v>
      </c>
      <c r="D37" s="1671"/>
      <c r="E37" s="1075">
        <v>2021</v>
      </c>
      <c r="F37" s="1075">
        <v>2022</v>
      </c>
      <c r="G37" s="1075">
        <v>2023</v>
      </c>
      <c r="H37" s="17"/>
      <c r="I37" s="17"/>
      <c r="J37" s="17"/>
      <c r="K37" s="17"/>
      <c r="L37" s="17"/>
      <c r="M37" s="17"/>
      <c r="N37" s="17"/>
    </row>
    <row r="38" spans="2:14" x14ac:dyDescent="0.25">
      <c r="B38" s="17"/>
      <c r="C38" s="1672" t="s">
        <v>542</v>
      </c>
      <c r="D38" s="1672"/>
      <c r="E38" s="1077"/>
      <c r="F38" s="1077"/>
      <c r="G38" s="1077"/>
      <c r="H38" s="17"/>
      <c r="I38" s="17"/>
      <c r="J38" s="17"/>
      <c r="K38" s="17"/>
      <c r="L38" s="17"/>
      <c r="M38" s="17"/>
      <c r="N38" s="17"/>
    </row>
    <row r="39" spans="2:14" x14ac:dyDescent="0.25">
      <c r="B39" s="17"/>
      <c r="C39" s="17"/>
      <c r="D39" s="17"/>
      <c r="E39" s="17"/>
      <c r="F39" s="17"/>
      <c r="G39" s="17"/>
      <c r="H39" s="17"/>
      <c r="I39" s="17"/>
      <c r="J39" s="17"/>
      <c r="K39" s="17"/>
      <c r="L39" s="17"/>
      <c r="M39" s="17"/>
      <c r="N39" s="17"/>
    </row>
    <row r="40" spans="2:14" ht="18" customHeight="1" x14ac:dyDescent="0.25">
      <c r="B40" s="1659" t="s">
        <v>545</v>
      </c>
      <c r="C40" s="1659"/>
      <c r="D40" s="1659"/>
      <c r="E40" s="1659"/>
      <c r="F40" s="1659"/>
      <c r="G40" s="1659"/>
      <c r="H40" s="1659"/>
      <c r="I40" s="1659"/>
      <c r="J40" s="1659"/>
      <c r="K40" s="1659"/>
      <c r="L40" s="1659"/>
      <c r="M40" s="1659"/>
      <c r="N40" s="17"/>
    </row>
    <row r="41" spans="2:14" ht="13.2" customHeight="1" x14ac:dyDescent="0.25">
      <c r="B41" s="17"/>
      <c r="C41" s="16">
        <v>4</v>
      </c>
      <c r="D41" s="1208" t="s">
        <v>546</v>
      </c>
      <c r="E41" s="1208"/>
      <c r="F41" s="1208"/>
      <c r="G41" s="1208"/>
      <c r="H41" s="1208"/>
      <c r="I41" s="1208"/>
      <c r="J41" s="1208"/>
      <c r="K41" s="1208"/>
      <c r="L41" s="1208"/>
      <c r="M41" s="1208"/>
      <c r="N41" s="17"/>
    </row>
    <row r="42" spans="2:14" ht="3.6" customHeight="1" x14ac:dyDescent="0.25">
      <c r="B42" s="17"/>
      <c r="C42" s="17"/>
      <c r="D42" s="17"/>
      <c r="E42" s="17"/>
      <c r="F42" s="17"/>
      <c r="G42" s="17"/>
      <c r="H42" s="17"/>
      <c r="I42" s="17"/>
      <c r="J42" s="17"/>
      <c r="K42" s="17"/>
      <c r="L42" s="17"/>
      <c r="M42" s="17"/>
      <c r="N42" s="17"/>
    </row>
    <row r="43" spans="2:14" x14ac:dyDescent="0.25">
      <c r="B43" s="17"/>
      <c r="C43" s="1671" t="s">
        <v>269</v>
      </c>
      <c r="D43" s="1671"/>
      <c r="E43" s="1075">
        <v>2021</v>
      </c>
      <c r="F43" s="1075">
        <v>2022</v>
      </c>
      <c r="G43" s="1075">
        <v>2023</v>
      </c>
      <c r="H43" s="1075">
        <v>2024</v>
      </c>
      <c r="I43" s="17"/>
      <c r="J43" s="17"/>
      <c r="K43" s="17"/>
      <c r="L43" s="17"/>
      <c r="M43" s="17"/>
      <c r="N43" s="17"/>
    </row>
    <row r="44" spans="2:14" x14ac:dyDescent="0.25">
      <c r="B44" s="17"/>
      <c r="C44" s="1672" t="s">
        <v>542</v>
      </c>
      <c r="D44" s="1672"/>
      <c r="E44" s="1077"/>
      <c r="F44" s="1077"/>
      <c r="G44" s="1077"/>
      <c r="H44" s="1077"/>
      <c r="I44" s="17"/>
      <c r="J44" s="17"/>
      <c r="K44" s="17"/>
      <c r="L44" s="17"/>
      <c r="M44" s="17"/>
      <c r="N44" s="17"/>
    </row>
    <row r="45" spans="2:14" x14ac:dyDescent="0.25">
      <c r="B45" s="17"/>
      <c r="C45" s="1076"/>
      <c r="D45" s="17"/>
      <c r="E45" s="17"/>
      <c r="F45" s="17"/>
      <c r="G45" s="17"/>
      <c r="H45" s="17"/>
      <c r="I45" s="17"/>
      <c r="J45" s="17"/>
      <c r="K45" s="17"/>
      <c r="L45" s="17"/>
      <c r="M45" s="17"/>
      <c r="N45" s="17"/>
    </row>
    <row r="46" spans="2:14" ht="25.95" customHeight="1" x14ac:dyDescent="0.25">
      <c r="B46" s="17"/>
      <c r="C46" s="16">
        <v>5</v>
      </c>
      <c r="D46" s="1208" t="s">
        <v>547</v>
      </c>
      <c r="E46" s="1208"/>
      <c r="F46" s="1208"/>
      <c r="G46" s="1208"/>
      <c r="H46" s="1208"/>
      <c r="I46" s="1208"/>
      <c r="J46" s="1208"/>
      <c r="K46" s="1208"/>
      <c r="L46" s="1208"/>
      <c r="M46" s="1208"/>
      <c r="N46" s="17"/>
    </row>
    <row r="47" spans="2:14" x14ac:dyDescent="0.25">
      <c r="B47" s="17"/>
      <c r="C47" s="16"/>
      <c r="D47" s="1083" t="s">
        <v>269</v>
      </c>
      <c r="E47" s="1084">
        <v>2026</v>
      </c>
      <c r="F47" s="499"/>
      <c r="G47" s="499"/>
      <c r="H47" s="499"/>
      <c r="I47" s="499"/>
      <c r="J47" s="499"/>
      <c r="K47" s="499"/>
      <c r="L47" s="499"/>
      <c r="M47" s="499"/>
      <c r="N47" s="17"/>
    </row>
    <row r="48" spans="2:14" x14ac:dyDescent="0.25">
      <c r="B48" s="17"/>
      <c r="C48" s="1076"/>
      <c r="D48" s="113" t="s">
        <v>548</v>
      </c>
      <c r="E48" s="1085"/>
      <c r="F48" s="17"/>
      <c r="G48" s="17"/>
      <c r="H48" s="17"/>
      <c r="I48" s="17"/>
      <c r="J48" s="17"/>
      <c r="K48" s="17"/>
      <c r="L48" s="17"/>
      <c r="M48" s="17"/>
      <c r="N48" s="17"/>
    </row>
    <row r="49" spans="2:14" x14ac:dyDescent="0.25">
      <c r="B49" s="17"/>
      <c r="C49" s="1076"/>
      <c r="D49" s="17"/>
      <c r="E49" s="17"/>
      <c r="F49" s="17"/>
      <c r="G49" s="17"/>
      <c r="H49" s="17"/>
      <c r="I49" s="17"/>
      <c r="J49" s="17"/>
      <c r="K49" s="17"/>
      <c r="L49" s="17"/>
      <c r="M49" s="17"/>
      <c r="N49" s="17"/>
    </row>
    <row r="50" spans="2:14" x14ac:dyDescent="0.25">
      <c r="B50" s="17"/>
      <c r="C50" s="16">
        <v>6</v>
      </c>
      <c r="D50" s="1208" t="s">
        <v>549</v>
      </c>
      <c r="E50" s="1208"/>
      <c r="F50" s="1208"/>
      <c r="G50" s="1208"/>
      <c r="H50" s="1208"/>
      <c r="I50" s="1208"/>
      <c r="J50" s="1208"/>
      <c r="K50" s="1208"/>
      <c r="L50" s="1208"/>
      <c r="M50" s="1208"/>
      <c r="N50" s="17"/>
    </row>
    <row r="51" spans="2:14" ht="13.2" customHeight="1" x14ac:dyDescent="0.25">
      <c r="B51" s="17"/>
      <c r="C51" s="16"/>
      <c r="D51" s="1314" t="s">
        <v>550</v>
      </c>
      <c r="E51" s="1314"/>
      <c r="F51" s="1314"/>
      <c r="G51" s="1314"/>
      <c r="H51" s="1314"/>
      <c r="I51" s="1314"/>
      <c r="J51" s="1314"/>
      <c r="K51" s="1314"/>
      <c r="L51" s="1314"/>
      <c r="M51" s="1314"/>
      <c r="N51" s="17"/>
    </row>
    <row r="52" spans="2:14" x14ac:dyDescent="0.25">
      <c r="B52" s="17"/>
      <c r="C52" s="1076"/>
      <c r="D52" s="1083" t="s">
        <v>269</v>
      </c>
      <c r="E52" s="1084">
        <v>2024</v>
      </c>
      <c r="F52" s="17"/>
      <c r="G52" s="17"/>
      <c r="H52" s="17"/>
      <c r="I52" s="17"/>
      <c r="J52" s="17"/>
      <c r="K52" s="17"/>
      <c r="L52" s="17"/>
      <c r="M52" s="17"/>
      <c r="N52" s="17"/>
    </row>
    <row r="53" spans="2:14" x14ac:dyDescent="0.25">
      <c r="B53" s="17"/>
      <c r="C53" s="1076"/>
      <c r="D53" s="113" t="s">
        <v>548</v>
      </c>
      <c r="E53" s="1085"/>
      <c r="F53" s="17"/>
      <c r="G53" s="17"/>
      <c r="H53" s="17"/>
      <c r="I53" s="17"/>
      <c r="J53" s="17"/>
      <c r="K53" s="17"/>
      <c r="L53" s="17"/>
      <c r="M53" s="17"/>
      <c r="N53" s="17"/>
    </row>
    <row r="54" spans="2:14" ht="12.6" customHeight="1" x14ac:dyDescent="0.25">
      <c r="B54" s="17"/>
      <c r="C54" s="1076"/>
      <c r="D54" s="113"/>
      <c r="E54" s="17"/>
      <c r="F54" s="17"/>
      <c r="G54" s="17"/>
      <c r="H54" s="17"/>
      <c r="I54" s="17"/>
      <c r="J54" s="17"/>
      <c r="K54" s="17"/>
      <c r="L54" s="17"/>
      <c r="M54" s="17"/>
      <c r="N54" s="17"/>
    </row>
    <row r="55" spans="2:14" ht="26.4" customHeight="1" x14ac:dyDescent="0.25">
      <c r="B55" s="17"/>
      <c r="C55" s="16">
        <v>7</v>
      </c>
      <c r="D55" s="1208" t="s">
        <v>551</v>
      </c>
      <c r="E55" s="1208"/>
      <c r="F55" s="1208"/>
      <c r="G55" s="1208"/>
      <c r="H55" s="1208"/>
      <c r="I55" s="1208"/>
      <c r="J55" s="1208"/>
      <c r="K55" s="1208"/>
      <c r="L55" s="1208"/>
      <c r="M55" s="1208"/>
      <c r="N55" s="17"/>
    </row>
    <row r="56" spans="2:14" ht="5.4" customHeight="1" x14ac:dyDescent="0.25">
      <c r="B56" s="17"/>
      <c r="C56" s="1074"/>
      <c r="D56" s="17"/>
      <c r="E56" s="17"/>
      <c r="F56" s="17"/>
      <c r="G56" s="17"/>
      <c r="H56" s="17"/>
      <c r="I56" s="17"/>
      <c r="J56" s="17"/>
      <c r="K56" s="17"/>
      <c r="L56" s="17"/>
      <c r="M56" s="17"/>
      <c r="N56" s="17"/>
    </row>
    <row r="57" spans="2:14" ht="13.8" x14ac:dyDescent="0.25">
      <c r="B57" s="17"/>
      <c r="C57" s="1074"/>
      <c r="D57" s="17"/>
      <c r="E57" s="1077"/>
      <c r="F57" s="17"/>
      <c r="G57" s="17"/>
      <c r="H57" s="17"/>
      <c r="I57" s="17"/>
      <c r="J57" s="17"/>
      <c r="K57" s="17"/>
      <c r="L57" s="17"/>
      <c r="M57" s="17"/>
      <c r="N57" s="17"/>
    </row>
    <row r="58" spans="2:14" x14ac:dyDescent="0.25">
      <c r="B58" s="17"/>
      <c r="C58" s="17"/>
      <c r="D58" s="17"/>
      <c r="E58" s="17"/>
      <c r="F58" s="17"/>
      <c r="G58" s="17"/>
      <c r="H58" s="17"/>
      <c r="I58" s="17"/>
      <c r="J58" s="17"/>
      <c r="K58" s="17"/>
      <c r="L58" s="17"/>
      <c r="M58" s="17"/>
      <c r="N58" s="17"/>
    </row>
    <row r="59" spans="2:14" ht="17.399999999999999" customHeight="1" x14ac:dyDescent="0.25">
      <c r="B59" s="1659" t="s">
        <v>552</v>
      </c>
      <c r="C59" s="1659"/>
      <c r="D59" s="1659"/>
      <c r="E59" s="1659"/>
      <c r="F59" s="1659"/>
      <c r="G59" s="1659"/>
      <c r="H59" s="1659"/>
      <c r="I59" s="1659"/>
      <c r="J59" s="1659"/>
      <c r="K59" s="1659"/>
      <c r="L59" s="1659"/>
      <c r="M59" s="1659"/>
      <c r="N59" s="17"/>
    </row>
    <row r="60" spans="2:14" ht="33" customHeight="1" x14ac:dyDescent="0.25">
      <c r="B60" s="17"/>
      <c r="C60" s="16">
        <v>8</v>
      </c>
      <c r="D60" s="1208" t="s">
        <v>553</v>
      </c>
      <c r="E60" s="1208"/>
      <c r="F60" s="1208"/>
      <c r="G60" s="1208"/>
      <c r="H60" s="1208"/>
      <c r="I60" s="1208"/>
      <c r="J60" s="1208"/>
      <c r="K60" s="1208"/>
      <c r="L60" s="1208"/>
      <c r="M60" s="1208"/>
      <c r="N60" s="17"/>
    </row>
    <row r="61" spans="2:14" ht="13.2" customHeight="1" x14ac:dyDescent="0.25">
      <c r="B61" s="77"/>
      <c r="C61" s="17"/>
      <c r="D61" s="17"/>
      <c r="E61" s="1075">
        <v>2021</v>
      </c>
      <c r="F61" s="1075">
        <v>2022</v>
      </c>
      <c r="G61" s="1075">
        <v>2023</v>
      </c>
      <c r="H61" s="1075">
        <v>2024</v>
      </c>
      <c r="I61" s="17"/>
      <c r="J61" s="17"/>
      <c r="K61" s="17"/>
      <c r="L61" s="17"/>
      <c r="M61" s="17"/>
      <c r="N61" s="17"/>
    </row>
    <row r="62" spans="2:14" x14ac:dyDescent="0.25">
      <c r="B62" s="77"/>
      <c r="C62" s="17"/>
      <c r="D62" s="17" t="s">
        <v>554</v>
      </c>
      <c r="E62" s="1077"/>
      <c r="F62" s="1077"/>
      <c r="G62" s="1077"/>
      <c r="H62" s="1077"/>
      <c r="I62" s="17"/>
      <c r="J62" s="17"/>
      <c r="K62" s="17"/>
      <c r="L62" s="17"/>
      <c r="M62" s="17"/>
      <c r="N62" s="17"/>
    </row>
    <row r="63" spans="2:14" x14ac:dyDescent="0.25">
      <c r="B63" s="77"/>
      <c r="C63" s="17"/>
      <c r="D63" s="17"/>
      <c r="E63" s="17"/>
      <c r="F63" s="17"/>
      <c r="G63" s="17"/>
      <c r="H63" s="17"/>
      <c r="I63" s="17"/>
      <c r="J63" s="17"/>
      <c r="K63" s="17"/>
      <c r="L63" s="17"/>
      <c r="M63" s="17"/>
      <c r="N63" s="17"/>
    </row>
    <row r="64" spans="2:14" ht="29.4" customHeight="1" x14ac:dyDescent="0.25">
      <c r="B64" s="17"/>
      <c r="C64" s="16">
        <v>9</v>
      </c>
      <c r="D64" s="1208" t="s">
        <v>555</v>
      </c>
      <c r="E64" s="1208"/>
      <c r="F64" s="1208"/>
      <c r="G64" s="1208"/>
      <c r="H64" s="1208"/>
      <c r="I64" s="1208"/>
      <c r="J64" s="1208"/>
      <c r="K64" s="1208"/>
      <c r="L64" s="1208"/>
      <c r="M64" s="1208"/>
      <c r="N64" s="17"/>
    </row>
    <row r="65" spans="1:14" ht="93.6" customHeight="1" x14ac:dyDescent="0.25">
      <c r="A65" s="17"/>
      <c r="B65" s="77"/>
      <c r="C65" s="17"/>
      <c r="D65" s="1661"/>
      <c r="E65" s="1661"/>
      <c r="F65" s="1661"/>
      <c r="G65" s="1661"/>
      <c r="H65" s="1661"/>
      <c r="I65" s="1661"/>
      <c r="J65" s="1661"/>
      <c r="K65" s="1661"/>
      <c r="L65" s="1661"/>
      <c r="M65" s="1661"/>
      <c r="N65" s="17"/>
    </row>
    <row r="66" spans="1:14" s="4" customFormat="1" x14ac:dyDescent="0.25">
      <c r="A66" s="1662"/>
      <c r="B66" s="1662"/>
      <c r="C66" s="1662"/>
      <c r="D66" s="1662"/>
      <c r="E66" s="1662"/>
      <c r="F66" s="1662"/>
      <c r="G66" s="1662"/>
      <c r="H66" s="1662"/>
      <c r="I66" s="1662"/>
      <c r="J66" s="1662"/>
      <c r="K66" s="1662"/>
      <c r="L66" s="1662"/>
      <c r="M66" s="1662"/>
      <c r="N66" s="17"/>
    </row>
    <row r="67" spans="1:14" s="4" customFormat="1" ht="55.2" customHeight="1" x14ac:dyDescent="0.25">
      <c r="A67" s="17"/>
      <c r="B67" s="17"/>
      <c r="C67" s="16">
        <v>10</v>
      </c>
      <c r="D67" s="1208" t="s">
        <v>556</v>
      </c>
      <c r="E67" s="1208"/>
      <c r="F67" s="1208"/>
      <c r="G67" s="1208"/>
      <c r="H67" s="1208"/>
      <c r="I67" s="1208"/>
      <c r="J67" s="1208"/>
      <c r="K67" s="1208"/>
      <c r="L67" s="1208"/>
      <c r="M67" s="1208"/>
      <c r="N67" s="17"/>
    </row>
    <row r="68" spans="1:14" ht="93.6" customHeight="1" x14ac:dyDescent="0.25">
      <c r="A68" s="17"/>
      <c r="B68" s="77"/>
      <c r="C68" s="17"/>
      <c r="D68" s="1661"/>
      <c r="E68" s="1661"/>
      <c r="F68" s="1661"/>
      <c r="G68" s="1661"/>
      <c r="H68" s="1661"/>
      <c r="I68" s="1661"/>
      <c r="J68" s="1661"/>
      <c r="K68" s="1661"/>
      <c r="L68" s="1661"/>
      <c r="M68" s="1661"/>
      <c r="N68" s="17"/>
    </row>
    <row r="69" spans="1:14" ht="13.8" x14ac:dyDescent="0.25">
      <c r="A69" s="17"/>
      <c r="B69" s="17"/>
      <c r="C69" s="1234"/>
      <c r="D69" s="1176"/>
      <c r="E69" s="1176"/>
      <c r="F69" s="1176"/>
      <c r="G69" s="1176"/>
      <c r="H69" s="1176"/>
      <c r="I69" s="1176"/>
      <c r="J69" s="1176"/>
      <c r="K69" s="1176"/>
      <c r="L69" s="1176"/>
      <c r="M69" s="1176"/>
      <c r="N69" s="17"/>
    </row>
    <row r="70" spans="1:14" ht="15.6" x14ac:dyDescent="0.3">
      <c r="A70" s="17"/>
      <c r="B70" s="13" t="s">
        <v>5</v>
      </c>
      <c r="C70" s="14" t="s">
        <v>82</v>
      </c>
      <c r="D70" s="14"/>
      <c r="E70" s="14"/>
      <c r="F70" s="14"/>
      <c r="G70" s="14"/>
      <c r="H70" s="14"/>
      <c r="I70" s="14"/>
      <c r="J70" s="14"/>
      <c r="K70" s="14"/>
      <c r="L70" s="14"/>
      <c r="M70" s="14"/>
      <c r="N70" s="17"/>
    </row>
    <row r="71" spans="1:14" ht="4.95" customHeight="1" x14ac:dyDescent="0.25">
      <c r="A71" s="17"/>
      <c r="B71" s="17"/>
      <c r="C71" s="17"/>
      <c r="D71" s="17"/>
      <c r="E71" s="17"/>
      <c r="F71" s="17"/>
      <c r="G71" s="17"/>
      <c r="H71" s="17"/>
      <c r="I71" s="17"/>
      <c r="J71" s="17"/>
      <c r="K71" s="17"/>
      <c r="L71" s="17"/>
      <c r="M71" s="17"/>
      <c r="N71" s="17"/>
    </row>
    <row r="72" spans="1:14" ht="46.95" customHeight="1" x14ac:dyDescent="0.25">
      <c r="A72" s="17"/>
      <c r="B72" s="17"/>
      <c r="C72" s="1663" t="s">
        <v>557</v>
      </c>
      <c r="D72" s="1663"/>
      <c r="E72" s="1663"/>
      <c r="F72" s="1663"/>
      <c r="G72" s="1663"/>
      <c r="H72" s="1663"/>
      <c r="I72" s="1663"/>
      <c r="J72" s="1663"/>
      <c r="K72" s="1663"/>
      <c r="L72" s="1663"/>
      <c r="M72" s="1663"/>
      <c r="N72" s="17"/>
    </row>
    <row r="73" spans="1:14" x14ac:dyDescent="0.25">
      <c r="A73" s="17"/>
      <c r="B73" s="16">
        <v>1</v>
      </c>
      <c r="C73" s="27" t="s">
        <v>558</v>
      </c>
      <c r="D73" s="17"/>
      <c r="E73" s="17"/>
      <c r="F73" s="17"/>
      <c r="G73" s="17"/>
      <c r="H73" s="17"/>
      <c r="I73" s="220"/>
      <c r="J73" s="17"/>
      <c r="K73" s="1657"/>
      <c r="L73" s="1658"/>
      <c r="M73" s="17"/>
      <c r="N73" s="17"/>
    </row>
    <row r="74" spans="1:14" ht="36" customHeight="1" x14ac:dyDescent="0.25">
      <c r="A74" s="17"/>
      <c r="B74" s="17"/>
      <c r="C74" s="1314" t="s">
        <v>559</v>
      </c>
      <c r="D74" s="1195"/>
      <c r="E74" s="1195"/>
      <c r="F74" s="1195"/>
      <c r="G74" s="1195"/>
      <c r="H74" s="1195"/>
      <c r="I74" s="1195"/>
      <c r="J74" s="1195"/>
      <c r="K74" s="1195"/>
      <c r="L74" s="1195"/>
      <c r="M74" s="77"/>
      <c r="N74" s="17"/>
    </row>
    <row r="75" spans="1:14" x14ac:dyDescent="0.25">
      <c r="A75" s="17"/>
      <c r="B75" s="77"/>
      <c r="C75" s="1333"/>
      <c r="D75" s="1333"/>
      <c r="E75" s="1333"/>
      <c r="F75" s="1333"/>
      <c r="G75" s="1333"/>
      <c r="H75" s="1333"/>
      <c r="I75" s="1333"/>
      <c r="J75" s="1333"/>
      <c r="K75" s="1333"/>
      <c r="L75" s="1333"/>
      <c r="M75" s="77"/>
      <c r="N75" s="17"/>
    </row>
    <row r="76" spans="1:14" ht="26.4" customHeight="1" x14ac:dyDescent="0.25">
      <c r="A76" s="17"/>
      <c r="B76" s="16">
        <v>2</v>
      </c>
      <c r="C76" s="1208" t="s">
        <v>560</v>
      </c>
      <c r="D76" s="1208"/>
      <c r="E76" s="1208"/>
      <c r="F76" s="1208"/>
      <c r="G76" s="1208"/>
      <c r="H76" s="1208"/>
      <c r="I76" s="1208"/>
      <c r="J76" s="1208"/>
      <c r="K76" s="1208"/>
      <c r="L76" s="1208"/>
      <c r="M76" s="1208"/>
      <c r="N76" s="17"/>
    </row>
    <row r="77" spans="1:14" x14ac:dyDescent="0.25">
      <c r="A77" s="17"/>
      <c r="B77" s="77"/>
      <c r="C77" s="499"/>
      <c r="D77" s="499"/>
      <c r="E77" s="499"/>
      <c r="F77" s="499"/>
      <c r="G77" s="499"/>
      <c r="H77" s="499"/>
      <c r="I77" s="499"/>
      <c r="J77" s="499"/>
      <c r="K77" s="1657"/>
      <c r="L77" s="1658"/>
      <c r="M77" s="499"/>
      <c r="N77" s="17"/>
    </row>
    <row r="78" spans="1:14" ht="10.95" customHeight="1" x14ac:dyDescent="0.25">
      <c r="A78" s="17"/>
      <c r="B78" s="77"/>
      <c r="C78" s="1314" t="s">
        <v>561</v>
      </c>
      <c r="D78" s="1314"/>
      <c r="E78" s="1314"/>
      <c r="F78" s="1314"/>
      <c r="G78" s="1314"/>
      <c r="H78" s="1314"/>
      <c r="I78" s="1314"/>
      <c r="J78" s="1314"/>
      <c r="K78" s="1314"/>
      <c r="L78" s="1314"/>
      <c r="M78" s="1314"/>
      <c r="N78" s="17"/>
    </row>
    <row r="79" spans="1:14" ht="21" customHeight="1" x14ac:dyDescent="0.25">
      <c r="A79" s="17"/>
      <c r="B79" s="77"/>
      <c r="C79" s="1079" t="s">
        <v>190</v>
      </c>
      <c r="D79" s="1314" t="s">
        <v>562</v>
      </c>
      <c r="E79" s="1314"/>
      <c r="F79" s="1314"/>
      <c r="G79" s="1314"/>
      <c r="H79" s="1314"/>
      <c r="I79" s="1314"/>
      <c r="J79" s="1314"/>
      <c r="K79" s="1314"/>
      <c r="L79" s="1314"/>
      <c r="M79" s="1314"/>
      <c r="N79" s="17"/>
    </row>
    <row r="80" spans="1:14" ht="16.2" customHeight="1" x14ac:dyDescent="0.25">
      <c r="A80" s="17"/>
      <c r="B80" s="77"/>
      <c r="C80" s="1079" t="s">
        <v>192</v>
      </c>
      <c r="D80" s="1314" t="s">
        <v>563</v>
      </c>
      <c r="E80" s="1314"/>
      <c r="F80" s="1314"/>
      <c r="G80" s="1314"/>
      <c r="H80" s="1314"/>
      <c r="I80" s="1314"/>
      <c r="J80" s="1314"/>
      <c r="K80" s="1314"/>
      <c r="L80" s="1314"/>
      <c r="M80" s="1314"/>
      <c r="N80" s="17"/>
    </row>
    <row r="81" spans="2:14" ht="27" customHeight="1" x14ac:dyDescent="0.25">
      <c r="B81" s="17"/>
      <c r="C81" s="1314" t="s">
        <v>2548</v>
      </c>
      <c r="D81" s="1314"/>
      <c r="E81" s="1314"/>
      <c r="F81" s="1314"/>
      <c r="G81" s="1314"/>
      <c r="H81" s="1314"/>
      <c r="I81" s="1314"/>
      <c r="J81" s="1314"/>
      <c r="K81" s="1314"/>
      <c r="L81" s="1314"/>
      <c r="M81" s="1314"/>
      <c r="N81" s="17"/>
    </row>
    <row r="82" spans="2:14" ht="37.200000000000003" customHeight="1" x14ac:dyDescent="0.25">
      <c r="B82" s="17"/>
      <c r="C82" s="1314" t="s">
        <v>2549</v>
      </c>
      <c r="D82" s="1314"/>
      <c r="E82" s="1314"/>
      <c r="F82" s="1314"/>
      <c r="G82" s="1314"/>
      <c r="H82" s="1314"/>
      <c r="I82" s="1314"/>
      <c r="J82" s="1314"/>
      <c r="K82" s="1314"/>
      <c r="L82" s="1314"/>
      <c r="M82" s="1314"/>
      <c r="N82" s="17"/>
    </row>
    <row r="83" spans="2:14" ht="18" customHeight="1" x14ac:dyDescent="0.25">
      <c r="B83" s="1659" t="s">
        <v>564</v>
      </c>
      <c r="C83" s="1659"/>
      <c r="D83" s="1659"/>
      <c r="E83" s="1659"/>
      <c r="F83" s="1659"/>
      <c r="G83" s="1659"/>
      <c r="H83" s="1659"/>
      <c r="I83" s="1659"/>
      <c r="J83" s="1659"/>
      <c r="K83" s="1659"/>
      <c r="L83" s="1659"/>
      <c r="M83" s="1659"/>
      <c r="N83" s="17"/>
    </row>
    <row r="84" spans="2:14" ht="45" customHeight="1" x14ac:dyDescent="0.25">
      <c r="B84" s="16">
        <v>3</v>
      </c>
      <c r="C84" s="1208" t="s">
        <v>565</v>
      </c>
      <c r="D84" s="1208"/>
      <c r="E84" s="1208"/>
      <c r="F84" s="1208"/>
      <c r="G84" s="1208"/>
      <c r="H84" s="1208"/>
      <c r="I84" s="1208"/>
      <c r="J84" s="1208"/>
      <c r="K84" s="1208"/>
      <c r="L84" s="1208"/>
      <c r="M84" s="1208"/>
      <c r="N84" s="17"/>
    </row>
    <row r="85" spans="2:14" ht="13.2" customHeight="1" x14ac:dyDescent="0.25">
      <c r="B85" s="505"/>
      <c r="C85" s="1074"/>
      <c r="D85" s="1074"/>
      <c r="E85" s="1074"/>
      <c r="F85" s="1074"/>
      <c r="G85" s="1074"/>
      <c r="H85" s="1074"/>
      <c r="I85" s="1074"/>
      <c r="J85" s="1074"/>
      <c r="K85" s="1657"/>
      <c r="L85" s="1658"/>
      <c r="M85" s="1074"/>
      <c r="N85" s="17"/>
    </row>
    <row r="86" spans="2:14" ht="13.2" customHeight="1" x14ac:dyDescent="0.25">
      <c r="B86" s="505"/>
      <c r="C86" s="1660"/>
      <c r="D86" s="1660"/>
      <c r="E86" s="1660"/>
      <c r="F86" s="1660"/>
      <c r="G86" s="1660"/>
      <c r="H86" s="1660"/>
      <c r="I86" s="1660"/>
      <c r="J86" s="1660"/>
      <c r="K86" s="1660"/>
      <c r="L86" s="1660"/>
      <c r="M86" s="1660"/>
      <c r="N86" s="17"/>
    </row>
    <row r="87" spans="2:14" ht="31.95" customHeight="1" x14ac:dyDescent="0.25">
      <c r="B87" s="499">
        <v>4</v>
      </c>
      <c r="C87" s="1208" t="s">
        <v>566</v>
      </c>
      <c r="D87" s="1208"/>
      <c r="E87" s="1208"/>
      <c r="F87" s="1208"/>
      <c r="G87" s="1208"/>
      <c r="H87" s="1208"/>
      <c r="I87" s="1208"/>
      <c r="J87" s="1208"/>
      <c r="K87" s="1208"/>
      <c r="L87" s="1208"/>
      <c r="M87" s="1208"/>
      <c r="N87" s="17"/>
    </row>
    <row r="88" spans="2:14" ht="61.95" customHeight="1" x14ac:dyDescent="0.25">
      <c r="B88" s="499"/>
      <c r="C88" s="1264"/>
      <c r="D88" s="1265"/>
      <c r="E88" s="1265"/>
      <c r="F88" s="1265"/>
      <c r="G88" s="1265"/>
      <c r="H88" s="1265"/>
      <c r="I88" s="1265"/>
      <c r="J88" s="1265"/>
      <c r="K88" s="1265"/>
      <c r="L88" s="1265"/>
      <c r="M88" s="1266"/>
      <c r="N88" s="17"/>
    </row>
    <row r="89" spans="2:14" ht="13.2" customHeight="1" x14ac:dyDescent="0.25">
      <c r="B89" s="499"/>
      <c r="C89" s="499"/>
      <c r="D89" s="499"/>
      <c r="E89" s="499"/>
      <c r="F89" s="499"/>
      <c r="G89" s="499"/>
      <c r="H89" s="499"/>
      <c r="I89" s="499"/>
      <c r="J89" s="499"/>
      <c r="K89" s="499"/>
      <c r="L89" s="499"/>
      <c r="M89" s="499"/>
      <c r="N89" s="17"/>
    </row>
    <row r="90" spans="2:14" ht="18.600000000000001" customHeight="1" x14ac:dyDescent="0.25">
      <c r="B90" s="499">
        <v>5</v>
      </c>
      <c r="C90" s="1208" t="s">
        <v>567</v>
      </c>
      <c r="D90" s="1208"/>
      <c r="E90" s="1208"/>
      <c r="F90" s="1208"/>
      <c r="G90" s="1208"/>
      <c r="H90" s="1208"/>
      <c r="I90" s="1208"/>
      <c r="J90" s="1208"/>
      <c r="K90" s="1208"/>
      <c r="L90" s="1208"/>
      <c r="M90" s="1208"/>
      <c r="N90" s="499"/>
    </row>
    <row r="91" spans="2:14" ht="66.599999999999994" customHeight="1" x14ac:dyDescent="0.25">
      <c r="B91" s="505"/>
      <c r="C91" s="1264"/>
      <c r="D91" s="1265"/>
      <c r="E91" s="1265"/>
      <c r="F91" s="1265"/>
      <c r="G91" s="1265"/>
      <c r="H91" s="1265"/>
      <c r="I91" s="1265"/>
      <c r="J91" s="1265"/>
      <c r="K91" s="1265"/>
      <c r="L91" s="1265"/>
      <c r="M91" s="1266"/>
      <c r="N91" s="499"/>
    </row>
    <row r="92" spans="2:14" x14ac:dyDescent="0.25">
      <c r="B92" s="77"/>
      <c r="C92" s="1086"/>
      <c r="D92" s="1086"/>
      <c r="E92" s="1086"/>
      <c r="F92" s="1086"/>
      <c r="G92" s="1086"/>
      <c r="H92" s="1086"/>
      <c r="I92" s="1086"/>
      <c r="J92" s="1086"/>
      <c r="K92" s="1086"/>
      <c r="L92" s="1086"/>
      <c r="M92" s="1086"/>
      <c r="N92" s="17"/>
    </row>
    <row r="93" spans="2:14" ht="19.95" customHeight="1" x14ac:dyDescent="0.25">
      <c r="B93" s="1659" t="s">
        <v>568</v>
      </c>
      <c r="C93" s="1659"/>
      <c r="D93" s="1659"/>
      <c r="E93" s="1659"/>
      <c r="F93" s="1659"/>
      <c r="G93" s="1659"/>
      <c r="H93" s="1659"/>
      <c r="I93" s="1659"/>
      <c r="J93" s="1659"/>
      <c r="K93" s="1659"/>
      <c r="L93" s="1659"/>
      <c r="M93" s="1659"/>
      <c r="N93" s="17"/>
    </row>
    <row r="94" spans="2:14" ht="42" customHeight="1" x14ac:dyDescent="0.25">
      <c r="B94" s="16">
        <v>6</v>
      </c>
      <c r="C94" s="1208" t="s">
        <v>569</v>
      </c>
      <c r="D94" s="1208"/>
      <c r="E94" s="1208"/>
      <c r="F94" s="1208"/>
      <c r="G94" s="1208"/>
      <c r="H94" s="1208"/>
      <c r="I94" s="1208"/>
      <c r="J94" s="1208"/>
      <c r="K94" s="1208"/>
      <c r="L94" s="1208"/>
      <c r="M94" s="1208"/>
      <c r="N94" s="17"/>
    </row>
    <row r="95" spans="2:14" ht="79.95" customHeight="1" x14ac:dyDescent="0.25">
      <c r="B95" s="499"/>
      <c r="C95" s="1087" t="s">
        <v>570</v>
      </c>
      <c r="D95" s="1314" t="s">
        <v>571</v>
      </c>
      <c r="E95" s="1314"/>
      <c r="F95" s="1314"/>
      <c r="G95" s="1314"/>
      <c r="H95" s="1314"/>
      <c r="I95" s="1314"/>
      <c r="J95" s="1314"/>
      <c r="K95" s="1314"/>
      <c r="L95" s="1314"/>
      <c r="M95" s="1314"/>
      <c r="N95" s="17"/>
    </row>
    <row r="96" spans="2:14" x14ac:dyDescent="0.25">
      <c r="B96" s="17"/>
      <c r="C96" s="17"/>
      <c r="D96" s="17"/>
      <c r="E96" s="17"/>
      <c r="F96" s="17"/>
      <c r="G96" s="17"/>
      <c r="H96" s="204">
        <v>2019</v>
      </c>
      <c r="I96" s="204">
        <v>2020</v>
      </c>
      <c r="J96" s="204">
        <v>2021</v>
      </c>
      <c r="K96" s="204">
        <v>2022</v>
      </c>
      <c r="L96" s="204">
        <v>2023</v>
      </c>
      <c r="M96" s="204" t="s">
        <v>572</v>
      </c>
      <c r="N96" s="1082"/>
    </row>
    <row r="97" spans="2:14" x14ac:dyDescent="0.25">
      <c r="B97" s="17"/>
      <c r="C97" s="27" t="s">
        <v>573</v>
      </c>
      <c r="D97" s="27" t="s">
        <v>574</v>
      </c>
      <c r="E97" s="27"/>
      <c r="F97" s="27"/>
      <c r="G97" s="27" t="s">
        <v>575</v>
      </c>
      <c r="H97" s="324" t="str">
        <f>IF(ISBLANK(E_EnergyFlows!I351),"",E_EnergyFlows!I351 )</f>
        <v/>
      </c>
      <c r="I97" s="324" t="str">
        <f>IF(ISBLANK(E_EnergyFlows!J351),"",E_EnergyFlows!J351 )</f>
        <v/>
      </c>
      <c r="J97" s="324" t="str">
        <f>IF(ISBLANK(E_EnergyFlows!K351),"",E_EnergyFlows!K351 )</f>
        <v/>
      </c>
      <c r="K97" s="324" t="str">
        <f>IF(ISBLANK(E_EnergyFlows!L351),"",E_EnergyFlows!L351 )</f>
        <v/>
      </c>
      <c r="L97" s="324" t="str">
        <f>IF(ISBLANK(E_EnergyFlows!M351),"",E_EnergyFlows!M351 )</f>
        <v/>
      </c>
      <c r="M97" s="324">
        <f>SUM(H97:L97)</f>
        <v>0</v>
      </c>
      <c r="N97" s="1082"/>
    </row>
    <row r="98" spans="2:14" x14ac:dyDescent="0.25">
      <c r="B98" s="17"/>
      <c r="C98" s="27" t="s">
        <v>576</v>
      </c>
      <c r="D98" s="27" t="s">
        <v>577</v>
      </c>
      <c r="E98" s="27"/>
      <c r="F98" s="27"/>
      <c r="G98" s="27" t="s">
        <v>575</v>
      </c>
      <c r="H98" s="324" t="str">
        <f>IF(ISBLANK(E_EnergyFlows!I358),"", E_EnergyFlows!I358)</f>
        <v/>
      </c>
      <c r="I98" s="324" t="str">
        <f>IF(ISBLANK(E_EnergyFlows!J358),"", E_EnergyFlows!J358)</f>
        <v/>
      </c>
      <c r="J98" s="324" t="str">
        <f>IF(ISBLANK(E_EnergyFlows!K358),"", E_EnergyFlows!K358)</f>
        <v/>
      </c>
      <c r="K98" s="324" t="str">
        <f>IF(ISBLANK(E_EnergyFlows!L358),"", E_EnergyFlows!L358)</f>
        <v/>
      </c>
      <c r="L98" s="324" t="str">
        <f>IF(ISBLANK(E_EnergyFlows!M358),"", E_EnergyFlows!M358)</f>
        <v/>
      </c>
      <c r="M98" s="324">
        <f>SUM(H98:L98)</f>
        <v>0</v>
      </c>
      <c r="N98" s="1082"/>
    </row>
    <row r="99" spans="2:14" x14ac:dyDescent="0.25">
      <c r="B99" s="17"/>
      <c r="C99" s="27" t="s">
        <v>578</v>
      </c>
      <c r="D99" s="27" t="s">
        <v>579</v>
      </c>
      <c r="E99" s="27"/>
      <c r="F99" s="27"/>
      <c r="G99" s="27" t="s">
        <v>575</v>
      </c>
      <c r="H99" s="324" t="str">
        <f>IF(AND(ISBLANK(D_Emissions!I98),ISBLANK(D_Emissions!I154)),"",D_Emissions!I98+D_Emissions!I154)</f>
        <v/>
      </c>
      <c r="I99" s="324" t="str">
        <f>IF(AND(ISBLANK(D_Emissions!J98),ISBLANK(D_Emissions!J154)),"",D_Emissions!J98+D_Emissions!J154)</f>
        <v/>
      </c>
      <c r="J99" s="324" t="str">
        <f>IF(AND(ISBLANK(D_Emissions!K98),ISBLANK(D_Emissions!K154)),"",D_Emissions!K98+D_Emissions!K154)</f>
        <v/>
      </c>
      <c r="K99" s="324" t="str">
        <f>IF(AND(ISBLANK(D_Emissions!L98),ISBLANK(D_Emissions!L154)),"",D_Emissions!L98+D_Emissions!L154)</f>
        <v/>
      </c>
      <c r="L99" s="324" t="str">
        <f>IF(AND(ISBLANK(D_Emissions!M98),ISBLANK(D_Emissions!M154)),"",D_Emissions!M98+D_Emissions!M154)</f>
        <v/>
      </c>
      <c r="M99" s="324">
        <f>SUM(H99:L99)</f>
        <v>0</v>
      </c>
      <c r="N99" s="1082"/>
    </row>
    <row r="100" spans="2:14" ht="6" customHeight="1" x14ac:dyDescent="0.25">
      <c r="B100" s="17"/>
      <c r="C100" s="27"/>
      <c r="D100" s="27"/>
      <c r="E100" s="27"/>
      <c r="F100" s="27"/>
      <c r="G100" s="27"/>
      <c r="H100" s="1082"/>
      <c r="I100" s="1082"/>
      <c r="J100" s="1082"/>
      <c r="K100" s="1082"/>
      <c r="L100" s="1082"/>
      <c r="M100" s="1082"/>
      <c r="N100" s="1082"/>
    </row>
    <row r="101" spans="2:14" x14ac:dyDescent="0.25">
      <c r="B101" s="17"/>
      <c r="C101" s="27" t="s">
        <v>580</v>
      </c>
      <c r="D101" s="27" t="s">
        <v>581</v>
      </c>
      <c r="E101" s="27"/>
      <c r="F101" s="27"/>
      <c r="G101" s="27"/>
      <c r="H101" s="77"/>
      <c r="I101" s="77"/>
      <c r="J101" s="77"/>
      <c r="K101" s="1655" t="b">
        <f>IF( AND(M99 &gt;= M98, M99 &gt; 0), TRUE, FALSE)</f>
        <v>0</v>
      </c>
      <c r="L101" s="1655"/>
      <c r="M101" s="77"/>
      <c r="N101" s="77"/>
    </row>
    <row r="102" spans="2:14" x14ac:dyDescent="0.25">
      <c r="B102" s="17"/>
      <c r="C102" s="27" t="s">
        <v>582</v>
      </c>
      <c r="D102" s="27" t="s">
        <v>583</v>
      </c>
      <c r="E102" s="27"/>
      <c r="F102" s="27"/>
      <c r="G102" s="27"/>
      <c r="H102" s="77"/>
      <c r="I102" s="77"/>
      <c r="J102" s="77"/>
      <c r="K102" s="1655" t="b">
        <f>IFERROR( IF( AND(( (M97-M99) * 0.05 ) - M98 &gt; 0, M98 &gt; 0 ), TRUE, FALSE),"")</f>
        <v>0</v>
      </c>
      <c r="L102" s="1655"/>
      <c r="M102" s="77"/>
      <c r="N102" s="77"/>
    </row>
    <row r="103" spans="2:14" x14ac:dyDescent="0.25">
      <c r="B103" s="17"/>
      <c r="C103" s="17"/>
      <c r="D103" s="17"/>
      <c r="E103" s="17"/>
      <c r="F103" s="17"/>
      <c r="G103" s="17"/>
      <c r="H103" s="17"/>
      <c r="I103" s="17"/>
      <c r="J103" s="17"/>
      <c r="K103" s="17"/>
      <c r="L103" s="17"/>
      <c r="M103" s="17"/>
      <c r="N103" s="77"/>
    </row>
    <row r="104" spans="2:14" ht="42" customHeight="1" x14ac:dyDescent="0.25">
      <c r="B104" s="17"/>
      <c r="C104" s="1208" t="s">
        <v>584</v>
      </c>
      <c r="D104" s="1208"/>
      <c r="E104" s="1208"/>
      <c r="F104" s="1208"/>
      <c r="G104" s="1208"/>
      <c r="H104" s="1208"/>
      <c r="I104" s="1208"/>
      <c r="J104" s="1208"/>
      <c r="K104" s="1208"/>
      <c r="L104" s="1208"/>
      <c r="M104" s="1208"/>
      <c r="N104" s="77"/>
    </row>
    <row r="105" spans="2:14" x14ac:dyDescent="0.25">
      <c r="B105" s="17"/>
      <c r="C105" s="17"/>
      <c r="D105" s="17"/>
      <c r="E105" s="17"/>
      <c r="F105" s="17"/>
      <c r="G105" s="17"/>
      <c r="H105" s="17"/>
      <c r="I105" s="17"/>
      <c r="J105" s="17"/>
      <c r="K105" s="1657"/>
      <c r="L105" s="1658"/>
      <c r="M105" s="17"/>
      <c r="N105" s="77"/>
    </row>
    <row r="106" spans="2:14" x14ac:dyDescent="0.25">
      <c r="B106" s="17"/>
      <c r="C106" s="1656"/>
      <c r="D106" s="1656"/>
      <c r="E106" s="1656"/>
      <c r="F106" s="1656"/>
      <c r="G106" s="1656"/>
      <c r="H106" s="1656"/>
      <c r="I106" s="1656"/>
      <c r="J106" s="1656"/>
      <c r="K106" s="1656"/>
      <c r="L106" s="1656"/>
      <c r="M106" s="1656"/>
      <c r="N106" s="77"/>
    </row>
    <row r="107" spans="2:14" ht="16.95" customHeight="1" x14ac:dyDescent="0.25">
      <c r="B107" s="16">
        <v>7</v>
      </c>
      <c r="C107" s="1208" t="s">
        <v>585</v>
      </c>
      <c r="D107" s="1208"/>
      <c r="E107" s="1208"/>
      <c r="F107" s="1208"/>
      <c r="G107" s="1208"/>
      <c r="H107" s="1208"/>
      <c r="I107" s="1208"/>
      <c r="J107" s="1208"/>
      <c r="K107" s="1208"/>
      <c r="L107" s="1208"/>
      <c r="M107" s="1208"/>
      <c r="N107" s="77"/>
    </row>
    <row r="108" spans="2:14" ht="54" customHeight="1" x14ac:dyDescent="0.25">
      <c r="B108" s="17"/>
      <c r="C108" s="1264"/>
      <c r="D108" s="1265"/>
      <c r="E108" s="1265"/>
      <c r="F108" s="1265"/>
      <c r="G108" s="1265"/>
      <c r="H108" s="1265"/>
      <c r="I108" s="1265"/>
      <c r="J108" s="1265"/>
      <c r="K108" s="1265"/>
      <c r="L108" s="1265"/>
      <c r="M108" s="1266"/>
      <c r="N108" s="77"/>
    </row>
    <row r="109" spans="2:14" ht="10.199999999999999" customHeight="1" x14ac:dyDescent="0.25">
      <c r="B109" s="17"/>
      <c r="C109" s="80"/>
      <c r="D109" s="80"/>
      <c r="E109" s="80"/>
      <c r="F109" s="80"/>
      <c r="G109" s="80"/>
      <c r="H109" s="80"/>
      <c r="I109" s="80"/>
      <c r="J109" s="80"/>
      <c r="K109" s="80"/>
      <c r="L109" s="80"/>
      <c r="M109" s="80"/>
      <c r="N109" s="77"/>
    </row>
    <row r="110" spans="2:14" ht="43.95" customHeight="1" x14ac:dyDescent="0.25">
      <c r="B110" s="16">
        <v>8</v>
      </c>
      <c r="C110" s="1208" t="s">
        <v>586</v>
      </c>
      <c r="D110" s="1208"/>
      <c r="E110" s="1208"/>
      <c r="F110" s="1208"/>
      <c r="G110" s="1208"/>
      <c r="H110" s="1208"/>
      <c r="I110" s="1208"/>
      <c r="J110" s="1208"/>
      <c r="K110" s="1208"/>
      <c r="L110" s="1208"/>
      <c r="M110" s="1208"/>
      <c r="N110" s="77"/>
    </row>
    <row r="111" spans="2:14" ht="41.4" customHeight="1" x14ac:dyDescent="0.25">
      <c r="B111" s="17"/>
      <c r="C111" s="1264"/>
      <c r="D111" s="1265"/>
      <c r="E111" s="1265"/>
      <c r="F111" s="1265"/>
      <c r="G111" s="1265"/>
      <c r="H111" s="1265"/>
      <c r="I111" s="1265"/>
      <c r="J111" s="1265"/>
      <c r="K111" s="1265"/>
      <c r="L111" s="1265"/>
      <c r="M111" s="1266"/>
      <c r="N111" s="77"/>
    </row>
    <row r="112" spans="2:14" ht="8.4" customHeight="1" x14ac:dyDescent="0.25">
      <c r="B112" s="17"/>
      <c r="C112" s="17"/>
      <c r="D112" s="17"/>
      <c r="E112" s="17"/>
      <c r="F112" s="17"/>
      <c r="G112" s="17"/>
      <c r="H112" s="17"/>
      <c r="I112" s="17"/>
      <c r="J112" s="17"/>
      <c r="K112" s="17"/>
      <c r="L112" s="17"/>
      <c r="M112" s="17"/>
      <c r="N112" s="77"/>
    </row>
    <row r="113" spans="2:14" ht="16.95" customHeight="1" x14ac:dyDescent="0.25">
      <c r="B113" s="1659" t="s">
        <v>587</v>
      </c>
      <c r="C113" s="1659"/>
      <c r="D113" s="1659"/>
      <c r="E113" s="1659"/>
      <c r="F113" s="1659"/>
      <c r="G113" s="1659"/>
      <c r="H113" s="1659"/>
      <c r="I113" s="1659"/>
      <c r="J113" s="1659"/>
      <c r="K113" s="1659"/>
      <c r="L113" s="1659"/>
      <c r="M113" s="1659"/>
      <c r="N113" s="77"/>
    </row>
    <row r="114" spans="2:14" ht="31.95" customHeight="1" x14ac:dyDescent="0.25">
      <c r="B114" s="16">
        <v>9</v>
      </c>
      <c r="C114" s="1208" t="s">
        <v>588</v>
      </c>
      <c r="D114" s="1208"/>
      <c r="E114" s="1208"/>
      <c r="F114" s="1208"/>
      <c r="G114" s="1208"/>
      <c r="H114" s="1208"/>
      <c r="I114" s="1208"/>
      <c r="J114" s="1208"/>
      <c r="K114" s="1208"/>
      <c r="L114" s="1208"/>
      <c r="M114" s="1208"/>
      <c r="N114" s="77"/>
    </row>
    <row r="115" spans="2:14" x14ac:dyDescent="0.25">
      <c r="B115" s="77"/>
      <c r="C115" s="499"/>
      <c r="D115" s="499"/>
      <c r="E115" s="499"/>
      <c r="F115" s="499"/>
      <c r="G115" s="499"/>
      <c r="H115" s="499"/>
      <c r="I115" s="499"/>
      <c r="J115" s="499"/>
      <c r="K115" s="1657"/>
      <c r="L115" s="1658"/>
      <c r="M115" s="499"/>
      <c r="N115" s="17"/>
    </row>
    <row r="116" spans="2:14" ht="9" customHeight="1" x14ac:dyDescent="0.25">
      <c r="B116" s="77"/>
      <c r="C116" s="499"/>
      <c r="D116" s="499"/>
      <c r="E116" s="499"/>
      <c r="F116" s="499"/>
      <c r="G116" s="499"/>
      <c r="H116" s="499"/>
      <c r="I116" s="499"/>
      <c r="J116" s="499"/>
      <c r="K116" s="499"/>
      <c r="L116" s="499"/>
      <c r="M116" s="77"/>
      <c r="N116" s="17"/>
    </row>
    <row r="117" spans="2:14" ht="15.6" customHeight="1" x14ac:dyDescent="0.25">
      <c r="B117" s="16"/>
      <c r="C117" s="1208" t="s">
        <v>589</v>
      </c>
      <c r="D117" s="1208"/>
      <c r="E117" s="1208"/>
      <c r="F117" s="1208"/>
      <c r="G117" s="1208"/>
      <c r="H117" s="1208"/>
      <c r="I117" s="1208"/>
      <c r="J117" s="1208"/>
      <c r="K117" s="1208"/>
      <c r="L117" s="1208"/>
      <c r="M117" s="1208"/>
      <c r="N117" s="17"/>
    </row>
    <row r="118" spans="2:14" x14ac:dyDescent="0.25">
      <c r="B118" s="16"/>
      <c r="C118" s="1314" t="s">
        <v>590</v>
      </c>
      <c r="D118" s="1314"/>
      <c r="E118" s="1314"/>
      <c r="F118" s="1314"/>
      <c r="G118" s="1314"/>
      <c r="H118" s="1314"/>
      <c r="I118" s="1314"/>
      <c r="J118" s="1314"/>
      <c r="K118" s="1314"/>
      <c r="L118" s="1314"/>
      <c r="M118" s="1314"/>
      <c r="N118" s="17"/>
    </row>
    <row r="119" spans="2:14" ht="21" customHeight="1" x14ac:dyDescent="0.25">
      <c r="B119" s="16"/>
      <c r="C119" s="1079" t="s">
        <v>190</v>
      </c>
      <c r="D119" s="1314" t="s">
        <v>591</v>
      </c>
      <c r="E119" s="1314"/>
      <c r="F119" s="1314"/>
      <c r="G119" s="1314"/>
      <c r="H119" s="1314"/>
      <c r="I119" s="1314"/>
      <c r="J119" s="1314"/>
      <c r="K119" s="1314"/>
      <c r="L119" s="1314"/>
      <c r="M119" s="1314"/>
      <c r="N119" s="17"/>
    </row>
    <row r="120" spans="2:14" ht="17.399999999999999" customHeight="1" x14ac:dyDescent="0.25">
      <c r="B120" s="17"/>
      <c r="C120" s="1079" t="s">
        <v>192</v>
      </c>
      <c r="D120" s="1314" t="s">
        <v>592</v>
      </c>
      <c r="E120" s="1314"/>
      <c r="F120" s="1314"/>
      <c r="G120" s="1314"/>
      <c r="H120" s="1314"/>
      <c r="I120" s="1314"/>
      <c r="J120" s="1314"/>
      <c r="K120" s="1314"/>
      <c r="L120" s="1314"/>
      <c r="M120" s="1314"/>
      <c r="N120" s="17"/>
    </row>
    <row r="121" spans="2:14" ht="18.600000000000001" customHeight="1" thickBot="1" x14ac:dyDescent="0.3">
      <c r="B121" s="77"/>
      <c r="C121" s="1208" t="s">
        <v>593</v>
      </c>
      <c r="D121" s="1208"/>
      <c r="E121" s="1208"/>
      <c r="F121" s="1208"/>
      <c r="G121" s="1208"/>
      <c r="H121" s="1208"/>
      <c r="I121" s="1208"/>
      <c r="J121" s="1208"/>
      <c r="K121" s="1208"/>
      <c r="L121" s="1208"/>
      <c r="M121" s="17"/>
      <c r="N121" s="17"/>
    </row>
    <row r="122" spans="2:14" ht="28.95" customHeight="1" x14ac:dyDescent="0.25">
      <c r="B122" s="77"/>
      <c r="C122" s="499"/>
      <c r="D122" s="1080" t="s">
        <v>594</v>
      </c>
      <c r="E122" s="1081" t="s">
        <v>595</v>
      </c>
      <c r="F122" s="1081" t="s">
        <v>596</v>
      </c>
      <c r="G122" s="1081" t="s">
        <v>597</v>
      </c>
      <c r="H122" s="1081" t="s">
        <v>131</v>
      </c>
      <c r="I122" s="499"/>
      <c r="J122" s="499"/>
      <c r="K122" s="499"/>
      <c r="L122" s="499"/>
      <c r="M122" s="17"/>
      <c r="N122" s="17"/>
    </row>
    <row r="123" spans="2:14" x14ac:dyDescent="0.25">
      <c r="B123" s="77"/>
      <c r="C123" s="499"/>
      <c r="D123" s="1088" t="str">
        <f>IFERROR( IF( SUM(D_Emissions!I167:M167) &lt;&gt; 0, AVERAGE( AVERAGE(D_Emissions!I114:M114), AVERAGE(D_Emissions!I167:M167) ), AVERAGE(D_Emissions!I114:M114)), "")</f>
        <v/>
      </c>
      <c r="E123" s="1088" t="str">
        <f>IFERROR( IF( SUM(D_Emissions!I172:M172) &lt;&gt; 0, AVERAGE( AVERAGE(D_Emissions!I123:M123), AVERAGE(D_Emissions!I172:M172)), AVERAGE(D_Emissions!I123:M123)), "")</f>
        <v/>
      </c>
      <c r="F123" s="1088" t="str">
        <f>IFERROR( IF( SUM(D_Emissions!I168:M168) &lt;&gt; 0, AVERAGE(AVERAGE(D_Emissions!I115:M115), AVERAGE(D_Emissions!I168:M168) ), AVERAGE(D_Emissions!I115:M115) ), "")</f>
        <v/>
      </c>
      <c r="G123" s="1088" t="str">
        <f>IFERROR( IF(SUM(D_Emissions!I173:M173) &lt;&gt; 0, AVERAGE(AVERAGE(D_Emissions!I124:M124), AVERAGE(D_Emissions!I173:M173)), AVERAGE(D_Emissions!I124:M124) ), "")</f>
        <v/>
      </c>
      <c r="H123" s="1089" t="str">
        <f>IFERROR(1 - ( 1 / ( ( D123 / E123 ) + (F123 / G123))), "")</f>
        <v/>
      </c>
      <c r="I123" s="499"/>
      <c r="J123" s="499"/>
      <c r="K123" s="499"/>
      <c r="L123" s="499"/>
      <c r="M123" s="17"/>
      <c r="N123" s="17"/>
    </row>
    <row r="124" spans="2:14" x14ac:dyDescent="0.25">
      <c r="B124" s="77"/>
      <c r="C124" s="499"/>
      <c r="D124" s="499"/>
      <c r="E124" s="499"/>
      <c r="F124" s="499"/>
      <c r="G124" s="499"/>
      <c r="H124" s="499"/>
      <c r="I124" s="499"/>
      <c r="J124" s="499"/>
      <c r="K124" s="499"/>
      <c r="L124" s="499"/>
      <c r="M124" s="17"/>
      <c r="N124" s="17"/>
    </row>
    <row r="125" spans="2:14" ht="17.399999999999999" customHeight="1" x14ac:dyDescent="0.25">
      <c r="B125" s="16">
        <v>10</v>
      </c>
      <c r="C125" s="1630" t="s">
        <v>598</v>
      </c>
      <c r="D125" s="1630"/>
      <c r="E125" s="1630"/>
      <c r="F125" s="1630"/>
      <c r="G125" s="1630"/>
      <c r="H125" s="1630"/>
      <c r="I125" s="1630"/>
      <c r="J125" s="1630"/>
      <c r="K125" s="1630"/>
      <c r="L125" s="1630"/>
      <c r="M125" s="1630"/>
      <c r="N125" s="17"/>
    </row>
    <row r="126" spans="2:14" x14ac:dyDescent="0.25">
      <c r="B126" s="1078"/>
      <c r="C126" s="1264"/>
      <c r="D126" s="1265"/>
      <c r="E126" s="1265"/>
      <c r="F126" s="1265"/>
      <c r="G126" s="1265"/>
      <c r="H126" s="1265"/>
      <c r="I126" s="1265"/>
      <c r="J126" s="1265"/>
      <c r="K126" s="1265"/>
      <c r="L126" s="1265"/>
      <c r="M126" s="1266"/>
      <c r="N126" s="17"/>
    </row>
    <row r="127" spans="2:14" x14ac:dyDescent="0.25">
      <c r="B127" s="17"/>
      <c r="C127" s="17"/>
      <c r="D127" s="17"/>
      <c r="E127" s="17"/>
      <c r="F127" s="17"/>
      <c r="G127" s="17"/>
      <c r="H127" s="17"/>
      <c r="I127" s="17"/>
      <c r="J127" s="17"/>
      <c r="K127" s="17"/>
      <c r="L127" s="17"/>
      <c r="M127" s="17"/>
      <c r="N127" s="17"/>
    </row>
    <row r="128" spans="2:14" ht="16.2" customHeight="1" x14ac:dyDescent="0.25">
      <c r="B128" s="16">
        <v>11</v>
      </c>
      <c r="C128" s="1630" t="s">
        <v>599</v>
      </c>
      <c r="D128" s="1630"/>
      <c r="E128" s="1630"/>
      <c r="F128" s="1630"/>
      <c r="G128" s="1630"/>
      <c r="H128" s="1630"/>
      <c r="I128" s="1630"/>
      <c r="J128" s="1630"/>
      <c r="K128" s="1630"/>
      <c r="L128" s="1630"/>
      <c r="M128" s="1630"/>
      <c r="N128" s="17"/>
    </row>
    <row r="129" spans="2:13" x14ac:dyDescent="0.25">
      <c r="B129" s="1078"/>
      <c r="C129" s="1264"/>
      <c r="D129" s="1265"/>
      <c r="E129" s="1265"/>
      <c r="F129" s="1265"/>
      <c r="G129" s="1265"/>
      <c r="H129" s="1265"/>
      <c r="I129" s="1265"/>
      <c r="J129" s="1265"/>
      <c r="K129" s="1265"/>
      <c r="L129" s="1265"/>
      <c r="M129" s="1266"/>
    </row>
    <row r="130" spans="2:13" x14ac:dyDescent="0.25">
      <c r="B130" s="17"/>
      <c r="C130" s="17"/>
      <c r="D130" s="17"/>
      <c r="E130" s="17"/>
      <c r="F130" s="17"/>
      <c r="G130" s="17"/>
      <c r="H130" s="17"/>
      <c r="I130" s="17"/>
      <c r="J130" s="17"/>
      <c r="K130" s="17"/>
      <c r="L130" s="17"/>
      <c r="M130" s="17"/>
    </row>
    <row r="131" spans="2:13" ht="18" customHeight="1" x14ac:dyDescent="0.25">
      <c r="B131" s="16">
        <v>12</v>
      </c>
      <c r="C131" s="1208" t="s">
        <v>600</v>
      </c>
      <c r="D131" s="1208"/>
      <c r="E131" s="1208"/>
      <c r="F131" s="1208"/>
      <c r="G131" s="1208"/>
      <c r="H131" s="1208"/>
      <c r="I131" s="1208"/>
      <c r="J131" s="1208"/>
      <c r="K131" s="1208"/>
      <c r="L131" s="1208"/>
      <c r="M131" s="1208"/>
    </row>
    <row r="132" spans="2:13" x14ac:dyDescent="0.25">
      <c r="B132" s="17"/>
      <c r="C132" s="17"/>
      <c r="D132" s="17"/>
      <c r="E132" s="17"/>
      <c r="F132" s="17"/>
      <c r="G132" s="17"/>
      <c r="H132" s="17"/>
      <c r="I132" s="17"/>
      <c r="J132" s="17"/>
      <c r="K132" s="1657"/>
      <c r="L132" s="1658"/>
      <c r="M132" s="17"/>
    </row>
    <row r="133" spans="2:13" x14ac:dyDescent="0.25">
      <c r="B133" s="17"/>
      <c r="C133" s="17"/>
      <c r="D133" s="17"/>
      <c r="E133" s="17"/>
      <c r="F133" s="17"/>
      <c r="G133" s="17"/>
      <c r="H133" s="17"/>
      <c r="I133" s="17"/>
      <c r="J133" s="17"/>
      <c r="K133" s="17"/>
      <c r="L133" s="17"/>
      <c r="M133" s="17"/>
    </row>
    <row r="134" spans="2:13" ht="18.600000000000001" customHeight="1" x14ac:dyDescent="0.25">
      <c r="B134" s="17"/>
      <c r="C134" s="1208" t="s">
        <v>601</v>
      </c>
      <c r="D134" s="1208"/>
      <c r="E134" s="1208"/>
      <c r="F134" s="1208"/>
      <c r="G134" s="1208"/>
      <c r="H134" s="1208"/>
      <c r="I134" s="1208"/>
      <c r="J134" s="1208"/>
      <c r="K134" s="1208"/>
      <c r="L134" s="1208"/>
      <c r="M134" s="1208"/>
    </row>
    <row r="135" spans="2:13" x14ac:dyDescent="0.25">
      <c r="B135" s="17"/>
      <c r="C135" s="1264"/>
      <c r="D135" s="1265"/>
      <c r="E135" s="1265"/>
      <c r="F135" s="1265"/>
      <c r="G135" s="1265"/>
      <c r="H135" s="1265"/>
      <c r="I135" s="1265"/>
      <c r="J135" s="1265"/>
      <c r="K135" s="1265"/>
      <c r="L135" s="1265"/>
      <c r="M135" s="1266"/>
    </row>
    <row r="136" spans="2:13" x14ac:dyDescent="0.25">
      <c r="B136" s="17"/>
      <c r="C136" s="17"/>
      <c r="D136" s="17"/>
      <c r="E136" s="17"/>
      <c r="F136" s="17"/>
      <c r="G136" s="17"/>
      <c r="H136" s="17"/>
      <c r="I136" s="17"/>
      <c r="J136" s="17"/>
      <c r="K136" s="17"/>
      <c r="L136" s="17"/>
      <c r="M136" s="17"/>
    </row>
    <row r="137" spans="2:13" x14ac:dyDescent="0.25">
      <c r="B137" s="17"/>
      <c r="C137" s="1413" t="str">
        <f>Translations!$B$73</f>
        <v xml:space="preserve">&lt;&lt;&lt; Click here to proceed to next sheet &gt;&gt;&gt; </v>
      </c>
      <c r="D137" s="1664"/>
      <c r="E137" s="1664"/>
      <c r="F137" s="1664"/>
      <c r="G137" s="1664"/>
      <c r="H137" s="1413"/>
      <c r="I137" s="1413"/>
      <c r="J137" s="1413"/>
      <c r="K137" s="1413"/>
      <c r="L137" s="1413"/>
      <c r="M137" s="1413"/>
    </row>
    <row r="138" spans="2:13" x14ac:dyDescent="0.25">
      <c r="B138" s="17"/>
      <c r="C138" s="17"/>
      <c r="D138" s="17"/>
      <c r="E138" s="17"/>
      <c r="F138" s="17"/>
      <c r="G138" s="17"/>
      <c r="H138" s="17"/>
      <c r="I138" s="17"/>
      <c r="J138" s="17"/>
      <c r="K138" s="17"/>
      <c r="L138" s="17"/>
      <c r="M138" s="17"/>
    </row>
    <row r="139" spans="2:13" x14ac:dyDescent="0.25">
      <c r="B139" s="17"/>
      <c r="C139" s="17"/>
      <c r="D139" s="17"/>
      <c r="E139" s="17"/>
      <c r="F139" s="17"/>
      <c r="G139" s="17"/>
      <c r="H139" s="17"/>
      <c r="I139" s="17"/>
      <c r="J139" s="17"/>
      <c r="K139" s="17"/>
      <c r="L139" s="17"/>
      <c r="M139" s="17"/>
    </row>
  </sheetData>
  <sheetProtection algorithmName="SHA-512" hashValue="Ahlr6RmFNb8Us33guunhSnKRGRFgahC74xIyYwWWqlZ07dH/ckzO0gjvWJzTxBA9X9Xd7ZcshX34tbz/jJX68g==" saltValue="8j45cKQ/diYd5voZzRhrAw==" spinCount="100000" sheet="1" objects="1" scenarios="1" formatColumns="0" formatRows="0"/>
  <mergeCells count="103">
    <mergeCell ref="C134:M134"/>
    <mergeCell ref="C131:M131"/>
    <mergeCell ref="C110:M110"/>
    <mergeCell ref="C111:M111"/>
    <mergeCell ref="C104:M104"/>
    <mergeCell ref="K105:L105"/>
    <mergeCell ref="C107:M107"/>
    <mergeCell ref="C108:M108"/>
    <mergeCell ref="C114:M114"/>
    <mergeCell ref="C117:M117"/>
    <mergeCell ref="K115:L115"/>
    <mergeCell ref="B113:M113"/>
    <mergeCell ref="D119:M119"/>
    <mergeCell ref="D120:M120"/>
    <mergeCell ref="K132:L132"/>
    <mergeCell ref="C128:M128"/>
    <mergeCell ref="C129:M129"/>
    <mergeCell ref="J3:K3"/>
    <mergeCell ref="L3:M3"/>
    <mergeCell ref="D25:M25"/>
    <mergeCell ref="C6:M6"/>
    <mergeCell ref="D8:M8"/>
    <mergeCell ref="C9:D9"/>
    <mergeCell ref="C10:D10"/>
    <mergeCell ref="D12:M12"/>
    <mergeCell ref="C135:M135"/>
    <mergeCell ref="D30:M30"/>
    <mergeCell ref="B24:M24"/>
    <mergeCell ref="C69:M69"/>
    <mergeCell ref="C5:M5"/>
    <mergeCell ref="C16:M16"/>
    <mergeCell ref="C43:D43"/>
    <mergeCell ref="C44:D44"/>
    <mergeCell ref="C31:D31"/>
    <mergeCell ref="C32:D32"/>
    <mergeCell ref="C37:D37"/>
    <mergeCell ref="C38:D38"/>
    <mergeCell ref="D23:L23"/>
    <mergeCell ref="K77:L77"/>
    <mergeCell ref="K73:L73"/>
    <mergeCell ref="C118:M118"/>
    <mergeCell ref="C137:M137"/>
    <mergeCell ref="J1:K1"/>
    <mergeCell ref="L1:M1"/>
    <mergeCell ref="D2:E2"/>
    <mergeCell ref="F2:G2"/>
    <mergeCell ref="H2:I2"/>
    <mergeCell ref="J2:K2"/>
    <mergeCell ref="L2:M2"/>
    <mergeCell ref="A1:C3"/>
    <mergeCell ref="F1:G1"/>
    <mergeCell ref="H1:I1"/>
    <mergeCell ref="D3:E3"/>
    <mergeCell ref="F3:G3"/>
    <mergeCell ref="C121:L121"/>
    <mergeCell ref="C125:M125"/>
    <mergeCell ref="C126:M126"/>
    <mergeCell ref="H3:I3"/>
    <mergeCell ref="C27:D27"/>
    <mergeCell ref="C28:D28"/>
    <mergeCell ref="C18:M18"/>
    <mergeCell ref="C19:L19"/>
    <mergeCell ref="D20:L20"/>
    <mergeCell ref="D21:J21"/>
    <mergeCell ref="K21:L21"/>
    <mergeCell ref="C75:L75"/>
    <mergeCell ref="C76:M76"/>
    <mergeCell ref="C78:M78"/>
    <mergeCell ref="B34:M34"/>
    <mergeCell ref="B40:M40"/>
    <mergeCell ref="B59:M59"/>
    <mergeCell ref="D35:M35"/>
    <mergeCell ref="D41:M41"/>
    <mergeCell ref="D55:M55"/>
    <mergeCell ref="D50:M50"/>
    <mergeCell ref="D51:M51"/>
    <mergeCell ref="D65:M65"/>
    <mergeCell ref="D68:M68"/>
    <mergeCell ref="D46:M46"/>
    <mergeCell ref="D60:M60"/>
    <mergeCell ref="D64:M64"/>
    <mergeCell ref="A66:M66"/>
    <mergeCell ref="D67:M67"/>
    <mergeCell ref="C72:M72"/>
    <mergeCell ref="C74:L74"/>
    <mergeCell ref="K102:L102"/>
    <mergeCell ref="K101:L101"/>
    <mergeCell ref="C106:M106"/>
    <mergeCell ref="D80:M80"/>
    <mergeCell ref="D79:M79"/>
    <mergeCell ref="C88:M88"/>
    <mergeCell ref="C81:M81"/>
    <mergeCell ref="C82:M82"/>
    <mergeCell ref="K85:L85"/>
    <mergeCell ref="C91:M91"/>
    <mergeCell ref="B93:M93"/>
    <mergeCell ref="B83:M83"/>
    <mergeCell ref="C90:M90"/>
    <mergeCell ref="C84:M84"/>
    <mergeCell ref="C86:M86"/>
    <mergeCell ref="C87:M87"/>
    <mergeCell ref="C94:M94"/>
    <mergeCell ref="D95:M95"/>
  </mergeCells>
  <phoneticPr fontId="31" type="noConversion"/>
  <conditionalFormatting sqref="C81:M81">
    <cfRule type="expression" dxfId="53" priority="2">
      <formula>IF(AND(K73 = TRUE, K77 = TRUE),1,0)</formula>
    </cfRule>
  </conditionalFormatting>
  <conditionalFormatting sqref="C82:M82">
    <cfRule type="expression" dxfId="52" priority="1">
      <formula>IF(AND(K73=TRUE,K77=FALSE,NOT(ISBLANK(K77))),1,0)</formula>
    </cfRule>
  </conditionalFormatting>
  <dataValidations disablePrompts="1" count="1">
    <dataValidation type="list" allowBlank="1" showInputMessage="1" showErrorMessage="1" sqref="E57 E62:H62 K73:L73 K115:L115 K77:L77 K85:L85 K132:L132 E14 K105:L105" xr:uid="{5E52E33E-244E-4702-9EAC-B6CE75D371E8}">
      <formula1>Euconst_TrueFalse</formula1>
    </dataValidation>
  </dataValidations>
  <hyperlinks>
    <hyperlink ref="F1:G1" location="JUMP_TOC_Home" display="Table of contents" xr:uid="{A7708FEE-416B-4B97-93BF-14D362D03544}"/>
    <hyperlink ref="L1:M1" location="JUMP_K_I" display="Summary" xr:uid="{41B4F7B0-690C-4423-ABF1-7124A8D1F80A}"/>
    <hyperlink ref="H1:I1" location="JUMP_H_Top" display="Previous sheet" xr:uid="{54E73AA0-621B-4573-8BD8-7BA6507F7332}"/>
    <hyperlink ref="D2:E2" location="JUMP_I_Top" display="Top of sheet" xr:uid="{0AF920FC-B814-45B2-91CB-4C46FD15CB9B}"/>
    <hyperlink ref="D3:E3" location="JUMP_I_Bottom" display="End of sheet" xr:uid="{46E147E0-A10E-4A05-BD43-4E35E956CB8F}"/>
    <hyperlink ref="J1:K1" location="JUMP_J_Top" display="Next sheet" xr:uid="{73036D4E-846E-4C13-A725-21D1F2D9D90F}"/>
    <hyperlink ref="C137:M137" location="JUMP_J_Top" display="JUMP_J_Top" xr:uid="{88B42A40-08FB-4986-8027-39B252FA8618}"/>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0C77DA6-5179-441C-AA99-7741A492EB2C}">
          <x14:formula1>
            <xm:f>Translations!$B$1549:$B$1551</xm:f>
          </x14:formula1>
          <xm:sqref>K21:L21</xm:sqref>
        </x14:dataValidation>
        <x14:dataValidation type="list" allowBlank="1" showInputMessage="1" showErrorMessage="1" xr:uid="{6FD567E9-E565-4E59-A04F-D4C7C78051F6}">
          <x14:formula1>
            <xm:f>Translations!$B$1559:$B$1560</xm:f>
          </x14:formula1>
          <xm:sqref>C135:M135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2024-10-21T07:49:59+00:00</Date_x0020_Opened>
    <LegacyData xmlns="aaacb922-5235-4a66-b188-303b9b46fbd7" xsi:nil="true"/>
    <Descriptor xmlns="0063f72e-ace3-48fb-9c1f-5b513408b31f" xsi:nil="true"/>
    <Security_x0020_Classification xmlns="0063f72e-ace3-48fb-9c1f-5b513408b31f">OFFICIAL</Security_x0020_Classification>
    <Retention_x0020_Label xmlns="a8f60570-4bd3-4f2b-950b-a996de8ab151" xsi:nil="true"/>
    <Date_x0020_Closed xmlns="b413c3fd-5a3b-4239-b985-69032e371c04" xsi:nil="true"/>
    <TaxCatchAll xmlns="a1849d38-e72e-4852-a36b-13cdd6c06fc1">
      <Value>61</Value>
    </TaxCatchAll>
    <m975189f4ba442ecbf67d4147307b177 xmlns="a1849d38-e72e-4852-a36b-13cdd6c06fc1">
      <Terms xmlns="http://schemas.microsoft.com/office/infopath/2007/PartnerControls">
        <TermInfo xmlns="http://schemas.microsoft.com/office/infopath/2007/PartnerControls">
          <TermName xmlns="http://schemas.microsoft.com/office/infopath/2007/PartnerControls">UK ETS Delivery</TermName>
          <TermId xmlns="http://schemas.microsoft.com/office/infopath/2007/PartnerControls">1788b8e5-6d0a-4cde-aaf0-425d3e6d5788</TermId>
        </TermInfo>
      </Terms>
    </m975189f4ba442ecbf67d4147307b177>
    <lcf76f155ced4ddcb4097134ff3c332f xmlns="7da7a6c9-f445-4aaf-8526-e6eda3804298">
      <Terms xmlns="http://schemas.microsoft.com/office/infopath/2007/PartnerControls"/>
    </lcf76f155ced4ddcb4097134ff3c332f>
    <_dlc_DocId xmlns="a1849d38-e72e-4852-a36b-13cdd6c06fc1">5FKPPDXT7J7V-161140923-159663</_dlc_DocId>
    <_dlc_DocIdUrl xmlns="a1849d38-e72e-4852-a36b-13cdd6c06fc1">
      <Url>https://beisgov.sharepoint.com/sites/euets/_layouts/15/DocIdRedir.aspx?ID=5FKPPDXT7J7V-161140923-159663</Url>
      <Description>5FKPPDXT7J7V-161140923-159663</Description>
    </_dlc_DocIdUrl>
    <Test2 xmlns="7da7a6c9-f445-4aaf-8526-e6eda3804298" xsi:nil="true"/>
    <_ip_UnifiedCompliancePolicyUIAction xmlns="http://schemas.microsoft.com/sharepoint/v3" xsi:nil="true"/>
    <_ip_UnifiedCompliancePolicyProperties xmlns="http://schemas.microsoft.com/sharepoint/v3" xsi:nil="true"/>
    <Test xmlns="7da7a6c9-f445-4aaf-8526-e6eda3804298" xsi:nil="true"/>
    <Category xmlns="7da7a6c9-f445-4aaf-8526-e6eda3804298"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4E78DF077B1A74AA77A8BB3D47E9C65" ma:contentTypeVersion="30" ma:contentTypeDescription="Create a new document." ma:contentTypeScope="" ma:versionID="237b727650d6a8f85a5a6a581fd34ca0">
  <xsd:schema xmlns:xsd="http://www.w3.org/2001/XMLSchema" xmlns:xs="http://www.w3.org/2001/XMLSchema" xmlns:p="http://schemas.microsoft.com/office/2006/metadata/properties" xmlns:ns1="http://schemas.microsoft.com/sharepoint/v3" xmlns:ns2="0063f72e-ace3-48fb-9c1f-5b513408b31f" xmlns:ns3="a1849d38-e72e-4852-a36b-13cdd6c06fc1" xmlns:ns4="b413c3fd-5a3b-4239-b985-69032e371c04" xmlns:ns5="a8f60570-4bd3-4f2b-950b-a996de8ab151" xmlns:ns6="aaacb922-5235-4a66-b188-303b9b46fbd7" xmlns:ns7="7da7a6c9-f445-4aaf-8526-e6eda3804298" targetNamespace="http://schemas.microsoft.com/office/2006/metadata/properties" ma:root="true" ma:fieldsID="2b9cfb87bb4b4903a4410d65ec5f95a7" ns1:_="" ns2:_="" ns3:_="" ns4:_="" ns5:_="" ns6:_="" ns7:_="">
    <xsd:import namespace="http://schemas.microsoft.com/sharepoint/v3"/>
    <xsd:import namespace="0063f72e-ace3-48fb-9c1f-5b513408b31f"/>
    <xsd:import namespace="a1849d38-e72e-4852-a36b-13cdd6c06fc1"/>
    <xsd:import namespace="b413c3fd-5a3b-4239-b985-69032e371c04"/>
    <xsd:import namespace="a8f60570-4bd3-4f2b-950b-a996de8ab151"/>
    <xsd:import namespace="aaacb922-5235-4a66-b188-303b9b46fbd7"/>
    <xsd:import namespace="7da7a6c9-f445-4aaf-8526-e6eda38042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7:MediaServiceDateTaken" minOccurs="0"/>
                <xsd:element ref="ns7:MediaServiceAutoTags" minOccurs="0"/>
                <xsd:element ref="ns7:MediaServiceGenerationTime" minOccurs="0"/>
                <xsd:element ref="ns7:MediaServiceEventHashCode" minOccurs="0"/>
                <xsd:element ref="ns3:_dlc_DocId" minOccurs="0"/>
                <xsd:element ref="ns3:_dlc_DocIdUrl" minOccurs="0"/>
                <xsd:element ref="ns3:_dlc_DocIdPersistId" minOccurs="0"/>
                <xsd:element ref="ns7:MediaServiceOCR" minOccurs="0"/>
                <xsd:element ref="ns3:SharedWithUsers" minOccurs="0"/>
                <xsd:element ref="ns3:SharedWithDetails" minOccurs="0"/>
                <xsd:element ref="ns7:MediaLengthInSeconds" minOccurs="0"/>
                <xsd:element ref="ns7:lcf76f155ced4ddcb4097134ff3c332f" minOccurs="0"/>
                <xsd:element ref="ns7:MediaServiceLocation" minOccurs="0"/>
                <xsd:element ref="ns7:Test" minOccurs="0"/>
                <xsd:element ref="ns7:Test2" minOccurs="0"/>
                <xsd:element ref="ns7:MediaServiceObjectDetectorVersions" minOccurs="0"/>
                <xsd:element ref="ns7:Category" minOccurs="0"/>
                <xsd:element ref="ns7: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a1849d38-e72e-4852-a36b-13cdd6c06fc1"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81f79107-1e03-4a29-8f73-d03ccfad005b}" ma:internalName="TaxCatchAll" ma:showField="CatchAllData"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1f79107-1e03-4a29-8f73-d03ccfad005b}" ma:internalName="TaxCatchAllLabel" ma:readOnly="true" ma:showField="CatchAllDataLabel"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a7a6c9-f445-4aaf-8526-e6eda3804298"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LengthInSeconds" ma:index="33" nillable="true" ma:displayName="Length (seconds)"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6" nillable="true" ma:displayName="Location" ma:description="" ma:indexed="true" ma:internalName="MediaServiceLocation" ma:readOnly="true">
      <xsd:simpleType>
        <xsd:restriction base="dms:Text"/>
      </xsd:simpleType>
    </xsd:element>
    <xsd:element name="Test" ma:index="37" nillable="true" ma:displayName="Test " ma:format="Dropdown" ma:internalName="Test">
      <xsd:simpleType>
        <xsd:restriction base="dms:Choice">
          <xsd:enumeration value="Choice 1"/>
          <xsd:enumeration value="Choice 2"/>
          <xsd:enumeration value="Choice 3"/>
        </xsd:restriction>
      </xsd:simpleType>
    </xsd:element>
    <xsd:element name="Test2" ma:index="38" nillable="true" ma:displayName="Test 2" ma:format="Dropdown" ma:internalName="Test2">
      <xsd:simpleType>
        <xsd:restriction base="dms:Text">
          <xsd:maxLength value="255"/>
        </xsd:restrictio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Category" ma:index="40" nillable="true" ma:displayName="Category" ma:format="Dropdown" ma:internalName="Category">
      <xsd:complexType>
        <xsd:complexContent>
          <xsd:extension base="dms:MultiChoice">
            <xsd:sequence>
              <xsd:element name="Value" maxOccurs="unbounded" minOccurs="0" nillable="true">
                <xsd:simpleType>
                  <xsd:restriction base="dms:Choice">
                    <xsd:enumeration value="FA"/>
                    <xsd:enumeration value="ALC"/>
                    <xsd:enumeration value="Auctions"/>
                    <xsd:enumeration value="Penalties/ Appeals"/>
                    <xsd:enumeration value="Leglislation"/>
                    <xsd:enumeration value="Team Planning"/>
                    <xsd:enumeration value="Process Steps"/>
                  </xsd:restriction>
                </xsd:simpleType>
              </xsd:element>
            </xsd:sequence>
          </xsd:extension>
        </xsd:complexContent>
      </xsd:complexType>
    </xsd:element>
    <xsd:element name="MediaServiceSearchProperties" ma:index="4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FA91502-5B11-4432-8328-9809901201D4}">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15e6204a-d2eb-4ebd-9daf-11f8a8d10234"/>
    <ds:schemaRef ds:uri="b9096303-05a2-4f26-915e-3df945e81de4"/>
    <ds:schemaRef ds:uri="a8f60570-4bd3-4f2b-950b-a996de8ab151"/>
  </ds:schemaRefs>
</ds:datastoreItem>
</file>

<file path=customXml/itemProps2.xml><?xml version="1.0" encoding="utf-8"?>
<ds:datastoreItem xmlns:ds="http://schemas.openxmlformats.org/officeDocument/2006/customXml" ds:itemID="{4EF2ED32-EAAD-4667-A5D9-96557982EF32}">
  <ds:schemaRefs>
    <ds:schemaRef ds:uri="http://schemas.microsoft.com/office/2006/metadata/longProperties"/>
  </ds:schemaRefs>
</ds:datastoreItem>
</file>

<file path=customXml/itemProps3.xml><?xml version="1.0" encoding="utf-8"?>
<ds:datastoreItem xmlns:ds="http://schemas.openxmlformats.org/officeDocument/2006/customXml" ds:itemID="{02ED8F8B-F096-4C60-AA50-ABD81F9BF2AF}">
  <ds:schemaRefs>
    <ds:schemaRef ds:uri="http://schemas.microsoft.com/sharepoint/v3/contenttype/forms"/>
  </ds:schemaRefs>
</ds:datastoreItem>
</file>

<file path=customXml/itemProps4.xml><?xml version="1.0" encoding="utf-8"?>
<ds:datastoreItem xmlns:ds="http://schemas.openxmlformats.org/officeDocument/2006/customXml" ds:itemID="{85E0F8A3-126A-4C3B-98B8-C4FCF5DA6F71}"/>
</file>

<file path=customXml/itemProps5.xml><?xml version="1.0" encoding="utf-8"?>
<ds:datastoreItem xmlns:ds="http://schemas.openxmlformats.org/officeDocument/2006/customXml" ds:itemID="{E2EEC377-CFC3-436D-9A1B-D6E2A2ED449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361</vt:i4>
      </vt:variant>
    </vt:vector>
  </HeadingPairs>
  <TitlesOfParts>
    <vt:vector size="381" baseType="lpstr">
      <vt:lpstr>a_Contents</vt:lpstr>
      <vt:lpstr>b_Guidelines &amp; conditions</vt:lpstr>
      <vt:lpstr>A_InstallationData</vt:lpstr>
      <vt:lpstr>D_Emissions</vt:lpstr>
      <vt:lpstr>E_EnergyFlows</vt:lpstr>
      <vt:lpstr>F_ProductBM</vt:lpstr>
      <vt:lpstr>G_Fall-back</vt:lpstr>
      <vt:lpstr>H_SpecialBM</vt:lpstr>
      <vt:lpstr>I_Specific</vt:lpstr>
      <vt:lpstr>J_Comments</vt:lpstr>
      <vt:lpstr>K_Summary</vt:lpstr>
      <vt:lpstr>EUwideConstants</vt:lpstr>
      <vt:lpstr>MSParameters</vt:lpstr>
      <vt:lpstr>Translations</vt:lpstr>
      <vt:lpstr>VersionDocumentation</vt:lpstr>
      <vt:lpstr>B+C_Emissions_Y1</vt:lpstr>
      <vt:lpstr>B+C_Emissions_Y2</vt:lpstr>
      <vt:lpstr>B+C_Emissions_Y3</vt:lpstr>
      <vt:lpstr>B+C_Emissions_Y4</vt:lpstr>
      <vt:lpstr>B+C_Emissions_Y5</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a_Contents!Print_Area</vt:lpstr>
      <vt:lpstr>A_InstallationData!Print_Area</vt:lpstr>
      <vt:lpstr>'b_Guidelines &amp; conditions'!Print_Area</vt:lpstr>
      <vt:lpstr>'B+C_Emissions_Y1'!Print_Area</vt:lpstr>
      <vt:lpstr>'B+C_Emissions_Y2'!Print_Area</vt:lpstr>
      <vt:lpstr>'B+C_Emissions_Y3'!Print_Area</vt:lpstr>
      <vt:lpstr>'B+C_Emissions_Y4'!Print_Area</vt:lpstr>
      <vt:lpstr>'B+C_Emissions_Y5'!Print_Area</vt:lpstr>
      <vt:lpstr>D_Emissions!Print_Area</vt:lpstr>
      <vt:lpstr>E_EnergyFlows!Print_Area</vt:lpstr>
      <vt:lpstr>F_ProductBM!Print_Area</vt:lpstr>
      <vt:lpstr>'G_Fall-back'!Print_Area</vt:lpstr>
      <vt:lpstr>H_SpecialBM!Print_Area</vt:lpstr>
      <vt:lpstr>I_Specific!Print_Area</vt:lpstr>
      <vt:lpstr>J_Comments!Print_Area</vt:lpstr>
      <vt:lpstr>K_Summary!Print_Area</vt:lpstr>
      <vt:lpstr>VersionDocumentation!Print_Area</vt:lpstr>
      <vt:lpstr>UK_ETS_CL_FactorForDistrictHeating</vt:lpstr>
      <vt:lpstr>UK_ETS_CL_FactorForNonCLSectors</vt:lpstr>
      <vt:lpstr>UK_ETS_Linear_Factors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ETS Baseline Data Report</dc:title>
  <dc:subject/>
  <dc:creator>Heller Christian</dc:creator>
  <cp:keywords/>
  <dc:description>Template developed by Umweltbundesamt GmbH (Austria) for DG CLIMA</dc:description>
  <cp:lastModifiedBy>Searle, Brian (Energy Security)</cp:lastModifiedBy>
  <cp:revision/>
  <dcterms:created xsi:type="dcterms:W3CDTF">2008-05-26T08:52:55Z</dcterms:created>
  <dcterms:modified xsi:type="dcterms:W3CDTF">2025-04-09T07:01:38Z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ediaServiceImageTags">
    <vt:lpwstr/>
  </property>
  <property fmtid="{D5CDD505-2E9C-101B-9397-08002B2CF9AE}" pid="4" name="Business Unit">
    <vt:lpwstr>61;#UK ETS Delivery|1788b8e5-6d0a-4cde-aaf0-425d3e6d5788</vt:lpwstr>
  </property>
  <property fmtid="{D5CDD505-2E9C-101B-9397-08002B2CF9AE}" pid="5" name="_dlc_DocId">
    <vt:lpwstr>P7FXUHQQHXND-136195529-155290</vt:lpwstr>
  </property>
  <property fmtid="{D5CDD505-2E9C-101B-9397-08002B2CF9AE}" pid="6" name="_dlc_DocIdItemGuid">
    <vt:lpwstr>93f2132d-30cb-47e8-b2a3-fd1234110cb2</vt:lpwstr>
  </property>
  <property fmtid="{D5CDD505-2E9C-101B-9397-08002B2CF9AE}" pid="7" name="_dlc_DocIdUrl">
    <vt:lpwstr>https://beisgov.sharepoint.com/sites/UKETSDelivery/_layouts/15/DocIdRedir.aspx?ID=P7FXUHQQHXND-136195529-155290, P7FXUHQQHXND-136195529-155290</vt:lpwstr>
  </property>
  <property fmtid="{D5CDD505-2E9C-101B-9397-08002B2CF9AE}" pid="8" name="ContentTypeId">
    <vt:lpwstr>0x01010054E78DF077B1A74AA77A8BB3D47E9C65</vt:lpwstr>
  </property>
  <property fmtid="{D5CDD505-2E9C-101B-9397-08002B2CF9AE}" pid="9" name="MSIP_Label_ba62f585-b40f-4ab9-bafe-39150f03d124_Enabled">
    <vt:lpwstr>true</vt:lpwstr>
  </property>
  <property fmtid="{D5CDD505-2E9C-101B-9397-08002B2CF9AE}" pid="10" name="MSIP_Label_ba62f585-b40f-4ab9-bafe-39150f03d124_SetDate">
    <vt:lpwstr>2024-10-21T07:50:52Z</vt:lpwstr>
  </property>
  <property fmtid="{D5CDD505-2E9C-101B-9397-08002B2CF9AE}" pid="11" name="MSIP_Label_ba62f585-b40f-4ab9-bafe-39150f03d124_Method">
    <vt:lpwstr>Standard</vt:lpwstr>
  </property>
  <property fmtid="{D5CDD505-2E9C-101B-9397-08002B2CF9AE}" pid="12" name="MSIP_Label_ba62f585-b40f-4ab9-bafe-39150f03d124_Name">
    <vt:lpwstr>OFFICIAL</vt:lpwstr>
  </property>
  <property fmtid="{D5CDD505-2E9C-101B-9397-08002B2CF9AE}" pid="13" name="MSIP_Label_ba62f585-b40f-4ab9-bafe-39150f03d124_SiteId">
    <vt:lpwstr>cbac7005-02c1-43eb-b497-e6492d1b2dd8</vt:lpwstr>
  </property>
  <property fmtid="{D5CDD505-2E9C-101B-9397-08002B2CF9AE}" pid="14" name="MSIP_Label_ba62f585-b40f-4ab9-bafe-39150f03d124_ActionId">
    <vt:lpwstr>79a8472a-8ad0-4d50-94d5-e9e4b243d053</vt:lpwstr>
  </property>
  <property fmtid="{D5CDD505-2E9C-101B-9397-08002B2CF9AE}" pid="15" name="MSIP_Label_ba62f585-b40f-4ab9-bafe-39150f03d124_ContentBits">
    <vt:lpwstr>0</vt:lpwstr>
  </property>
  <property fmtid="{D5CDD505-2E9C-101B-9397-08002B2CF9AE}" pid="16" name="Business_x0020_Unit">
    <vt:lpwstr>61;#UK ETS Delivery|1788b8e5-6d0a-4cde-aaf0-425d3e6d5788</vt:lpwstr>
  </property>
</Properties>
</file>